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bpfkbanjarbaru\public\alkes_excel_file\"/>
    </mc:Choice>
  </mc:AlternateContent>
  <xr:revisionPtr revIDLastSave="0" documentId="13_ncr:1_{3D187D5B-373F-44AC-80E0-1CFF8BC3C220}" xr6:coauthVersionLast="45" xr6:coauthVersionMax="47" xr10:uidLastSave="{00000000-0000-0000-0000-000000000000}"/>
  <bookViews>
    <workbookView xWindow="-108" yWindow="-108" windowWidth="23256" windowHeight="12576" firstSheet="12" activeTab="12" xr2:uid="{00000000-000D-0000-FFFF-FFFF00000000}"/>
  </bookViews>
  <sheets>
    <sheet name="Riwayat Revisi" sheetId="44" r:id="rId1"/>
    <sheet name="LEMBAR KERJA" sheetId="28" r:id="rId2"/>
    <sheet name="KELAS 1 NA" sheetId="42" state="hidden" r:id="rId3"/>
    <sheet name="KELAS 2 NA" sheetId="43" state="hidden" r:id="rId4"/>
    <sheet name="KLASIFIKASI" sheetId="34" state="hidden" r:id="rId5"/>
    <sheet name="PENYELIA" sheetId="1" r:id="rId6"/>
    <sheet name="LH NA" sheetId="25" state="hidden" r:id="rId7"/>
    <sheet name="LH BAYI" sheetId="48" r:id="rId8"/>
    <sheet name="LH ANAK" sheetId="49" r:id="rId9"/>
    <sheet name="LH DEWASA" sheetId="50" r:id="rId10"/>
    <sheet name="SERTIFIKAT" sheetId="51" r:id="rId11"/>
    <sheet name="BUDGET KTP" sheetId="11" r:id="rId12"/>
    <sheet name="ID" sheetId="4" r:id="rId13"/>
    <sheet name="INTERPOLASI  " sheetId="52" r:id="rId14"/>
    <sheet name="SERTIFIKAT NA" sheetId="45" state="hidden" r:id="rId15"/>
    <sheet name="SURAT KETERANGAN NA" sheetId="46" state="hidden" r:id="rId16"/>
    <sheet name="DB SERTIFIKAT NA" sheetId="47" state="hidden" r:id="rId17"/>
    <sheet name="NIBP" sheetId="33" state="hidden" r:id="rId18"/>
    <sheet name="JENIS KALIBRATOR" sheetId="36" r:id="rId19"/>
    <sheet name="VOLT" sheetId="37" state="hidden" r:id="rId20"/>
    <sheet name="LEAKAGE" sheetId="38" r:id="rId21"/>
    <sheet name="MOhm" sheetId="39" state="hidden" r:id="rId22"/>
    <sheet name="RESISTANCE" sheetId="40" state="hidden" r:id="rId23"/>
    <sheet name="KETERANGAN" sheetId="41" state="hidden" r:id="rId24"/>
    <sheet name="KESIMPULAN" sheetId="23" state="hidden" r:id="rId25"/>
    <sheet name="THERMOHYGROMETER" sheetId="32" state="hidden" r:id="rId26"/>
  </sheets>
  <externalReferences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12" hidden="1">ID!$T$10:$T$11</definedName>
    <definedName name="_xlnm.Print_Area" localSheetId="11">'BUDGET KTP'!$A$1:$P$68,'BUDGET KTP'!$A$71:$P$123,'BUDGET KTP'!$A$126:$P$151,'BUDGET KTP'!$A$156:$P$198</definedName>
    <definedName name="_xlnm.Print_Area" localSheetId="12">ID!$A$1:$N$90</definedName>
    <definedName name="_xlnm.Print_Area" localSheetId="1">'LEMBAR KERJA'!$A$2:$S$97</definedName>
    <definedName name="_xlnm.Print_Area" localSheetId="8">'LH ANAK'!$A$1:$L$80</definedName>
    <definedName name="_xlnm.Print_Area" localSheetId="7">'LH BAYI'!$A$1:$L$80</definedName>
    <definedName name="_xlnm.Print_Area" localSheetId="9">'LH DEWASA'!$A$1:$L$80</definedName>
    <definedName name="_xlnm.Print_Area" localSheetId="6">'LH NA'!$A$1:$L$80</definedName>
    <definedName name="_xlnm.Print_Area" localSheetId="5">PENYELIA!$A$1:$M$67</definedName>
    <definedName name="_xlnm.Print_Area" localSheetId="10">SERTIFIKAT!$A$1:$F$33</definedName>
    <definedName name="_xlnm.Print_Area" localSheetId="14">'SERTIFIKAT NA'!$A$1:$G$33</definedName>
    <definedName name="_xlnm.Print_Area" localSheetId="15">'SURAT KETERANGAN NA'!$A$1:$G$33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3" i="4" l="1"/>
  <c r="DB37" i="52"/>
  <c r="DE37" i="52"/>
  <c r="DD37" i="52"/>
  <c r="DC37" i="52"/>
  <c r="CR43" i="52"/>
  <c r="CQ43" i="52"/>
  <c r="CP43" i="52"/>
  <c r="CO43" i="52"/>
  <c r="DA37" i="52"/>
  <c r="B85" i="4"/>
  <c r="H35" i="4"/>
  <c r="CN43" i="52"/>
  <c r="CN37" i="52"/>
  <c r="CQ37" i="52" s="1"/>
  <c r="CC43" i="52"/>
  <c r="CE43" i="52" s="1"/>
  <c r="CC37" i="52"/>
  <c r="CG37" i="52" s="1"/>
  <c r="CR37" i="52" l="1"/>
  <c r="CO37" i="52"/>
  <c r="CP37" i="52"/>
  <c r="CD43" i="52"/>
  <c r="CF43" i="52"/>
  <c r="CG43" i="52"/>
  <c r="CD37" i="52"/>
  <c r="CF37" i="52"/>
  <c r="CE37" i="52"/>
  <c r="CS37" i="52"/>
  <c r="P43" i="4" s="1"/>
  <c r="CH43" i="52"/>
  <c r="P42" i="4" s="1"/>
  <c r="DF37" i="52" l="1"/>
  <c r="CS43" i="52"/>
  <c r="P44" i="4" s="1"/>
  <c r="CH37" i="52"/>
  <c r="P35" i="4" s="1"/>
  <c r="J34" i="4" l="1"/>
  <c r="H34" i="4"/>
  <c r="CN24" i="52"/>
  <c r="CR24" i="52"/>
  <c r="CQ24" i="52"/>
  <c r="CP24" i="52"/>
  <c r="CO24" i="52"/>
  <c r="CR18" i="52"/>
  <c r="CQ18" i="52"/>
  <c r="CP18" i="52"/>
  <c r="CO18" i="52"/>
  <c r="CN18" i="52"/>
  <c r="J33" i="4"/>
  <c r="H33" i="4"/>
  <c r="CC24" i="52"/>
  <c r="CC18" i="52"/>
  <c r="CD18" i="52" s="1"/>
  <c r="D26" i="11"/>
  <c r="D63" i="11"/>
  <c r="D91" i="11"/>
  <c r="D118" i="11"/>
  <c r="D146" i="11"/>
  <c r="BO22" i="52"/>
  <c r="BS22" i="52" s="1"/>
  <c r="BO21" i="52"/>
  <c r="BS21" i="52" s="1"/>
  <c r="BO20" i="52"/>
  <c r="BR20" i="52" s="1"/>
  <c r="BO19" i="52"/>
  <c r="BO18" i="52"/>
  <c r="BR18" i="52" s="1"/>
  <c r="BS19" i="52"/>
  <c r="BS23" i="52"/>
  <c r="BR19" i="52"/>
  <c r="BR21" i="52"/>
  <c r="BR22" i="52"/>
  <c r="BR23" i="52"/>
  <c r="BQ19" i="52"/>
  <c r="BQ21" i="52"/>
  <c r="BQ22" i="52"/>
  <c r="BQ23" i="52"/>
  <c r="BP19" i="52"/>
  <c r="BP21" i="52"/>
  <c r="BP22" i="52"/>
  <c r="BS18" i="52"/>
  <c r="BP18" i="52"/>
  <c r="D144" i="11"/>
  <c r="AP21" i="52"/>
  <c r="AT21" i="52" s="1"/>
  <c r="D89" i="11"/>
  <c r="D61" i="11"/>
  <c r="D24" i="11"/>
  <c r="AR19" i="52"/>
  <c r="AS19" i="52"/>
  <c r="AT19" i="52"/>
  <c r="AR20" i="52"/>
  <c r="AS20" i="52"/>
  <c r="AT20" i="52"/>
  <c r="AR22" i="52"/>
  <c r="AS22" i="52"/>
  <c r="AT22" i="52"/>
  <c r="AR23" i="52"/>
  <c r="AS23" i="52"/>
  <c r="AT23" i="52"/>
  <c r="AQ19" i="52"/>
  <c r="AQ20" i="52"/>
  <c r="AQ22" i="52"/>
  <c r="AQ23" i="52"/>
  <c r="AP22" i="52"/>
  <c r="AP20" i="52"/>
  <c r="AP19" i="52"/>
  <c r="AP18" i="52"/>
  <c r="AT18" i="52" s="1"/>
  <c r="D132" i="11"/>
  <c r="D105" i="11"/>
  <c r="D77" i="11"/>
  <c r="D40" i="11"/>
  <c r="D12" i="11"/>
  <c r="BH23" i="52"/>
  <c r="BH19" i="52"/>
  <c r="BH20" i="52"/>
  <c r="BH21" i="52"/>
  <c r="BH22" i="52"/>
  <c r="BH18" i="52"/>
  <c r="BG19" i="52"/>
  <c r="BG20" i="52"/>
  <c r="BG21" i="52"/>
  <c r="BG22" i="52"/>
  <c r="BG23" i="52"/>
  <c r="BG18" i="52"/>
  <c r="BF19" i="52"/>
  <c r="BF20" i="52"/>
  <c r="BF21" i="52"/>
  <c r="BF22" i="52"/>
  <c r="BF23" i="52"/>
  <c r="BF18" i="52"/>
  <c r="BE19" i="52"/>
  <c r="BE20" i="52"/>
  <c r="BE21" i="52"/>
  <c r="BE22" i="52"/>
  <c r="BE23" i="52"/>
  <c r="BE18" i="52"/>
  <c r="BD22" i="52"/>
  <c r="BD21" i="52"/>
  <c r="BD20" i="52"/>
  <c r="BD19" i="52"/>
  <c r="BD18" i="52"/>
  <c r="D130" i="11"/>
  <c r="D103" i="11"/>
  <c r="D75" i="11"/>
  <c r="D38" i="11"/>
  <c r="D10" i="11"/>
  <c r="BP20" i="52" l="1"/>
  <c r="BS20" i="52"/>
  <c r="BQ20" i="52"/>
  <c r="BQ18" i="52"/>
  <c r="AR21" i="52"/>
  <c r="AS21" i="52"/>
  <c r="AQ21" i="52"/>
  <c r="AQ18" i="52"/>
  <c r="AR18" i="52"/>
  <c r="AS18" i="52"/>
  <c r="AE22" i="52"/>
  <c r="AH22" i="52" s="1"/>
  <c r="AE21" i="52"/>
  <c r="AG21" i="52" s="1"/>
  <c r="AE20" i="52"/>
  <c r="AF20" i="52" s="1"/>
  <c r="AE19" i="52"/>
  <c r="AF19" i="52" s="1"/>
  <c r="AF22" i="52"/>
  <c r="AG22" i="52"/>
  <c r="AH19" i="52"/>
  <c r="AI19" i="52"/>
  <c r="AI20" i="52"/>
  <c r="AI22" i="52"/>
  <c r="AI18" i="52"/>
  <c r="AH18" i="52"/>
  <c r="AG18" i="52"/>
  <c r="AF18" i="52"/>
  <c r="AE18" i="52"/>
  <c r="AI21" i="52" l="1"/>
  <c r="AF21" i="52"/>
  <c r="AH21" i="52"/>
  <c r="AH20" i="52"/>
  <c r="AG20" i="52"/>
  <c r="AG19" i="52"/>
  <c r="L63" i="4"/>
  <c r="L61" i="4"/>
  <c r="L60" i="4"/>
  <c r="L58" i="4"/>
  <c r="L57" i="4"/>
  <c r="L55" i="4"/>
  <c r="L54" i="4"/>
  <c r="L52" i="4"/>
  <c r="L51" i="4"/>
  <c r="U19" i="52"/>
  <c r="U20" i="52"/>
  <c r="U21" i="52"/>
  <c r="U22" i="52"/>
  <c r="T19" i="52"/>
  <c r="T20" i="52"/>
  <c r="T21" i="52"/>
  <c r="T22" i="52"/>
  <c r="S19" i="52"/>
  <c r="S20" i="52"/>
  <c r="S21" i="52"/>
  <c r="S22" i="52"/>
  <c r="R19" i="52"/>
  <c r="R20" i="52"/>
  <c r="R21" i="52"/>
  <c r="R22" i="52"/>
  <c r="Q22" i="52"/>
  <c r="Q21" i="52"/>
  <c r="Q20" i="52"/>
  <c r="Q19" i="52"/>
  <c r="V18" i="52"/>
  <c r="U18" i="52"/>
  <c r="T18" i="52"/>
  <c r="S18" i="52"/>
  <c r="Q18" i="52"/>
  <c r="R18" i="52"/>
  <c r="H19" i="52"/>
  <c r="H20" i="52"/>
  <c r="H21" i="52"/>
  <c r="H22" i="52"/>
  <c r="H23" i="52"/>
  <c r="G19" i="52"/>
  <c r="G20" i="52"/>
  <c r="G21" i="52"/>
  <c r="G22" i="52"/>
  <c r="G23" i="52"/>
  <c r="J19" i="52"/>
  <c r="J20" i="52"/>
  <c r="J21" i="52"/>
  <c r="J22" i="52"/>
  <c r="J23" i="52"/>
  <c r="I19" i="52"/>
  <c r="I20" i="52"/>
  <c r="I21" i="52"/>
  <c r="I22" i="52"/>
  <c r="I23" i="52"/>
  <c r="F22" i="52"/>
  <c r="F21" i="52"/>
  <c r="F20" i="52"/>
  <c r="F19" i="52"/>
  <c r="F23" i="52"/>
  <c r="BO23" i="52"/>
  <c r="BD23" i="52"/>
  <c r="AP23" i="52"/>
  <c r="AE23" i="52"/>
  <c r="Q23" i="52"/>
  <c r="S23" i="52" s="1"/>
  <c r="DM18" i="52"/>
  <c r="DP18" i="52" s="1"/>
  <c r="DB18" i="52"/>
  <c r="DE18" i="52" s="1"/>
  <c r="AF23" i="52" l="1"/>
  <c r="AG23" i="52"/>
  <c r="AH23" i="52"/>
  <c r="AI23" i="52"/>
  <c r="DC18" i="52"/>
  <c r="U23" i="52"/>
  <c r="T23" i="52"/>
  <c r="DD18" i="52"/>
  <c r="R23" i="52"/>
  <c r="V23" i="52" s="1"/>
  <c r="L64" i="4" s="1"/>
  <c r="DF18" i="52"/>
  <c r="DG18" i="52" s="1"/>
  <c r="K20" i="52"/>
  <c r="DN18" i="52"/>
  <c r="K21" i="52"/>
  <c r="DO18" i="52"/>
  <c r="BT18" i="52"/>
  <c r="DQ18" i="52"/>
  <c r="K19" i="52"/>
  <c r="AJ19" i="52"/>
  <c r="BI19" i="52"/>
  <c r="BT20" i="52"/>
  <c r="V21" i="52"/>
  <c r="BT21" i="52"/>
  <c r="V22" i="52"/>
  <c r="BT22" i="52"/>
  <c r="BP23" i="52"/>
  <c r="CS18" i="52" l="1"/>
  <c r="CS24" i="52"/>
  <c r="DR18" i="52"/>
  <c r="AU21" i="52"/>
  <c r="D116" i="11" s="1"/>
  <c r="AJ20" i="52"/>
  <c r="AU18" i="52"/>
  <c r="BI22" i="52"/>
  <c r="BT19" i="52"/>
  <c r="BI23" i="52"/>
  <c r="BT23" i="52"/>
  <c r="AU22" i="52"/>
  <c r="AU23" i="52"/>
  <c r="AU20" i="52"/>
  <c r="AU19" i="52"/>
  <c r="BI18" i="52"/>
  <c r="AJ18" i="52"/>
  <c r="AJ22" i="52"/>
  <c r="V20" i="52"/>
  <c r="V19" i="52"/>
  <c r="AJ23" i="52"/>
  <c r="BI20" i="52"/>
  <c r="AJ21" i="52"/>
  <c r="K23" i="52"/>
  <c r="BI21" i="52"/>
  <c r="K22" i="52"/>
  <c r="B45" i="51" l="1"/>
  <c r="B46" i="51" s="1"/>
  <c r="B43" i="51"/>
  <c r="D23" i="51"/>
  <c r="D20" i="51"/>
  <c r="D17" i="51"/>
  <c r="D21" i="51"/>
  <c r="D10" i="51"/>
  <c r="D9" i="51"/>
  <c r="D8" i="51"/>
  <c r="A3" i="51"/>
  <c r="F6" i="51" s="1"/>
  <c r="E26" i="51"/>
  <c r="D12" i="51"/>
  <c r="F11" i="51"/>
  <c r="D11" i="51"/>
  <c r="A2" i="51" l="1"/>
  <c r="B50" i="51" s="1"/>
  <c r="A17" i="51" l="1"/>
  <c r="A21" i="51"/>
  <c r="A19" i="51"/>
  <c r="A22" i="51"/>
  <c r="A20" i="51"/>
  <c r="B40" i="1" l="1"/>
  <c r="B40" i="50" s="1"/>
  <c r="B67" i="50"/>
  <c r="B61" i="50"/>
  <c r="F50" i="50"/>
  <c r="F49" i="50"/>
  <c r="H48" i="50"/>
  <c r="G48" i="50"/>
  <c r="F48" i="50"/>
  <c r="L45" i="50"/>
  <c r="K45" i="50"/>
  <c r="J45" i="50"/>
  <c r="I45" i="50"/>
  <c r="F45" i="50"/>
  <c r="C39" i="50"/>
  <c r="C38" i="50"/>
  <c r="C37" i="50"/>
  <c r="C36" i="50"/>
  <c r="C35" i="50"/>
  <c r="C34" i="50"/>
  <c r="C33" i="50"/>
  <c r="C32" i="50"/>
  <c r="K29" i="50"/>
  <c r="J29" i="50"/>
  <c r="I29" i="50"/>
  <c r="H29" i="50"/>
  <c r="F29" i="50"/>
  <c r="C29" i="50"/>
  <c r="F19" i="50"/>
  <c r="B19" i="50"/>
  <c r="F18" i="50"/>
  <c r="B18" i="50"/>
  <c r="B16" i="50"/>
  <c r="F11" i="50"/>
  <c r="A11" i="50"/>
  <c r="F10" i="50"/>
  <c r="A10" i="50"/>
  <c r="F9" i="50"/>
  <c r="A9" i="50"/>
  <c r="A8" i="50"/>
  <c r="F6" i="50"/>
  <c r="A6" i="50"/>
  <c r="F5" i="50"/>
  <c r="A5" i="50"/>
  <c r="F4" i="50"/>
  <c r="A4" i="50"/>
  <c r="B67" i="49"/>
  <c r="B61" i="49"/>
  <c r="F50" i="49"/>
  <c r="F49" i="49"/>
  <c r="H48" i="49"/>
  <c r="G48" i="49"/>
  <c r="F48" i="49"/>
  <c r="L45" i="49"/>
  <c r="K45" i="49"/>
  <c r="J45" i="49"/>
  <c r="I45" i="49"/>
  <c r="F45" i="49"/>
  <c r="C39" i="49"/>
  <c r="C38" i="49"/>
  <c r="C37" i="49"/>
  <c r="C36" i="49"/>
  <c r="C35" i="49"/>
  <c r="C34" i="49"/>
  <c r="C33" i="49"/>
  <c r="C32" i="49"/>
  <c r="K29" i="49"/>
  <c r="J29" i="49"/>
  <c r="I29" i="49"/>
  <c r="H29" i="49"/>
  <c r="F29" i="49"/>
  <c r="C29" i="49"/>
  <c r="F19" i="49"/>
  <c r="B19" i="49"/>
  <c r="F18" i="49"/>
  <c r="B18" i="49"/>
  <c r="B16" i="49"/>
  <c r="F11" i="49"/>
  <c r="A11" i="49"/>
  <c r="F10" i="49"/>
  <c r="A10" i="49"/>
  <c r="F9" i="49"/>
  <c r="A9" i="49"/>
  <c r="A8" i="49"/>
  <c r="F6" i="49"/>
  <c r="A6" i="49"/>
  <c r="F5" i="49"/>
  <c r="A5" i="49"/>
  <c r="F4" i="49"/>
  <c r="A4" i="49"/>
  <c r="B67" i="48"/>
  <c r="B61" i="48"/>
  <c r="F50" i="48"/>
  <c r="F49" i="48"/>
  <c r="H48" i="48"/>
  <c r="G48" i="48"/>
  <c r="F48" i="48"/>
  <c r="L45" i="48"/>
  <c r="K45" i="48"/>
  <c r="J45" i="48"/>
  <c r="I45" i="48"/>
  <c r="F45" i="48"/>
  <c r="C39" i="48"/>
  <c r="C38" i="48"/>
  <c r="C37" i="48"/>
  <c r="C36" i="48"/>
  <c r="C35" i="48"/>
  <c r="C34" i="48"/>
  <c r="C33" i="48"/>
  <c r="C32" i="48"/>
  <c r="K29" i="48"/>
  <c r="J29" i="48"/>
  <c r="I29" i="48"/>
  <c r="H29" i="48"/>
  <c r="F29" i="48"/>
  <c r="C29" i="48"/>
  <c r="F19" i="48"/>
  <c r="B19" i="48"/>
  <c r="F18" i="48"/>
  <c r="B18" i="48"/>
  <c r="B16" i="48"/>
  <c r="F11" i="48"/>
  <c r="A11" i="48"/>
  <c r="F10" i="48"/>
  <c r="A10" i="48"/>
  <c r="F9" i="48"/>
  <c r="A9" i="48"/>
  <c r="A8" i="48"/>
  <c r="F6" i="48"/>
  <c r="A6" i="48"/>
  <c r="F5" i="48"/>
  <c r="A5" i="48"/>
  <c r="F4" i="48"/>
  <c r="A4" i="48"/>
  <c r="M31" i="1"/>
  <c r="C40" i="1" l="1"/>
  <c r="C40" i="50" s="1"/>
  <c r="B40" i="25"/>
  <c r="G40" i="1" l="1"/>
  <c r="G40" i="50" s="1"/>
  <c r="C41" i="1"/>
  <c r="C41" i="50" s="1"/>
  <c r="I16" i="1" l="1"/>
  <c r="I15" i="1"/>
  <c r="I14" i="1"/>
  <c r="I14" i="25" s="1"/>
  <c r="I14" i="48" l="1"/>
  <c r="I14" i="49"/>
  <c r="I14" i="50"/>
  <c r="I16" i="25"/>
  <c r="I15" i="50"/>
  <c r="I15" i="48"/>
  <c r="I15" i="49"/>
  <c r="I15" i="25"/>
  <c r="B58" i="1"/>
  <c r="O59" i="1"/>
  <c r="B58" i="49" l="1"/>
  <c r="B58" i="50"/>
  <c r="B58" i="48"/>
  <c r="J43" i="4"/>
  <c r="T41" i="4" l="1"/>
  <c r="A4" i="46" l="1"/>
  <c r="A3" i="45"/>
  <c r="G26" i="46"/>
  <c r="B18" i="46"/>
  <c r="G2" i="46" s="1"/>
  <c r="G17" i="46"/>
  <c r="D11" i="46"/>
  <c r="D10" i="46"/>
  <c r="F26" i="45"/>
  <c r="I23" i="45"/>
  <c r="I22" i="45"/>
  <c r="I20" i="45"/>
  <c r="A20" i="45" s="1"/>
  <c r="D12" i="45"/>
  <c r="G11" i="45"/>
  <c r="D11" i="45"/>
  <c r="D4" i="45"/>
  <c r="I1" i="45" l="1"/>
  <c r="G6" i="45" s="1"/>
  <c r="D12" i="46" s="1"/>
  <c r="A17" i="45"/>
  <c r="A21" i="45"/>
  <c r="A22" i="45"/>
  <c r="A19" i="45"/>
  <c r="D22" i="45"/>
  <c r="U144" i="11" l="1"/>
  <c r="U130" i="11"/>
  <c r="U116" i="11"/>
  <c r="U103" i="11"/>
  <c r="U89" i="11"/>
  <c r="U75" i="11"/>
  <c r="U61" i="11"/>
  <c r="U38" i="11"/>
  <c r="U24" i="11"/>
  <c r="U10" i="11"/>
  <c r="S18" i="11"/>
  <c r="S19" i="11"/>
  <c r="O74" i="4"/>
  <c r="O75" i="4"/>
  <c r="O76" i="4"/>
  <c r="O77" i="4"/>
  <c r="O78" i="4"/>
  <c r="O79" i="4"/>
  <c r="O80" i="4"/>
  <c r="O81" i="4"/>
  <c r="O82" i="4"/>
  <c r="O73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51" i="4"/>
  <c r="BN57" i="4"/>
  <c r="BN48" i="4"/>
  <c r="BL52" i="4"/>
  <c r="BN52" i="4" s="1"/>
  <c r="BL54" i="4"/>
  <c r="BN54" i="4" s="1"/>
  <c r="BL55" i="4"/>
  <c r="BL57" i="4"/>
  <c r="BL58" i="4"/>
  <c r="BN58" i="4" s="1"/>
  <c r="BQ58" i="4" s="1"/>
  <c r="BL60" i="4"/>
  <c r="BN60" i="4" s="1"/>
  <c r="BQ60" i="4" s="1"/>
  <c r="BL61" i="4"/>
  <c r="BN61" i="4" s="1"/>
  <c r="BL63" i="4"/>
  <c r="BL64" i="4"/>
  <c r="BL51" i="4"/>
  <c r="BN51" i="4" s="1"/>
  <c r="BQ51" i="4" s="1"/>
  <c r="BH53" i="4"/>
  <c r="BL53" i="4" s="1"/>
  <c r="BQ53" i="4" s="1"/>
  <c r="BH56" i="4"/>
  <c r="BL56" i="4" s="1"/>
  <c r="BQ56" i="4" s="1"/>
  <c r="BH59" i="4"/>
  <c r="BL59" i="4" s="1"/>
  <c r="BQ59" i="4" s="1"/>
  <c r="BH62" i="4"/>
  <c r="BL62" i="4" s="1"/>
  <c r="BQ62" i="4" s="1"/>
  <c r="CK48" i="4"/>
  <c r="BX48" i="4"/>
  <c r="BL40" i="4"/>
  <c r="BN40" i="4" s="1"/>
  <c r="BL48" i="4"/>
  <c r="BT34" i="4"/>
  <c r="BV33" i="4" s="1"/>
  <c r="BY33" i="4" s="1"/>
  <c r="BQ57" i="4" l="1"/>
  <c r="BN55" i="4"/>
  <c r="BQ55" i="4" s="1"/>
  <c r="BN63" i="4"/>
  <c r="BQ63" i="4" s="1"/>
  <c r="BN64" i="4"/>
  <c r="BQ64" i="4" s="1"/>
  <c r="BQ61" i="4"/>
  <c r="BQ52" i="4"/>
  <c r="BQ54" i="4"/>
  <c r="BQ48" i="4"/>
  <c r="CM48" i="4"/>
  <c r="CP48" i="4" s="1"/>
  <c r="BZ48" i="4"/>
  <c r="CC48" i="4" s="1"/>
  <c r="BQ40" i="4"/>
  <c r="BL33" i="4"/>
  <c r="I8" i="37"/>
  <c r="BN33" i="4" l="1"/>
  <c r="BQ33" i="4" s="1"/>
  <c r="G9" i="40"/>
  <c r="G10" i="40"/>
  <c r="G11" i="40"/>
  <c r="G12" i="40"/>
  <c r="G13" i="40"/>
  <c r="G14" i="40"/>
  <c r="G15" i="40"/>
  <c r="G16" i="40"/>
  <c r="G17" i="40"/>
  <c r="G18" i="40"/>
  <c r="G19" i="40"/>
  <c r="G20" i="40"/>
  <c r="G21" i="40"/>
  <c r="G22" i="40"/>
  <c r="G23" i="40"/>
  <c r="G24" i="40"/>
  <c r="G25" i="40"/>
  <c r="G26" i="40"/>
  <c r="G27" i="40"/>
  <c r="G28" i="40"/>
  <c r="G29" i="40"/>
  <c r="G30" i="40"/>
  <c r="G31" i="40"/>
  <c r="G32" i="40"/>
  <c r="G33" i="40"/>
  <c r="G34" i="40"/>
  <c r="G35" i="40"/>
  <c r="G36" i="40"/>
  <c r="G37" i="40"/>
  <c r="G38" i="40"/>
  <c r="G39" i="40"/>
  <c r="G40" i="40"/>
  <c r="G41" i="40"/>
  <c r="G42" i="40"/>
  <c r="G43" i="40"/>
  <c r="G44" i="40"/>
  <c r="G45" i="40"/>
  <c r="G46" i="40"/>
  <c r="G47" i="40"/>
  <c r="G48" i="40"/>
  <c r="G49" i="40"/>
  <c r="G50" i="40"/>
  <c r="G51" i="40"/>
  <c r="G52" i="40"/>
  <c r="G53" i="40"/>
  <c r="G54" i="40"/>
  <c r="G55" i="40"/>
  <c r="G56" i="40"/>
  <c r="G57" i="40"/>
  <c r="G58" i="40"/>
  <c r="G59" i="40"/>
  <c r="G60" i="40"/>
  <c r="G61" i="40"/>
  <c r="G62" i="40"/>
  <c r="G63" i="40"/>
  <c r="G64" i="40"/>
  <c r="G65" i="40"/>
  <c r="G66" i="40"/>
  <c r="G67" i="40"/>
  <c r="G68" i="40"/>
  <c r="G69" i="40"/>
  <c r="G70" i="40"/>
  <c r="G71" i="40"/>
  <c r="G72" i="40"/>
  <c r="G73" i="40"/>
  <c r="G74" i="40"/>
  <c r="G75" i="40"/>
  <c r="G76" i="40"/>
  <c r="G77" i="40"/>
  <c r="G78" i="40"/>
  <c r="G79" i="40"/>
  <c r="G80" i="40"/>
  <c r="G81" i="40"/>
  <c r="G82" i="40"/>
  <c r="G83" i="40"/>
  <c r="G84" i="40"/>
  <c r="G85" i="40"/>
  <c r="G86" i="40"/>
  <c r="G87" i="40"/>
  <c r="G88" i="40"/>
  <c r="G89" i="40"/>
  <c r="G90" i="40"/>
  <c r="G91" i="40"/>
  <c r="G92" i="40"/>
  <c r="G93" i="40"/>
  <c r="G94" i="40"/>
  <c r="G95" i="40"/>
  <c r="G96" i="40"/>
  <c r="G97" i="40"/>
  <c r="G98" i="40"/>
  <c r="G99" i="40"/>
  <c r="G100" i="40"/>
  <c r="G101" i="40"/>
  <c r="G102" i="40"/>
  <c r="G103" i="40"/>
  <c r="G104" i="40"/>
  <c r="G105" i="40"/>
  <c r="G106" i="40"/>
  <c r="G107" i="40"/>
  <c r="G108" i="40"/>
  <c r="G109" i="40"/>
  <c r="G110" i="40"/>
  <c r="G8" i="40"/>
  <c r="G9" i="39"/>
  <c r="G10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91" i="39"/>
  <c r="G92" i="39"/>
  <c r="G93" i="39"/>
  <c r="G94" i="39"/>
  <c r="G95" i="39"/>
  <c r="G96" i="39"/>
  <c r="G97" i="39"/>
  <c r="G98" i="39"/>
  <c r="G99" i="39"/>
  <c r="G100" i="39"/>
  <c r="G101" i="39"/>
  <c r="G102" i="39"/>
  <c r="G103" i="39"/>
  <c r="G104" i="39"/>
  <c r="G105" i="39"/>
  <c r="G106" i="39"/>
  <c r="G107" i="39"/>
  <c r="G108" i="39"/>
  <c r="G109" i="39"/>
  <c r="G110" i="39"/>
  <c r="G111" i="39"/>
  <c r="G112" i="39"/>
  <c r="G113" i="39"/>
  <c r="G114" i="39"/>
  <c r="G8" i="39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G67" i="38"/>
  <c r="G68" i="38"/>
  <c r="G69" i="38"/>
  <c r="G70" i="38"/>
  <c r="G71" i="38"/>
  <c r="G72" i="38"/>
  <c r="G73" i="38"/>
  <c r="G74" i="38"/>
  <c r="G75" i="38"/>
  <c r="G76" i="38"/>
  <c r="G77" i="38"/>
  <c r="G78" i="38"/>
  <c r="G79" i="38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G93" i="38"/>
  <c r="G94" i="38"/>
  <c r="G95" i="38"/>
  <c r="G96" i="38"/>
  <c r="G97" i="38"/>
  <c r="G98" i="38"/>
  <c r="G99" i="38"/>
  <c r="G100" i="38"/>
  <c r="G101" i="38"/>
  <c r="G102" i="38"/>
  <c r="G103" i="38"/>
  <c r="G104" i="38"/>
  <c r="G105" i="38"/>
  <c r="G8" i="38"/>
  <c r="C106" i="40"/>
  <c r="C96" i="40"/>
  <c r="C87" i="40"/>
  <c r="C78" i="40"/>
  <c r="C61" i="40"/>
  <c r="C53" i="40"/>
  <c r="C44" i="40"/>
  <c r="C34" i="40"/>
  <c r="C21" i="40"/>
  <c r="C14" i="40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113" i="39"/>
  <c r="F114" i="39"/>
  <c r="C111" i="39"/>
  <c r="C100" i="39"/>
  <c r="C89" i="39"/>
  <c r="C78" i="39"/>
  <c r="C66" i="39"/>
  <c r="C56" i="39"/>
  <c r="C46" i="39"/>
  <c r="C36" i="39"/>
  <c r="C26" i="39"/>
  <c r="C16" i="39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D95" i="37"/>
  <c r="D94" i="37"/>
  <c r="D93" i="37"/>
  <c r="D92" i="37"/>
  <c r="D91" i="37"/>
  <c r="D90" i="37"/>
  <c r="D87" i="37"/>
  <c r="D86" i="37"/>
  <c r="D85" i="37"/>
  <c r="D84" i="37"/>
  <c r="D83" i="37"/>
  <c r="D82" i="37"/>
  <c r="D81" i="37"/>
  <c r="D78" i="37"/>
  <c r="D77" i="37"/>
  <c r="D76" i="37"/>
  <c r="D75" i="37"/>
  <c r="D74" i="37"/>
  <c r="D73" i="37"/>
  <c r="D72" i="37"/>
  <c r="D69" i="37"/>
  <c r="D68" i="37"/>
  <c r="D67" i="37"/>
  <c r="D66" i="37"/>
  <c r="D65" i="37"/>
  <c r="D64" i="37"/>
  <c r="D63" i="37"/>
  <c r="D60" i="37"/>
  <c r="D59" i="37"/>
  <c r="D58" i="37"/>
  <c r="D57" i="37"/>
  <c r="D56" i="37"/>
  <c r="D55" i="37"/>
  <c r="D54" i="37"/>
  <c r="D51" i="37"/>
  <c r="D50" i="37"/>
  <c r="D49" i="37"/>
  <c r="D48" i="37"/>
  <c r="D47" i="37"/>
  <c r="D46" i="37"/>
  <c r="D45" i="37"/>
  <c r="D42" i="37"/>
  <c r="D41" i="37"/>
  <c r="D40" i="37"/>
  <c r="D39" i="37"/>
  <c r="D38" i="37"/>
  <c r="D37" i="37"/>
  <c r="D36" i="37"/>
  <c r="D33" i="37"/>
  <c r="D32" i="37"/>
  <c r="D31" i="37"/>
  <c r="D30" i="37"/>
  <c r="D29" i="37"/>
  <c r="D28" i="37"/>
  <c r="D27" i="37"/>
  <c r="D24" i="37"/>
  <c r="D23" i="37"/>
  <c r="D22" i="37"/>
  <c r="D21" i="37"/>
  <c r="D20" i="37"/>
  <c r="D19" i="37"/>
  <c r="D18" i="37"/>
  <c r="D9" i="37"/>
  <c r="D10" i="37"/>
  <c r="D11" i="37"/>
  <c r="D12" i="37"/>
  <c r="D13" i="37"/>
  <c r="D14" i="37"/>
  <c r="D15" i="37"/>
  <c r="D8" i="37"/>
  <c r="H96" i="37"/>
  <c r="H97" i="37"/>
  <c r="H98" i="37"/>
  <c r="H99" i="37"/>
  <c r="H100" i="37"/>
  <c r="I9" i="37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60" i="37"/>
  <c r="I61" i="37"/>
  <c r="I62" i="37"/>
  <c r="I63" i="37"/>
  <c r="I64" i="37"/>
  <c r="I65" i="37"/>
  <c r="I66" i="37"/>
  <c r="I67" i="37"/>
  <c r="I68" i="37"/>
  <c r="I69" i="37"/>
  <c r="I70" i="37"/>
  <c r="I71" i="37"/>
  <c r="I72" i="37"/>
  <c r="I73" i="37"/>
  <c r="I74" i="37"/>
  <c r="I75" i="37"/>
  <c r="I76" i="37"/>
  <c r="I77" i="37"/>
  <c r="I78" i="37"/>
  <c r="I79" i="37"/>
  <c r="I80" i="37"/>
  <c r="I81" i="37"/>
  <c r="I82" i="37"/>
  <c r="I83" i="37"/>
  <c r="I84" i="37"/>
  <c r="I85" i="37"/>
  <c r="I86" i="37"/>
  <c r="I87" i="37"/>
  <c r="I88" i="37"/>
  <c r="I89" i="37"/>
  <c r="I90" i="37"/>
  <c r="I91" i="37"/>
  <c r="I92" i="37"/>
  <c r="I93" i="37"/>
  <c r="I94" i="37"/>
  <c r="I95" i="37"/>
  <c r="I96" i="37"/>
  <c r="I97" i="37"/>
  <c r="I98" i="37"/>
  <c r="I99" i="37"/>
  <c r="I100" i="37"/>
  <c r="H70" i="37"/>
  <c r="H71" i="37"/>
  <c r="H72" i="37"/>
  <c r="H73" i="37"/>
  <c r="H74" i="37"/>
  <c r="H75" i="37"/>
  <c r="H76" i="37"/>
  <c r="H77" i="37"/>
  <c r="H78" i="37"/>
  <c r="H79" i="37"/>
  <c r="H80" i="37"/>
  <c r="H81" i="37"/>
  <c r="H82" i="37"/>
  <c r="H83" i="37"/>
  <c r="H84" i="37"/>
  <c r="H85" i="37"/>
  <c r="H86" i="37"/>
  <c r="H87" i="37"/>
  <c r="H88" i="37"/>
  <c r="H89" i="37"/>
  <c r="H90" i="37"/>
  <c r="H91" i="37"/>
  <c r="H92" i="37"/>
  <c r="H93" i="37"/>
  <c r="H94" i="37"/>
  <c r="H95" i="37"/>
  <c r="C103" i="38"/>
  <c r="C92" i="38"/>
  <c r="C81" i="38"/>
  <c r="C71" i="38"/>
  <c r="C61" i="38"/>
  <c r="C50" i="38"/>
  <c r="C42" i="38"/>
  <c r="C33" i="38"/>
  <c r="C23" i="38"/>
  <c r="C13" i="38"/>
  <c r="D70" i="37"/>
  <c r="C70" i="37"/>
  <c r="C63" i="37"/>
  <c r="C60" i="37"/>
  <c r="C51" i="37"/>
  <c r="C42" i="37"/>
  <c r="C33" i="37"/>
  <c r="C24" i="37"/>
  <c r="C15" i="37"/>
  <c r="H15" i="38" l="1"/>
  <c r="H97" i="40"/>
  <c r="H11" i="38"/>
  <c r="L11" i="38" s="1"/>
  <c r="H38" i="39"/>
  <c r="H54" i="39"/>
  <c r="H75" i="38"/>
  <c r="H42" i="40"/>
  <c r="H59" i="38"/>
  <c r="H102" i="39"/>
  <c r="H81" i="40"/>
  <c r="H22" i="40"/>
  <c r="H10" i="39"/>
  <c r="K10" i="39" s="1"/>
  <c r="H43" i="38"/>
  <c r="H86" i="39"/>
  <c r="H22" i="39"/>
  <c r="H65" i="40"/>
  <c r="H91" i="38"/>
  <c r="H27" i="38"/>
  <c r="H70" i="39"/>
  <c r="H49" i="40"/>
  <c r="H103" i="38"/>
  <c r="H71" i="38"/>
  <c r="H23" i="38"/>
  <c r="H98" i="39"/>
  <c r="H66" i="39"/>
  <c r="H18" i="39"/>
  <c r="H61" i="40"/>
  <c r="H87" i="38"/>
  <c r="H39" i="38"/>
  <c r="H82" i="39"/>
  <c r="H34" i="39"/>
  <c r="H109" i="40"/>
  <c r="H77" i="40"/>
  <c r="H99" i="38"/>
  <c r="H83" i="38"/>
  <c r="H67" i="38"/>
  <c r="H51" i="38"/>
  <c r="H35" i="38"/>
  <c r="H19" i="38"/>
  <c r="H110" i="39"/>
  <c r="H94" i="39"/>
  <c r="H78" i="39"/>
  <c r="H62" i="39"/>
  <c r="H46" i="39"/>
  <c r="H30" i="39"/>
  <c r="H14" i="39"/>
  <c r="K14" i="39" s="1"/>
  <c r="H105" i="40"/>
  <c r="H89" i="40"/>
  <c r="H73" i="40"/>
  <c r="H57" i="40"/>
  <c r="H34" i="40"/>
  <c r="H55" i="38"/>
  <c r="H114" i="39"/>
  <c r="H50" i="39"/>
  <c r="H93" i="40"/>
  <c r="H95" i="38"/>
  <c r="H79" i="38"/>
  <c r="H63" i="38"/>
  <c r="H47" i="38"/>
  <c r="H31" i="38"/>
  <c r="H106" i="39"/>
  <c r="H90" i="39"/>
  <c r="H74" i="39"/>
  <c r="H58" i="39"/>
  <c r="H42" i="39"/>
  <c r="H26" i="39"/>
  <c r="H101" i="40"/>
  <c r="H85" i="40"/>
  <c r="H69" i="40"/>
  <c r="H53" i="40"/>
  <c r="H10" i="40"/>
  <c r="L10" i="40" s="1"/>
  <c r="H11" i="39"/>
  <c r="L11" i="39" s="1"/>
  <c r="H12" i="38"/>
  <c r="K12" i="38" s="1"/>
  <c r="H108" i="40"/>
  <c r="H104" i="40"/>
  <c r="H100" i="40"/>
  <c r="H96" i="40"/>
  <c r="H92" i="40"/>
  <c r="H88" i="40"/>
  <c r="H84" i="40"/>
  <c r="H80" i="40"/>
  <c r="H76" i="40"/>
  <c r="H72" i="40"/>
  <c r="H68" i="40"/>
  <c r="H64" i="40"/>
  <c r="H60" i="40"/>
  <c r="H56" i="40"/>
  <c r="H52" i="40"/>
  <c r="H48" i="40"/>
  <c r="H40" i="40"/>
  <c r="H32" i="40"/>
  <c r="H18" i="40"/>
  <c r="H11" i="40"/>
  <c r="K11" i="40" s="1"/>
  <c r="H8" i="40"/>
  <c r="L8" i="40" s="1"/>
  <c r="H107" i="40"/>
  <c r="H103" i="40"/>
  <c r="H99" i="40"/>
  <c r="H95" i="40"/>
  <c r="H91" i="40"/>
  <c r="H87" i="40"/>
  <c r="H83" i="40"/>
  <c r="H79" i="40"/>
  <c r="H75" i="40"/>
  <c r="H71" i="40"/>
  <c r="H67" i="40"/>
  <c r="H63" i="40"/>
  <c r="H59" i="40"/>
  <c r="H55" i="40"/>
  <c r="H51" i="40"/>
  <c r="H46" i="40"/>
  <c r="H38" i="40"/>
  <c r="H30" i="40"/>
  <c r="H14" i="40"/>
  <c r="L14" i="40" s="1"/>
  <c r="H110" i="40"/>
  <c r="H106" i="40"/>
  <c r="H102" i="40"/>
  <c r="H98" i="40"/>
  <c r="H94" i="40"/>
  <c r="H90" i="40"/>
  <c r="H86" i="40"/>
  <c r="H82" i="40"/>
  <c r="H78" i="40"/>
  <c r="H74" i="40"/>
  <c r="H70" i="40"/>
  <c r="H66" i="40"/>
  <c r="H62" i="40"/>
  <c r="H58" i="40"/>
  <c r="H54" i="40"/>
  <c r="H50" i="40"/>
  <c r="H44" i="40"/>
  <c r="H36" i="40"/>
  <c r="H26" i="40"/>
  <c r="H45" i="40"/>
  <c r="H41" i="40"/>
  <c r="H37" i="40"/>
  <c r="H33" i="40"/>
  <c r="H29" i="40"/>
  <c r="H25" i="40"/>
  <c r="H21" i="40"/>
  <c r="H17" i="40"/>
  <c r="H13" i="40"/>
  <c r="H9" i="40"/>
  <c r="K10" i="40"/>
  <c r="H28" i="40"/>
  <c r="H24" i="40"/>
  <c r="H20" i="40"/>
  <c r="H16" i="40"/>
  <c r="H12" i="40"/>
  <c r="L12" i="40" s="1"/>
  <c r="H47" i="40"/>
  <c r="H43" i="40"/>
  <c r="H39" i="40"/>
  <c r="H35" i="40"/>
  <c r="H31" i="40"/>
  <c r="H27" i="40"/>
  <c r="H23" i="40"/>
  <c r="H19" i="40"/>
  <c r="H15" i="40"/>
  <c r="H113" i="39"/>
  <c r="H109" i="39"/>
  <c r="H105" i="39"/>
  <c r="H101" i="39"/>
  <c r="H97" i="39"/>
  <c r="H93" i="39"/>
  <c r="H89" i="39"/>
  <c r="H85" i="39"/>
  <c r="H81" i="39"/>
  <c r="H77" i="39"/>
  <c r="H73" i="39"/>
  <c r="H69" i="39"/>
  <c r="H65" i="39"/>
  <c r="H61" i="39"/>
  <c r="H57" i="39"/>
  <c r="H53" i="39"/>
  <c r="H49" i="39"/>
  <c r="H45" i="39"/>
  <c r="H41" i="39"/>
  <c r="H37" i="39"/>
  <c r="H33" i="39"/>
  <c r="H29" i="39"/>
  <c r="H25" i="39"/>
  <c r="H21" i="39"/>
  <c r="H17" i="39"/>
  <c r="L17" i="39" s="1"/>
  <c r="H13" i="39"/>
  <c r="L13" i="39" s="1"/>
  <c r="H9" i="39"/>
  <c r="L9" i="39" s="1"/>
  <c r="H112" i="39"/>
  <c r="H108" i="39"/>
  <c r="H104" i="39"/>
  <c r="H100" i="39"/>
  <c r="H96" i="39"/>
  <c r="H92" i="39"/>
  <c r="H88" i="39"/>
  <c r="H84" i="39"/>
  <c r="H80" i="39"/>
  <c r="H76" i="39"/>
  <c r="H72" i="39"/>
  <c r="H68" i="39"/>
  <c r="H64" i="39"/>
  <c r="H60" i="39"/>
  <c r="H56" i="39"/>
  <c r="H52" i="39"/>
  <c r="H48" i="39"/>
  <c r="H44" i="39"/>
  <c r="H40" i="39"/>
  <c r="H36" i="39"/>
  <c r="H32" i="39"/>
  <c r="H28" i="39"/>
  <c r="H24" i="39"/>
  <c r="H20" i="39"/>
  <c r="H16" i="39"/>
  <c r="K16" i="39" s="1"/>
  <c r="H12" i="39"/>
  <c r="K12" i="39" s="1"/>
  <c r="H8" i="39"/>
  <c r="L8" i="39" s="1"/>
  <c r="H111" i="39"/>
  <c r="H107" i="39"/>
  <c r="H103" i="39"/>
  <c r="H99" i="39"/>
  <c r="H95" i="39"/>
  <c r="H91" i="39"/>
  <c r="H87" i="39"/>
  <c r="H83" i="39"/>
  <c r="H79" i="39"/>
  <c r="H75" i="39"/>
  <c r="H71" i="39"/>
  <c r="H67" i="39"/>
  <c r="H63" i="39"/>
  <c r="H59" i="39"/>
  <c r="H55" i="39"/>
  <c r="H51" i="39"/>
  <c r="H47" i="39"/>
  <c r="H43" i="39"/>
  <c r="H39" i="39"/>
  <c r="H35" i="39"/>
  <c r="H31" i="39"/>
  <c r="H27" i="39"/>
  <c r="H23" i="39"/>
  <c r="H19" i="39"/>
  <c r="H15" i="39"/>
  <c r="L15" i="39" s="1"/>
  <c r="L14" i="39"/>
  <c r="H8" i="38"/>
  <c r="M8" i="38" s="1"/>
  <c r="H102" i="38"/>
  <c r="H98" i="38"/>
  <c r="H94" i="38"/>
  <c r="H90" i="38"/>
  <c r="H86" i="38"/>
  <c r="H82" i="38"/>
  <c r="H78" i="38"/>
  <c r="H74" i="38"/>
  <c r="H70" i="38"/>
  <c r="H66" i="38"/>
  <c r="H62" i="38"/>
  <c r="H58" i="38"/>
  <c r="H54" i="38"/>
  <c r="H50" i="38"/>
  <c r="H46" i="38"/>
  <c r="H42" i="38"/>
  <c r="H38" i="38"/>
  <c r="H34" i="38"/>
  <c r="H30" i="38"/>
  <c r="H26" i="38"/>
  <c r="H22" i="38"/>
  <c r="H18" i="38"/>
  <c r="H14" i="38"/>
  <c r="K14" i="38" s="1"/>
  <c r="H10" i="38"/>
  <c r="K10" i="38" s="1"/>
  <c r="H105" i="38"/>
  <c r="H101" i="38"/>
  <c r="H97" i="38"/>
  <c r="H93" i="38"/>
  <c r="H89" i="38"/>
  <c r="H85" i="38"/>
  <c r="H81" i="38"/>
  <c r="H77" i="38"/>
  <c r="H73" i="38"/>
  <c r="H69" i="38"/>
  <c r="H65" i="38"/>
  <c r="H61" i="38"/>
  <c r="H57" i="38"/>
  <c r="H53" i="38"/>
  <c r="H49" i="38"/>
  <c r="H45" i="38"/>
  <c r="H41" i="38"/>
  <c r="H37" i="38"/>
  <c r="H33" i="38"/>
  <c r="H29" i="38"/>
  <c r="H25" i="38"/>
  <c r="H21" i="38"/>
  <c r="H17" i="38"/>
  <c r="H13" i="38"/>
  <c r="L13" i="38" s="1"/>
  <c r="H9" i="38"/>
  <c r="L9" i="38" s="1"/>
  <c r="H104" i="38"/>
  <c r="H100" i="38"/>
  <c r="H96" i="38"/>
  <c r="H92" i="38"/>
  <c r="H88" i="38"/>
  <c r="H84" i="38"/>
  <c r="H80" i="38"/>
  <c r="H76" i="38"/>
  <c r="H72" i="38"/>
  <c r="H68" i="38"/>
  <c r="H64" i="38"/>
  <c r="H60" i="38"/>
  <c r="H56" i="38"/>
  <c r="H52" i="38"/>
  <c r="H48" i="38"/>
  <c r="H44" i="38"/>
  <c r="H40" i="38"/>
  <c r="H36" i="38"/>
  <c r="H32" i="38"/>
  <c r="H28" i="38"/>
  <c r="H24" i="38"/>
  <c r="H20" i="38"/>
  <c r="H16" i="38"/>
  <c r="Y81" i="33"/>
  <c r="W81" i="33"/>
  <c r="V81" i="33"/>
  <c r="X81" i="33" s="1"/>
  <c r="U81" i="33"/>
  <c r="Y80" i="33"/>
  <c r="W80" i="33"/>
  <c r="X80" i="33" s="1"/>
  <c r="V80" i="33"/>
  <c r="U80" i="33"/>
  <c r="Y79" i="33"/>
  <c r="X79" i="33"/>
  <c r="W79" i="33"/>
  <c r="V79" i="33"/>
  <c r="U79" i="33"/>
  <c r="Y78" i="33"/>
  <c r="W78" i="33"/>
  <c r="V78" i="33"/>
  <c r="U78" i="33"/>
  <c r="X78" i="33" s="1"/>
  <c r="Y77" i="33"/>
  <c r="W77" i="33"/>
  <c r="V77" i="33"/>
  <c r="X77" i="33" s="1"/>
  <c r="U77" i="33"/>
  <c r="Y76" i="33"/>
  <c r="W76" i="33"/>
  <c r="X76" i="33" s="1"/>
  <c r="V76" i="33"/>
  <c r="U76" i="33"/>
  <c r="Y75" i="33"/>
  <c r="W75" i="33"/>
  <c r="V75" i="33"/>
  <c r="U75" i="33"/>
  <c r="X75" i="33" s="1"/>
  <c r="W66" i="33"/>
  <c r="V66" i="33"/>
  <c r="W65" i="33"/>
  <c r="V65" i="33"/>
  <c r="W64" i="33"/>
  <c r="V64" i="33"/>
  <c r="W63" i="33"/>
  <c r="V63" i="33"/>
  <c r="W62" i="33"/>
  <c r="V62" i="33"/>
  <c r="W61" i="33"/>
  <c r="V61" i="33"/>
  <c r="W60" i="33"/>
  <c r="V60" i="33"/>
  <c r="U66" i="33"/>
  <c r="U65" i="33"/>
  <c r="U64" i="33"/>
  <c r="U63" i="33"/>
  <c r="U62" i="33"/>
  <c r="U61" i="33"/>
  <c r="U60" i="33"/>
  <c r="Y51" i="33"/>
  <c r="W51" i="33"/>
  <c r="V51" i="33"/>
  <c r="U51" i="33"/>
  <c r="X51" i="33" s="1"/>
  <c r="Y50" i="33"/>
  <c r="W50" i="33"/>
  <c r="V50" i="33"/>
  <c r="U50" i="33"/>
  <c r="X50" i="33" s="1"/>
  <c r="Y49" i="33"/>
  <c r="W49" i="33"/>
  <c r="X49" i="33" s="1"/>
  <c r="V49" i="33"/>
  <c r="U49" i="33"/>
  <c r="Y48" i="33"/>
  <c r="W48" i="33"/>
  <c r="V48" i="33"/>
  <c r="U48" i="33"/>
  <c r="Y47" i="33"/>
  <c r="W47" i="33"/>
  <c r="V47" i="33"/>
  <c r="U47" i="33"/>
  <c r="Y46" i="33"/>
  <c r="W46" i="33"/>
  <c r="V46" i="33"/>
  <c r="U46" i="33"/>
  <c r="Y45" i="33"/>
  <c r="W45" i="33"/>
  <c r="V45" i="33"/>
  <c r="U45" i="33"/>
  <c r="Y36" i="33"/>
  <c r="W36" i="33"/>
  <c r="V36" i="33"/>
  <c r="U36" i="33"/>
  <c r="X36" i="33" s="1"/>
  <c r="Y35" i="33"/>
  <c r="W35" i="33"/>
  <c r="V35" i="33"/>
  <c r="U35" i="33"/>
  <c r="X35" i="33" s="1"/>
  <c r="Y34" i="33"/>
  <c r="W34" i="33"/>
  <c r="X34" i="33" s="1"/>
  <c r="V34" i="33"/>
  <c r="U34" i="33"/>
  <c r="Y33" i="33"/>
  <c r="W33" i="33"/>
  <c r="V33" i="33"/>
  <c r="U33" i="33"/>
  <c r="Y32" i="33"/>
  <c r="W32" i="33"/>
  <c r="V32" i="33"/>
  <c r="U32" i="33"/>
  <c r="Y31" i="33"/>
  <c r="W31" i="33"/>
  <c r="V31" i="33"/>
  <c r="U31" i="33"/>
  <c r="Y30" i="33"/>
  <c r="W30" i="33"/>
  <c r="V30" i="33"/>
  <c r="U30" i="33"/>
  <c r="U26" i="33"/>
  <c r="U25" i="33"/>
  <c r="U24" i="33"/>
  <c r="U23" i="33"/>
  <c r="U22" i="33"/>
  <c r="U21" i="33"/>
  <c r="U20" i="33"/>
  <c r="V20" i="33"/>
  <c r="W20" i="33"/>
  <c r="Y20" i="33"/>
  <c r="X20" i="33" s="1"/>
  <c r="V21" i="33"/>
  <c r="W21" i="33"/>
  <c r="Y21" i="33"/>
  <c r="X21" i="33" s="1"/>
  <c r="V22" i="33"/>
  <c r="W22" i="33"/>
  <c r="Y22" i="33"/>
  <c r="X22" i="33" s="1"/>
  <c r="V23" i="33"/>
  <c r="W23" i="33"/>
  <c r="Y23" i="33"/>
  <c r="X23" i="33" s="1"/>
  <c r="V24" i="33"/>
  <c r="W24" i="33"/>
  <c r="Y24" i="33"/>
  <c r="X24" i="33" s="1"/>
  <c r="V25" i="33"/>
  <c r="W25" i="33"/>
  <c r="Y25" i="33"/>
  <c r="X25" i="33" s="1"/>
  <c r="V26" i="33"/>
  <c r="W26" i="33"/>
  <c r="Y26" i="33"/>
  <c r="X26" i="33" s="1"/>
  <c r="Y11" i="33"/>
  <c r="Y12" i="33"/>
  <c r="Y13" i="33"/>
  <c r="Y14" i="33"/>
  <c r="Y15" i="33"/>
  <c r="Y16" i="33"/>
  <c r="X12" i="33"/>
  <c r="X15" i="33"/>
  <c r="X16" i="33"/>
  <c r="X30" i="33" l="1"/>
  <c r="X45" i="33"/>
  <c r="X33" i="33"/>
  <c r="X32" i="33"/>
  <c r="X31" i="33"/>
  <c r="X46" i="33"/>
  <c r="X47" i="33"/>
  <c r="X48" i="33"/>
  <c r="L10" i="39"/>
  <c r="K11" i="38"/>
  <c r="K11" i="39"/>
  <c r="M8" i="39"/>
  <c r="K13" i="39"/>
  <c r="L12" i="38"/>
  <c r="K8" i="39"/>
  <c r="L11" i="40"/>
  <c r="K14" i="40"/>
  <c r="L16" i="39"/>
  <c r="K9" i="38"/>
  <c r="L10" i="38"/>
  <c r="L12" i="39"/>
  <c r="K8" i="40"/>
  <c r="L8" i="38"/>
  <c r="M8" i="40"/>
  <c r="K13" i="38"/>
  <c r="K8" i="38"/>
  <c r="K17" i="39"/>
  <c r="K9" i="39"/>
  <c r="L14" i="38"/>
  <c r="K9" i="40"/>
  <c r="L9" i="40"/>
  <c r="K12" i="40"/>
  <c r="K13" i="40"/>
  <c r="L13" i="40"/>
  <c r="K15" i="39"/>
  <c r="U11" i="33"/>
  <c r="V11" i="33"/>
  <c r="X11" i="33" s="1"/>
  <c r="W11" i="33"/>
  <c r="U12" i="33"/>
  <c r="V12" i="33"/>
  <c r="W12" i="33"/>
  <c r="U13" i="33"/>
  <c r="V13" i="33"/>
  <c r="W13" i="33"/>
  <c r="X13" i="33" s="1"/>
  <c r="U14" i="33"/>
  <c r="V14" i="33"/>
  <c r="W14" i="33"/>
  <c r="X14" i="33" s="1"/>
  <c r="U15" i="33"/>
  <c r="V15" i="33"/>
  <c r="W15" i="33"/>
  <c r="U16" i="33"/>
  <c r="V16" i="33"/>
  <c r="W16" i="33"/>
  <c r="W10" i="33"/>
  <c r="V10" i="33"/>
  <c r="X10" i="33" s="1"/>
  <c r="U10" i="33"/>
  <c r="AA41" i="4" l="1"/>
  <c r="AR9" i="33"/>
  <c r="AP9" i="33"/>
  <c r="AQ9" i="33"/>
  <c r="AH9" i="33"/>
  <c r="AI9" i="33"/>
  <c r="AJ9" i="33"/>
  <c r="AK9" i="33"/>
  <c r="AL9" i="33"/>
  <c r="AM9" i="33"/>
  <c r="AN9" i="33"/>
  <c r="AO9" i="33"/>
  <c r="F7" i="1"/>
  <c r="A7" i="1"/>
  <c r="E8" i="4"/>
  <c r="F8" i="1" l="1"/>
  <c r="F8" i="48"/>
  <c r="F8" i="50"/>
  <c r="D19" i="51" s="1"/>
  <c r="B54" i="51" s="1"/>
  <c r="B55" i="51" s="1"/>
  <c r="F8" i="49"/>
  <c r="F7" i="25"/>
  <c r="D18" i="45" s="1"/>
  <c r="F7" i="50"/>
  <c r="D18" i="51" s="1"/>
  <c r="F7" i="48"/>
  <c r="F7" i="49"/>
  <c r="A7" i="25"/>
  <c r="A7" i="49"/>
  <c r="A7" i="50"/>
  <c r="A7" i="48"/>
  <c r="K8" i="32"/>
  <c r="K175" i="32"/>
  <c r="K176" i="32"/>
  <c r="K177" i="32"/>
  <c r="K178" i="32"/>
  <c r="K179" i="32"/>
  <c r="K180" i="32"/>
  <c r="K181" i="32"/>
  <c r="K182" i="32"/>
  <c r="K183" i="32"/>
  <c r="K184" i="32"/>
  <c r="K185" i="32"/>
  <c r="K186" i="32"/>
  <c r="K187" i="32"/>
  <c r="K188" i="32"/>
  <c r="K189" i="32"/>
  <c r="K190" i="32"/>
  <c r="K191" i="32"/>
  <c r="K192" i="32"/>
  <c r="K193" i="32"/>
  <c r="K194" i="32"/>
  <c r="K195" i="32"/>
  <c r="K196" i="32"/>
  <c r="K197" i="32"/>
  <c r="K201" i="32"/>
  <c r="K205" i="32"/>
  <c r="K206" i="32"/>
  <c r="K207" i="32"/>
  <c r="K208" i="32"/>
  <c r="K209" i="32"/>
  <c r="K210" i="32"/>
  <c r="K211" i="32"/>
  <c r="K212" i="32"/>
  <c r="K213" i="32"/>
  <c r="K214" i="32"/>
  <c r="K215" i="32"/>
  <c r="K216" i="32"/>
  <c r="K217" i="32"/>
  <c r="K218" i="32"/>
  <c r="K219" i="32"/>
  <c r="K220" i="32"/>
  <c r="K221" i="32"/>
  <c r="K222" i="32"/>
  <c r="K223" i="32"/>
  <c r="K224" i="32"/>
  <c r="J175" i="32"/>
  <c r="J176" i="32"/>
  <c r="J177" i="32"/>
  <c r="J178" i="32"/>
  <c r="J179" i="32"/>
  <c r="J180" i="32"/>
  <c r="J181" i="32"/>
  <c r="J182" i="32"/>
  <c r="J183" i="32"/>
  <c r="J184" i="32"/>
  <c r="J185" i="32"/>
  <c r="J186" i="32"/>
  <c r="J187" i="32"/>
  <c r="J188" i="32"/>
  <c r="J189" i="32"/>
  <c r="J190" i="32"/>
  <c r="J191" i="32"/>
  <c r="J192" i="32"/>
  <c r="J193" i="32"/>
  <c r="J194" i="32"/>
  <c r="J195" i="32"/>
  <c r="J196" i="32"/>
  <c r="J197" i="32"/>
  <c r="J198" i="32"/>
  <c r="K198" i="32" s="1"/>
  <c r="J199" i="32"/>
  <c r="K199" i="32" s="1"/>
  <c r="J200" i="32"/>
  <c r="K200" i="32" s="1"/>
  <c r="J201" i="32"/>
  <c r="J202" i="32"/>
  <c r="K202" i="32" s="1"/>
  <c r="J203" i="32"/>
  <c r="K203" i="32" s="1"/>
  <c r="J204" i="32"/>
  <c r="K204" i="32" s="1"/>
  <c r="J205" i="32"/>
  <c r="J206" i="32"/>
  <c r="J207" i="32"/>
  <c r="J208" i="32"/>
  <c r="J209" i="32"/>
  <c r="J210" i="32"/>
  <c r="J211" i="32"/>
  <c r="J212" i="32"/>
  <c r="J213" i="32"/>
  <c r="J214" i="32"/>
  <c r="J215" i="32"/>
  <c r="J216" i="32"/>
  <c r="J217" i="32"/>
  <c r="J218" i="32"/>
  <c r="J219" i="32"/>
  <c r="J220" i="32"/>
  <c r="J221" i="32"/>
  <c r="J222" i="32"/>
  <c r="J223" i="32"/>
  <c r="J224" i="32"/>
  <c r="J73" i="4"/>
  <c r="K73" i="4" s="1"/>
  <c r="J48" i="1" s="1"/>
  <c r="D162" i="11"/>
  <c r="D175" i="11" s="1"/>
  <c r="D188" i="11" s="1"/>
  <c r="D11" i="11"/>
  <c r="D39" i="11" s="1"/>
  <c r="B67" i="1"/>
  <c r="AA41" i="43"/>
  <c r="AA34" i="43" s="1"/>
  <c r="AA35" i="43" s="1"/>
  <c r="AC30" i="43"/>
  <c r="T25" i="43" s="1"/>
  <c r="AB30" i="43"/>
  <c r="AA30" i="43"/>
  <c r="Z30" i="43"/>
  <c r="Y30" i="43"/>
  <c r="O56" i="42"/>
  <c r="O36" i="42" s="1"/>
  <c r="O37" i="42" s="1"/>
  <c r="N56" i="42"/>
  <c r="N44" i="42" s="1"/>
  <c r="N45" i="42" s="1"/>
  <c r="Z41" i="43"/>
  <c r="Z34" i="43" s="1"/>
  <c r="Z35" i="43" s="1"/>
  <c r="Q33" i="42"/>
  <c r="T24" i="43" s="1"/>
  <c r="U24" i="43" s="1"/>
  <c r="P33" i="42"/>
  <c r="O33" i="42"/>
  <c r="N33" i="42"/>
  <c r="M33" i="42"/>
  <c r="R10" i="42"/>
  <c r="Q1" i="42"/>
  <c r="H36" i="37"/>
  <c r="H37" i="37"/>
  <c r="H38" i="37"/>
  <c r="H39" i="37"/>
  <c r="H40" i="37"/>
  <c r="H41" i="37"/>
  <c r="H18" i="37"/>
  <c r="H19" i="37"/>
  <c r="H20" i="37"/>
  <c r="H21" i="37"/>
  <c r="H22" i="37"/>
  <c r="H23" i="37"/>
  <c r="H9" i="37"/>
  <c r="H10" i="37"/>
  <c r="H11" i="37"/>
  <c r="H12" i="37"/>
  <c r="H13" i="37"/>
  <c r="H14" i="37"/>
  <c r="H15" i="37"/>
  <c r="H16" i="37"/>
  <c r="H17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59" i="37"/>
  <c r="H60" i="37"/>
  <c r="H61" i="37"/>
  <c r="H62" i="37"/>
  <c r="H63" i="37"/>
  <c r="H64" i="37"/>
  <c r="H65" i="37"/>
  <c r="H66" i="37"/>
  <c r="H67" i="37"/>
  <c r="H68" i="37"/>
  <c r="H69" i="37"/>
  <c r="H8" i="37"/>
  <c r="B16" i="25"/>
  <c r="B9" i="4"/>
  <c r="A9" i="25" s="1"/>
  <c r="B8" i="4"/>
  <c r="B61" i="1"/>
  <c r="B58" i="25"/>
  <c r="J115" i="32"/>
  <c r="K115" i="32"/>
  <c r="J116" i="32"/>
  <c r="K116" i="32"/>
  <c r="J117" i="32"/>
  <c r="K117" i="32"/>
  <c r="J118" i="32"/>
  <c r="K118" i="32"/>
  <c r="J119" i="32"/>
  <c r="K119" i="32"/>
  <c r="J120" i="32"/>
  <c r="K120" i="32"/>
  <c r="J121" i="32"/>
  <c r="K121" i="32"/>
  <c r="J122" i="32"/>
  <c r="K122" i="32"/>
  <c r="J123" i="32"/>
  <c r="K123" i="32"/>
  <c r="J124" i="32"/>
  <c r="K124" i="32"/>
  <c r="J125" i="32"/>
  <c r="K125" i="32"/>
  <c r="J126" i="32"/>
  <c r="K126" i="32"/>
  <c r="J127" i="32"/>
  <c r="K127" i="32"/>
  <c r="J128" i="32"/>
  <c r="K128" i="32"/>
  <c r="J129" i="32"/>
  <c r="K129" i="32"/>
  <c r="J130" i="32"/>
  <c r="K130" i="32"/>
  <c r="J131" i="32"/>
  <c r="K131" i="32"/>
  <c r="J132" i="32"/>
  <c r="K132" i="32"/>
  <c r="J133" i="32"/>
  <c r="K133" i="32"/>
  <c r="J134" i="32"/>
  <c r="K134" i="32"/>
  <c r="J135" i="32"/>
  <c r="K135" i="32"/>
  <c r="J136" i="32"/>
  <c r="K136" i="32"/>
  <c r="J137" i="32"/>
  <c r="K137" i="32"/>
  <c r="J138" i="32"/>
  <c r="K138" i="32"/>
  <c r="J139" i="32"/>
  <c r="K139" i="32"/>
  <c r="J140" i="32"/>
  <c r="K140" i="32"/>
  <c r="J141" i="32"/>
  <c r="K141" i="32"/>
  <c r="J142" i="32"/>
  <c r="K142" i="32"/>
  <c r="J143" i="32"/>
  <c r="K143" i="32"/>
  <c r="J144" i="32"/>
  <c r="K144" i="32"/>
  <c r="J145" i="32"/>
  <c r="K145" i="32"/>
  <c r="J146" i="32"/>
  <c r="K146" i="32"/>
  <c r="J147" i="32"/>
  <c r="K147" i="32"/>
  <c r="J148" i="32"/>
  <c r="K148" i="32"/>
  <c r="J149" i="32"/>
  <c r="K149" i="32"/>
  <c r="J150" i="32"/>
  <c r="K150" i="32"/>
  <c r="J151" i="32"/>
  <c r="K151" i="32"/>
  <c r="J152" i="32"/>
  <c r="K152" i="32"/>
  <c r="J153" i="32"/>
  <c r="K153" i="32"/>
  <c r="J154" i="32"/>
  <c r="K154" i="32"/>
  <c r="J155" i="32"/>
  <c r="K155" i="32"/>
  <c r="J156" i="32"/>
  <c r="K156" i="32"/>
  <c r="J157" i="32"/>
  <c r="K157" i="32"/>
  <c r="J158" i="32"/>
  <c r="K158" i="32"/>
  <c r="J159" i="32"/>
  <c r="K159" i="32"/>
  <c r="J160" i="32"/>
  <c r="K160" i="32"/>
  <c r="J161" i="32"/>
  <c r="K161" i="32"/>
  <c r="J162" i="32"/>
  <c r="K162" i="32"/>
  <c r="J163" i="32"/>
  <c r="K163" i="32"/>
  <c r="J164" i="32"/>
  <c r="K164" i="32"/>
  <c r="J165" i="32"/>
  <c r="K165" i="32"/>
  <c r="J166" i="32"/>
  <c r="K166" i="32"/>
  <c r="J167" i="32"/>
  <c r="K167" i="32"/>
  <c r="J168" i="32"/>
  <c r="K168" i="32"/>
  <c r="J169" i="32"/>
  <c r="K169" i="32"/>
  <c r="J170" i="32"/>
  <c r="K170" i="32"/>
  <c r="J171" i="32"/>
  <c r="K171" i="32"/>
  <c r="J172" i="32"/>
  <c r="K172" i="32"/>
  <c r="J173" i="32"/>
  <c r="K173" i="32"/>
  <c r="J174" i="32"/>
  <c r="K174" i="32"/>
  <c r="B170" i="11"/>
  <c r="E186" i="11"/>
  <c r="E173" i="11"/>
  <c r="E160" i="11"/>
  <c r="E143" i="11"/>
  <c r="E129" i="11"/>
  <c r="E115" i="11"/>
  <c r="E102" i="11"/>
  <c r="E88" i="11"/>
  <c r="E74" i="11"/>
  <c r="E60" i="11"/>
  <c r="E37" i="11"/>
  <c r="E23" i="11"/>
  <c r="E9" i="11"/>
  <c r="K45" i="25"/>
  <c r="J29" i="25"/>
  <c r="L45" i="25"/>
  <c r="F45" i="25"/>
  <c r="K29" i="25"/>
  <c r="I29" i="25"/>
  <c r="V45" i="1"/>
  <c r="AA49" i="1" s="1"/>
  <c r="I25" i="1"/>
  <c r="N25" i="1" s="1"/>
  <c r="I45" i="25"/>
  <c r="F50" i="25"/>
  <c r="F49" i="25"/>
  <c r="H48" i="25"/>
  <c r="G48" i="25"/>
  <c r="F48" i="25"/>
  <c r="J45" i="25"/>
  <c r="F50" i="1"/>
  <c r="F49" i="1"/>
  <c r="F48" i="1"/>
  <c r="H48" i="1"/>
  <c r="G48" i="1"/>
  <c r="A183" i="11"/>
  <c r="A170" i="11"/>
  <c r="A157" i="11"/>
  <c r="D186" i="11"/>
  <c r="F186" i="11" s="1"/>
  <c r="I186" i="11" s="1"/>
  <c r="D173" i="11"/>
  <c r="F173" i="11" s="1"/>
  <c r="I173" i="11" s="1"/>
  <c r="D160" i="11"/>
  <c r="J75" i="4"/>
  <c r="K75" i="4" s="1"/>
  <c r="J50" i="1" s="1"/>
  <c r="Y66" i="33"/>
  <c r="X66" i="33" s="1"/>
  <c r="Y65" i="33"/>
  <c r="X65" i="33" s="1"/>
  <c r="Y64" i="33"/>
  <c r="X64" i="33" s="1"/>
  <c r="Y63" i="33"/>
  <c r="X63" i="33" s="1"/>
  <c r="Y62" i="33"/>
  <c r="X62" i="33" s="1"/>
  <c r="Y61" i="33"/>
  <c r="X61" i="33" s="1"/>
  <c r="Y60" i="33"/>
  <c r="X60" i="33" s="1"/>
  <c r="H29" i="25"/>
  <c r="F29" i="25"/>
  <c r="C29" i="25"/>
  <c r="O200" i="33"/>
  <c r="O199" i="33"/>
  <c r="O198" i="33"/>
  <c r="O197" i="33"/>
  <c r="O196" i="33"/>
  <c r="O195" i="33"/>
  <c r="O194" i="33"/>
  <c r="O185" i="33"/>
  <c r="O184" i="33"/>
  <c r="O183" i="33"/>
  <c r="O182" i="33"/>
  <c r="O181" i="33"/>
  <c r="O180" i="33"/>
  <c r="O179" i="33"/>
  <c r="O170" i="33"/>
  <c r="O169" i="33"/>
  <c r="O168" i="33"/>
  <c r="O167" i="33"/>
  <c r="O166" i="33"/>
  <c r="O165" i="33"/>
  <c r="O164" i="33"/>
  <c r="O156" i="33"/>
  <c r="O155" i="33"/>
  <c r="O154" i="33"/>
  <c r="O153" i="33"/>
  <c r="O152" i="33"/>
  <c r="O151" i="33"/>
  <c r="O150" i="33"/>
  <c r="O141" i="33"/>
  <c r="O140" i="33"/>
  <c r="O139" i="33"/>
  <c r="O138" i="33"/>
  <c r="O137" i="33"/>
  <c r="O136" i="33"/>
  <c r="O135" i="33"/>
  <c r="O126" i="33"/>
  <c r="O125" i="33"/>
  <c r="O124" i="33"/>
  <c r="O123" i="33"/>
  <c r="O122" i="33"/>
  <c r="O121" i="33"/>
  <c r="O120" i="33"/>
  <c r="O111" i="33"/>
  <c r="O110" i="33"/>
  <c r="O109" i="33"/>
  <c r="O108" i="33"/>
  <c r="O107" i="33"/>
  <c r="O106" i="33"/>
  <c r="O105" i="33"/>
  <c r="O96" i="33"/>
  <c r="O95" i="33"/>
  <c r="O94" i="33"/>
  <c r="O93" i="33"/>
  <c r="O92" i="33"/>
  <c r="O91" i="33"/>
  <c r="O90" i="33"/>
  <c r="O81" i="33"/>
  <c r="O80" i="33"/>
  <c r="O79" i="33"/>
  <c r="O78" i="33"/>
  <c r="O77" i="33"/>
  <c r="O76" i="33"/>
  <c r="O75" i="33"/>
  <c r="O66" i="33"/>
  <c r="O65" i="33"/>
  <c r="O64" i="33"/>
  <c r="O63" i="33"/>
  <c r="O62" i="33"/>
  <c r="O61" i="33"/>
  <c r="O60" i="33"/>
  <c r="O51" i="33"/>
  <c r="O50" i="33"/>
  <c r="O49" i="33"/>
  <c r="O48" i="33"/>
  <c r="O47" i="33"/>
  <c r="O46" i="33"/>
  <c r="O45" i="33"/>
  <c r="O36" i="33"/>
  <c r="O35" i="33"/>
  <c r="O34" i="33"/>
  <c r="O33" i="33"/>
  <c r="O32" i="33"/>
  <c r="O31" i="33"/>
  <c r="O30" i="33"/>
  <c r="O26" i="33"/>
  <c r="O25" i="33"/>
  <c r="O24" i="33"/>
  <c r="O23" i="33"/>
  <c r="O22" i="33"/>
  <c r="O21" i="33"/>
  <c r="O20" i="33"/>
  <c r="O11" i="33"/>
  <c r="O12" i="33"/>
  <c r="O13" i="33"/>
  <c r="O14" i="33"/>
  <c r="O15" i="33"/>
  <c r="O16" i="33"/>
  <c r="O10" i="33"/>
  <c r="Y10" i="33"/>
  <c r="J24" i="1"/>
  <c r="J23" i="1"/>
  <c r="B25" i="1"/>
  <c r="B24" i="1"/>
  <c r="B23" i="1"/>
  <c r="I24" i="1"/>
  <c r="I23" i="1"/>
  <c r="C33" i="25"/>
  <c r="C34" i="25"/>
  <c r="C35" i="25"/>
  <c r="C36" i="25"/>
  <c r="C37" i="25"/>
  <c r="C38" i="25"/>
  <c r="C39" i="25"/>
  <c r="C40" i="25"/>
  <c r="C41" i="25"/>
  <c r="C32" i="25"/>
  <c r="B28" i="1"/>
  <c r="G40" i="25"/>
  <c r="G38" i="1"/>
  <c r="G36" i="1"/>
  <c r="G34" i="1"/>
  <c r="G32" i="1"/>
  <c r="G29" i="1"/>
  <c r="H143" i="11"/>
  <c r="H129" i="11"/>
  <c r="H115" i="11"/>
  <c r="H102" i="11"/>
  <c r="H88" i="11"/>
  <c r="H74" i="11"/>
  <c r="H60" i="11"/>
  <c r="H37" i="11"/>
  <c r="H23" i="11"/>
  <c r="H9" i="11"/>
  <c r="J74" i="4"/>
  <c r="K74" i="4" s="1"/>
  <c r="J49" i="1" s="1"/>
  <c r="K52" i="4"/>
  <c r="K54" i="4"/>
  <c r="K55" i="4"/>
  <c r="K57" i="4"/>
  <c r="K58" i="4"/>
  <c r="K60" i="4"/>
  <c r="K61" i="4"/>
  <c r="K63" i="4"/>
  <c r="K64" i="4"/>
  <c r="K51" i="4"/>
  <c r="J44" i="4"/>
  <c r="J25" i="1" s="1"/>
  <c r="F21" i="41"/>
  <c r="F20" i="41"/>
  <c r="F19" i="41"/>
  <c r="F18" i="41"/>
  <c r="F17" i="41"/>
  <c r="F16" i="41"/>
  <c r="H13" i="41" s="1"/>
  <c r="K13" i="41" s="1"/>
  <c r="F8" i="39"/>
  <c r="F71" i="38"/>
  <c r="F70" i="38"/>
  <c r="F69" i="38"/>
  <c r="F68" i="38"/>
  <c r="F67" i="38"/>
  <c r="F66" i="38"/>
  <c r="F65" i="38"/>
  <c r="F64" i="38"/>
  <c r="F63" i="38"/>
  <c r="F62" i="38"/>
  <c r="F61" i="38"/>
  <c r="F60" i="38"/>
  <c r="F59" i="38"/>
  <c r="F58" i="38"/>
  <c r="F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D63" i="4"/>
  <c r="F40" i="1" s="1"/>
  <c r="F40" i="50" s="1"/>
  <c r="H69" i="1"/>
  <c r="H58" i="34"/>
  <c r="H43" i="34"/>
  <c r="K3" i="34"/>
  <c r="D64" i="4" s="1"/>
  <c r="F41" i="1" s="1"/>
  <c r="F41" i="50" s="1"/>
  <c r="K2" i="34"/>
  <c r="J9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62" i="32"/>
  <c r="K63" i="32"/>
  <c r="K64" i="32"/>
  <c r="K65" i="32"/>
  <c r="K66" i="32"/>
  <c r="K67" i="32"/>
  <c r="K68" i="32"/>
  <c r="K69" i="32"/>
  <c r="K70" i="32"/>
  <c r="K71" i="32"/>
  <c r="K72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J88" i="32"/>
  <c r="K88" i="32"/>
  <c r="J89" i="32"/>
  <c r="K89" i="32"/>
  <c r="J90" i="32"/>
  <c r="K90" i="32"/>
  <c r="J91" i="32"/>
  <c r="K91" i="32"/>
  <c r="J92" i="32"/>
  <c r="K92" i="32"/>
  <c r="J93" i="32"/>
  <c r="K93" i="32"/>
  <c r="J94" i="32"/>
  <c r="K94" i="32"/>
  <c r="K95" i="32"/>
  <c r="K96" i="32"/>
  <c r="K97" i="32"/>
  <c r="K98" i="32"/>
  <c r="K99" i="32"/>
  <c r="K100" i="32"/>
  <c r="K101" i="32"/>
  <c r="K102" i="32"/>
  <c r="K103" i="32"/>
  <c r="K104" i="32"/>
  <c r="K105" i="32"/>
  <c r="K106" i="32"/>
  <c r="K107" i="32"/>
  <c r="K108" i="32"/>
  <c r="K109" i="32"/>
  <c r="K110" i="32"/>
  <c r="K111" i="32"/>
  <c r="K112" i="32"/>
  <c r="K113" i="32"/>
  <c r="K114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62" i="32"/>
  <c r="J63" i="32"/>
  <c r="J64" i="32"/>
  <c r="J65" i="32"/>
  <c r="J66" i="32"/>
  <c r="J67" i="32"/>
  <c r="J68" i="32"/>
  <c r="J69" i="32"/>
  <c r="J70" i="32"/>
  <c r="J71" i="32"/>
  <c r="J72" i="32"/>
  <c r="J73" i="32"/>
  <c r="J74" i="32"/>
  <c r="J75" i="32"/>
  <c r="J76" i="32"/>
  <c r="J77" i="32"/>
  <c r="J78" i="32"/>
  <c r="J79" i="32"/>
  <c r="J80" i="32"/>
  <c r="J81" i="32"/>
  <c r="J82" i="32"/>
  <c r="J83" i="32"/>
  <c r="J84" i="32"/>
  <c r="J85" i="32"/>
  <c r="J86" i="32"/>
  <c r="J87" i="32"/>
  <c r="J95" i="32"/>
  <c r="J96" i="32"/>
  <c r="J97" i="32"/>
  <c r="J98" i="32"/>
  <c r="J99" i="32"/>
  <c r="J100" i="32"/>
  <c r="J101" i="32"/>
  <c r="J102" i="32"/>
  <c r="J103" i="32"/>
  <c r="J104" i="32"/>
  <c r="J105" i="32"/>
  <c r="J106" i="32"/>
  <c r="J107" i="32"/>
  <c r="J108" i="32"/>
  <c r="J109" i="32"/>
  <c r="J110" i="32"/>
  <c r="J111" i="32"/>
  <c r="J112" i="32"/>
  <c r="J113" i="32"/>
  <c r="J114" i="32"/>
  <c r="J8" i="32"/>
  <c r="AB11" i="33"/>
  <c r="AC11" i="33"/>
  <c r="AB12" i="33"/>
  <c r="AC12" i="33"/>
  <c r="AB13" i="33"/>
  <c r="AC13" i="33"/>
  <c r="AB14" i="33"/>
  <c r="AC14" i="33"/>
  <c r="AB15" i="33"/>
  <c r="AC15" i="33"/>
  <c r="AB16" i="33"/>
  <c r="AC16" i="33"/>
  <c r="AB17" i="33"/>
  <c r="AC17" i="33"/>
  <c r="AB18" i="33"/>
  <c r="AC18" i="33"/>
  <c r="AB19" i="33"/>
  <c r="AC19" i="33"/>
  <c r="AB20" i="33"/>
  <c r="AC20" i="33"/>
  <c r="AB21" i="33"/>
  <c r="AC21" i="33"/>
  <c r="AB22" i="33"/>
  <c r="AC22" i="33"/>
  <c r="AB23" i="33"/>
  <c r="AC23" i="33"/>
  <c r="AB24" i="33"/>
  <c r="AC24" i="33"/>
  <c r="AB25" i="33"/>
  <c r="AC25" i="33"/>
  <c r="AB26" i="33"/>
  <c r="AC26" i="33"/>
  <c r="AB27" i="33"/>
  <c r="AC27" i="33"/>
  <c r="AB28" i="33"/>
  <c r="AC28" i="33"/>
  <c r="AB29" i="33"/>
  <c r="AC29" i="33"/>
  <c r="AB30" i="33"/>
  <c r="AC30" i="33"/>
  <c r="AB31" i="33"/>
  <c r="AC31" i="33"/>
  <c r="AB32" i="33"/>
  <c r="AC32" i="33"/>
  <c r="AB33" i="33"/>
  <c r="AC33" i="33"/>
  <c r="AB34" i="33"/>
  <c r="AC34" i="33"/>
  <c r="AB35" i="33"/>
  <c r="AC35" i="33"/>
  <c r="AB36" i="33"/>
  <c r="AC36" i="33"/>
  <c r="AB37" i="33"/>
  <c r="AC37" i="33"/>
  <c r="AB38" i="33"/>
  <c r="AC38" i="33"/>
  <c r="AB39" i="33"/>
  <c r="AC39" i="33"/>
  <c r="AB40" i="33"/>
  <c r="AC40" i="33"/>
  <c r="AB41" i="33"/>
  <c r="AC41" i="33"/>
  <c r="AB42" i="33"/>
  <c r="AC42" i="33"/>
  <c r="AB43" i="33"/>
  <c r="AC43" i="33"/>
  <c r="AB44" i="33"/>
  <c r="AC44" i="33"/>
  <c r="AB45" i="33"/>
  <c r="AC45" i="33" s="1"/>
  <c r="AB46" i="33"/>
  <c r="AC46" i="33" s="1"/>
  <c r="AB47" i="33"/>
  <c r="AC47" i="33" s="1"/>
  <c r="AB48" i="33"/>
  <c r="AC48" i="33" s="1"/>
  <c r="AB49" i="33"/>
  <c r="AC49" i="33" s="1"/>
  <c r="AB50" i="33"/>
  <c r="AC50" i="33" s="1"/>
  <c r="AB51" i="33"/>
  <c r="AC51" i="33" s="1"/>
  <c r="AB52" i="33"/>
  <c r="AC52" i="33"/>
  <c r="AB53" i="33"/>
  <c r="AC53" i="33"/>
  <c r="AB54" i="33"/>
  <c r="AC54" i="33"/>
  <c r="AB55" i="33"/>
  <c r="AC55" i="33"/>
  <c r="AB56" i="33"/>
  <c r="AC56" i="33"/>
  <c r="AB57" i="33"/>
  <c r="AC57" i="33"/>
  <c r="AB58" i="33"/>
  <c r="AC58" i="33"/>
  <c r="AB59" i="33"/>
  <c r="AC59" i="33"/>
  <c r="AB60" i="33"/>
  <c r="AC60" i="33" s="1"/>
  <c r="AB61" i="33"/>
  <c r="AC61" i="33"/>
  <c r="AB62" i="33"/>
  <c r="AC62" i="33" s="1"/>
  <c r="AB63" i="33"/>
  <c r="AC63" i="33" s="1"/>
  <c r="AB64" i="33"/>
  <c r="AC64" i="33" s="1"/>
  <c r="AB65" i="33"/>
  <c r="AC65" i="33" s="1"/>
  <c r="AB66" i="33"/>
  <c r="AC66" i="33" s="1"/>
  <c r="AB67" i="33"/>
  <c r="AC67" i="33"/>
  <c r="AB68" i="33"/>
  <c r="AC68" i="33"/>
  <c r="AB69" i="33"/>
  <c r="AC69" i="33"/>
  <c r="AB70" i="33"/>
  <c r="AC70" i="33"/>
  <c r="AB71" i="33"/>
  <c r="AC71" i="33"/>
  <c r="AB72" i="33"/>
  <c r="AC72" i="33"/>
  <c r="AB73" i="33"/>
  <c r="AC73" i="33"/>
  <c r="AB74" i="33"/>
  <c r="AC74" i="33"/>
  <c r="AB75" i="33"/>
  <c r="AC75" i="33" s="1"/>
  <c r="AB76" i="33"/>
  <c r="AC76" i="33" s="1"/>
  <c r="AB77" i="33"/>
  <c r="AC77" i="33"/>
  <c r="AB78" i="33"/>
  <c r="AC78" i="33" s="1"/>
  <c r="AB79" i="33"/>
  <c r="AC79" i="33" s="1"/>
  <c r="AB80" i="33"/>
  <c r="AC80" i="33" s="1"/>
  <c r="AB81" i="33"/>
  <c r="AC81" i="33" s="1"/>
  <c r="AB82" i="33"/>
  <c r="AC82" i="33"/>
  <c r="AB83" i="33"/>
  <c r="AC83" i="33"/>
  <c r="AB84" i="33"/>
  <c r="AC84" i="33"/>
  <c r="AB85" i="33"/>
  <c r="AC85" i="33"/>
  <c r="AB86" i="33"/>
  <c r="AC86" i="33"/>
  <c r="AB87" i="33"/>
  <c r="AC87" i="33"/>
  <c r="AB88" i="33"/>
  <c r="AC88" i="33"/>
  <c r="AB89" i="33"/>
  <c r="AC89" i="33"/>
  <c r="AB90" i="33"/>
  <c r="AC90" i="33"/>
  <c r="AB91" i="33"/>
  <c r="AC91" i="33"/>
  <c r="AB92" i="33"/>
  <c r="AC92" i="33"/>
  <c r="AB93" i="33"/>
  <c r="AC93" i="33"/>
  <c r="AB94" i="33"/>
  <c r="AC94" i="33"/>
  <c r="AB95" i="33"/>
  <c r="AC95" i="33"/>
  <c r="AB96" i="33"/>
  <c r="AC96" i="33"/>
  <c r="AB97" i="33"/>
  <c r="AC97" i="33"/>
  <c r="AB98" i="33"/>
  <c r="AC98" i="33"/>
  <c r="AB99" i="33"/>
  <c r="AC99" i="33"/>
  <c r="AB100" i="33"/>
  <c r="AC100" i="33"/>
  <c r="AB101" i="33"/>
  <c r="AC101" i="33"/>
  <c r="AB102" i="33"/>
  <c r="AC102" i="33"/>
  <c r="AB103" i="33"/>
  <c r="AC103" i="33"/>
  <c r="AB104" i="33"/>
  <c r="AC104" i="33"/>
  <c r="AB105" i="33"/>
  <c r="AC105" i="33"/>
  <c r="AB106" i="33"/>
  <c r="AC106" i="33"/>
  <c r="AB107" i="33"/>
  <c r="AC107" i="33"/>
  <c r="AB108" i="33"/>
  <c r="AC108" i="33"/>
  <c r="AB109" i="33"/>
  <c r="AC109" i="33"/>
  <c r="AB110" i="33"/>
  <c r="AC110" i="33"/>
  <c r="AB111" i="33"/>
  <c r="AC111" i="33"/>
  <c r="AB112" i="33"/>
  <c r="AC112" i="33"/>
  <c r="AB113" i="33"/>
  <c r="AC113" i="33"/>
  <c r="AB114" i="33"/>
  <c r="AC114" i="33"/>
  <c r="AB115" i="33"/>
  <c r="AC115" i="33"/>
  <c r="AB116" i="33"/>
  <c r="AC116" i="33"/>
  <c r="AB117" i="33"/>
  <c r="AC117" i="33"/>
  <c r="AB118" i="33"/>
  <c r="AC118" i="33"/>
  <c r="AB119" i="33"/>
  <c r="AC119" i="33"/>
  <c r="AB120" i="33"/>
  <c r="AC120" i="33"/>
  <c r="AB121" i="33"/>
  <c r="AC121" i="33"/>
  <c r="AB122" i="33"/>
  <c r="AC122" i="33"/>
  <c r="AB123" i="33"/>
  <c r="AC123" i="33"/>
  <c r="AB124" i="33"/>
  <c r="AC124" i="33"/>
  <c r="AB125" i="33"/>
  <c r="AC125" i="33"/>
  <c r="AB126" i="33"/>
  <c r="AC126" i="33"/>
  <c r="AB127" i="33"/>
  <c r="AC127" i="33"/>
  <c r="AB128" i="33"/>
  <c r="AC128" i="33"/>
  <c r="AB129" i="33"/>
  <c r="AC129" i="33"/>
  <c r="AB130" i="33"/>
  <c r="AC130" i="33"/>
  <c r="AB131" i="33"/>
  <c r="AC131" i="33"/>
  <c r="AB132" i="33"/>
  <c r="AC132" i="33"/>
  <c r="AB133" i="33"/>
  <c r="AC133" i="33"/>
  <c r="AB134" i="33"/>
  <c r="AC134" i="33"/>
  <c r="AB135" i="33"/>
  <c r="AC135" i="33"/>
  <c r="AB136" i="33"/>
  <c r="AC136" i="33"/>
  <c r="AB137" i="33"/>
  <c r="AC137" i="33"/>
  <c r="AB138" i="33"/>
  <c r="AC138" i="33"/>
  <c r="AB139" i="33"/>
  <c r="AC139" i="33"/>
  <c r="AB140" i="33"/>
  <c r="AC140" i="33"/>
  <c r="AB141" i="33"/>
  <c r="AC141" i="33"/>
  <c r="AB142" i="33"/>
  <c r="AC142" i="33"/>
  <c r="AB143" i="33"/>
  <c r="AC143" i="33"/>
  <c r="AB144" i="33"/>
  <c r="AC144" i="33"/>
  <c r="AB145" i="33"/>
  <c r="AC145" i="33"/>
  <c r="AB146" i="33"/>
  <c r="AC146" i="33"/>
  <c r="AB147" i="33"/>
  <c r="AC147" i="33"/>
  <c r="AB148" i="33"/>
  <c r="AC148" i="33"/>
  <c r="AB149" i="33"/>
  <c r="AC149" i="33"/>
  <c r="AB150" i="33"/>
  <c r="AC150" i="33"/>
  <c r="AB151" i="33"/>
  <c r="AC151" i="33"/>
  <c r="AB152" i="33"/>
  <c r="AC152" i="33"/>
  <c r="AB153" i="33"/>
  <c r="AC153" i="33"/>
  <c r="AB154" i="33"/>
  <c r="AC154" i="33"/>
  <c r="AB155" i="33"/>
  <c r="AC155" i="33"/>
  <c r="AB156" i="33"/>
  <c r="AC156" i="33"/>
  <c r="AB157" i="33"/>
  <c r="AC157" i="33"/>
  <c r="AB158" i="33"/>
  <c r="AC158" i="33"/>
  <c r="AB159" i="33"/>
  <c r="AC159" i="33"/>
  <c r="AB160" i="33"/>
  <c r="AC160" i="33"/>
  <c r="AB161" i="33"/>
  <c r="AC161" i="33"/>
  <c r="AB162" i="33"/>
  <c r="AC162" i="33"/>
  <c r="AB163" i="33"/>
  <c r="AC163" i="33"/>
  <c r="AB164" i="33"/>
  <c r="AC164" i="33"/>
  <c r="AB165" i="33"/>
  <c r="AC165" i="33"/>
  <c r="AB166" i="33"/>
  <c r="AC166" i="33"/>
  <c r="AB167" i="33"/>
  <c r="AC167" i="33"/>
  <c r="AB168" i="33"/>
  <c r="AC168" i="33"/>
  <c r="AB169" i="33"/>
  <c r="AC169" i="33"/>
  <c r="AB170" i="33"/>
  <c r="AC170" i="33"/>
  <c r="AB171" i="33"/>
  <c r="AC171" i="33"/>
  <c r="AB172" i="33"/>
  <c r="AC172" i="33"/>
  <c r="AB173" i="33"/>
  <c r="AC173" i="33"/>
  <c r="AB174" i="33"/>
  <c r="AC174" i="33"/>
  <c r="AB175" i="33"/>
  <c r="AC175" i="33"/>
  <c r="AB176" i="33"/>
  <c r="AC176" i="33"/>
  <c r="AB177" i="33"/>
  <c r="AC177" i="33"/>
  <c r="AB178" i="33"/>
  <c r="AC178" i="33"/>
  <c r="AB179" i="33"/>
  <c r="AC179" i="33"/>
  <c r="AB180" i="33"/>
  <c r="AC180" i="33"/>
  <c r="AB181" i="33"/>
  <c r="AC181" i="33"/>
  <c r="AB182" i="33"/>
  <c r="AC182" i="33"/>
  <c r="AB183" i="33"/>
  <c r="AC183" i="33"/>
  <c r="AB184" i="33"/>
  <c r="AC184" i="33"/>
  <c r="AB185" i="33"/>
  <c r="AC185" i="33"/>
  <c r="AB186" i="33"/>
  <c r="AC186" i="33"/>
  <c r="AB187" i="33"/>
  <c r="AC187" i="33"/>
  <c r="AB188" i="33"/>
  <c r="AC188" i="33"/>
  <c r="AB189" i="33"/>
  <c r="AC189" i="33"/>
  <c r="AB190" i="33"/>
  <c r="AC190" i="33"/>
  <c r="AB191" i="33"/>
  <c r="AC191" i="33"/>
  <c r="AB192" i="33"/>
  <c r="AC192" i="33"/>
  <c r="AB193" i="33"/>
  <c r="AC193" i="33"/>
  <c r="AB194" i="33"/>
  <c r="AC194" i="33"/>
  <c r="AB195" i="33"/>
  <c r="AC195" i="33"/>
  <c r="AB196" i="33"/>
  <c r="AC196" i="33"/>
  <c r="AB197" i="33"/>
  <c r="AC197" i="33"/>
  <c r="AB198" i="33"/>
  <c r="AC198" i="33"/>
  <c r="AB199" i="33"/>
  <c r="AC199" i="33"/>
  <c r="AB200" i="33"/>
  <c r="AC200" i="33"/>
  <c r="AB201" i="33"/>
  <c r="AC201" i="33"/>
  <c r="AB202" i="33"/>
  <c r="AC202" i="33"/>
  <c r="AB203" i="33"/>
  <c r="AC203" i="33"/>
  <c r="AB204" i="33"/>
  <c r="AC204" i="33"/>
  <c r="D60" i="11"/>
  <c r="F60" i="11" s="1"/>
  <c r="I60" i="11" s="1"/>
  <c r="D9" i="11"/>
  <c r="F9" i="11" s="1"/>
  <c r="I9" i="11" s="1"/>
  <c r="D37" i="11"/>
  <c r="D74" i="11"/>
  <c r="F74" i="11" s="1"/>
  <c r="I74" i="11" s="1"/>
  <c r="D88" i="11"/>
  <c r="D102" i="11"/>
  <c r="D115" i="11"/>
  <c r="F115" i="11" s="1"/>
  <c r="I115" i="11" s="1"/>
  <c r="D23" i="11"/>
  <c r="F23" i="11" s="1"/>
  <c r="I23" i="11" s="1"/>
  <c r="D143" i="11"/>
  <c r="D129" i="11"/>
  <c r="F129" i="11" s="1"/>
  <c r="I129" i="11" s="1"/>
  <c r="J61" i="34"/>
  <c r="K61" i="34"/>
  <c r="J62" i="34"/>
  <c r="K62" i="34"/>
  <c r="J63" i="34"/>
  <c r="K63" i="34"/>
  <c r="J64" i="34"/>
  <c r="K64" i="34"/>
  <c r="J65" i="34"/>
  <c r="K65" i="34"/>
  <c r="J66" i="34"/>
  <c r="K66" i="34"/>
  <c r="J67" i="34"/>
  <c r="K67" i="34"/>
  <c r="J68" i="34"/>
  <c r="K68" i="34"/>
  <c r="J69" i="34"/>
  <c r="K69" i="34"/>
  <c r="J70" i="34"/>
  <c r="K70" i="34"/>
  <c r="J71" i="34"/>
  <c r="K71" i="34"/>
  <c r="J72" i="34"/>
  <c r="K72" i="34"/>
  <c r="J41" i="34"/>
  <c r="K41" i="34" s="1"/>
  <c r="J20" i="34"/>
  <c r="K20" i="34"/>
  <c r="J21" i="34"/>
  <c r="K21" i="34"/>
  <c r="J22" i="34"/>
  <c r="K22" i="34"/>
  <c r="J23" i="34"/>
  <c r="K23" i="34"/>
  <c r="J24" i="34"/>
  <c r="K24" i="34"/>
  <c r="J25" i="34"/>
  <c r="K25" i="34"/>
  <c r="J26" i="34"/>
  <c r="K26" i="34"/>
  <c r="J27" i="34"/>
  <c r="K27" i="34"/>
  <c r="J28" i="34"/>
  <c r="K28" i="34"/>
  <c r="J29" i="34"/>
  <c r="K29" i="34"/>
  <c r="J30" i="34"/>
  <c r="K30" i="34"/>
  <c r="J31" i="34"/>
  <c r="K31" i="34" s="1"/>
  <c r="J32" i="34"/>
  <c r="K32" i="34" s="1"/>
  <c r="J33" i="34"/>
  <c r="K33" i="34"/>
  <c r="J34" i="34"/>
  <c r="K34" i="34" s="1"/>
  <c r="J35" i="34"/>
  <c r="K35" i="34" s="1"/>
  <c r="J36" i="34"/>
  <c r="K36" i="34" s="1"/>
  <c r="J37" i="34"/>
  <c r="K37" i="34" s="1"/>
  <c r="J38" i="34"/>
  <c r="K38" i="34" s="1"/>
  <c r="J39" i="34"/>
  <c r="K39" i="34" s="1"/>
  <c r="J40" i="34"/>
  <c r="K40" i="34" s="1"/>
  <c r="J42" i="34"/>
  <c r="K42" i="34" s="1"/>
  <c r="J43" i="34"/>
  <c r="K43" i="34"/>
  <c r="J44" i="34"/>
  <c r="K44" i="34" s="1"/>
  <c r="J45" i="34"/>
  <c r="K45" i="34"/>
  <c r="J46" i="34"/>
  <c r="K46" i="34"/>
  <c r="J47" i="34"/>
  <c r="K47" i="34"/>
  <c r="J48" i="34"/>
  <c r="K48" i="34"/>
  <c r="J49" i="34"/>
  <c r="K49" i="34"/>
  <c r="J50" i="34"/>
  <c r="K50" i="34"/>
  <c r="J51" i="34"/>
  <c r="K51" i="34"/>
  <c r="J52" i="34"/>
  <c r="K52" i="34"/>
  <c r="J53" i="34"/>
  <c r="K53" i="34"/>
  <c r="J54" i="34"/>
  <c r="K54" i="34"/>
  <c r="J55" i="34"/>
  <c r="K55" i="34"/>
  <c r="J56" i="34"/>
  <c r="K56" i="34"/>
  <c r="J57" i="34"/>
  <c r="K57" i="34"/>
  <c r="J58" i="34"/>
  <c r="K58" i="34"/>
  <c r="J59" i="34"/>
  <c r="K59" i="34"/>
  <c r="J60" i="34"/>
  <c r="K60" i="34"/>
  <c r="J19" i="34"/>
  <c r="K19" i="34"/>
  <c r="AB10" i="33"/>
  <c r="B83" i="4"/>
  <c r="A83" i="4"/>
  <c r="B62" i="1"/>
  <c r="AC10" i="33"/>
  <c r="AG9" i="33"/>
  <c r="B19" i="25"/>
  <c r="B18" i="25"/>
  <c r="B15" i="4"/>
  <c r="B66" i="1" s="1"/>
  <c r="D212" i="11"/>
  <c r="D199" i="11"/>
  <c r="A209" i="11"/>
  <c r="E215" i="11"/>
  <c r="F215" i="11" s="1"/>
  <c r="I215" i="11" s="1"/>
  <c r="B215" i="11"/>
  <c r="E214" i="11"/>
  <c r="B214" i="11"/>
  <c r="F213" i="11"/>
  <c r="I213" i="11" s="1"/>
  <c r="B213" i="11"/>
  <c r="H212" i="11"/>
  <c r="E212" i="11"/>
  <c r="B212" i="11"/>
  <c r="A196" i="11"/>
  <c r="E202" i="11"/>
  <c r="F202" i="11" s="1"/>
  <c r="I202" i="11" s="1"/>
  <c r="B202" i="11"/>
  <c r="E201" i="11"/>
  <c r="B201" i="11"/>
  <c r="F200" i="11"/>
  <c r="I200" i="11" s="1"/>
  <c r="K200" i="11" s="1"/>
  <c r="B200" i="11"/>
  <c r="H199" i="11"/>
  <c r="E199" i="11"/>
  <c r="B199" i="11"/>
  <c r="E189" i="11"/>
  <c r="F189" i="11" s="1"/>
  <c r="I189" i="11" s="1"/>
  <c r="E188" i="11"/>
  <c r="F187" i="11"/>
  <c r="I187" i="11" s="1"/>
  <c r="J187" i="11" s="1"/>
  <c r="H186" i="11"/>
  <c r="E176" i="11"/>
  <c r="F176" i="11" s="1"/>
  <c r="I176" i="11" s="1"/>
  <c r="E175" i="11"/>
  <c r="F174" i="11"/>
  <c r="I174" i="11" s="1"/>
  <c r="H173" i="11"/>
  <c r="B163" i="11"/>
  <c r="B162" i="11"/>
  <c r="B161" i="11"/>
  <c r="B160" i="11"/>
  <c r="E163" i="11"/>
  <c r="F163" i="11" s="1"/>
  <c r="I163" i="11" s="1"/>
  <c r="E162" i="11"/>
  <c r="H160" i="11"/>
  <c r="A210" i="11"/>
  <c r="B67" i="25"/>
  <c r="D20" i="45" s="1"/>
  <c r="B61" i="25"/>
  <c r="F19" i="25"/>
  <c r="F18" i="25"/>
  <c r="F11" i="25"/>
  <c r="D23" i="45" s="1"/>
  <c r="A11" i="25"/>
  <c r="F10" i="25"/>
  <c r="D17" i="45" s="1"/>
  <c r="A10" i="25"/>
  <c r="F9" i="25"/>
  <c r="D21" i="45" s="1"/>
  <c r="F8" i="25"/>
  <c r="D19" i="45" s="1"/>
  <c r="G18" i="46" s="1"/>
  <c r="A8" i="25"/>
  <c r="F6" i="25"/>
  <c r="D10" i="45" s="1"/>
  <c r="F18" i="46" s="1"/>
  <c r="A6" i="25"/>
  <c r="F5" i="25"/>
  <c r="D9" i="45" s="1"/>
  <c r="E18" i="46" s="1"/>
  <c r="A5" i="25"/>
  <c r="F4" i="25"/>
  <c r="D8" i="45" s="1"/>
  <c r="C18" i="46" s="1"/>
  <c r="A4" i="25"/>
  <c r="K41" i="23"/>
  <c r="K42" i="23" s="1"/>
  <c r="G49" i="23"/>
  <c r="G48" i="23"/>
  <c r="G47" i="23"/>
  <c r="G46" i="23"/>
  <c r="G45" i="23"/>
  <c r="G44" i="23"/>
  <c r="G43" i="23"/>
  <c r="G42" i="23"/>
  <c r="F5" i="1"/>
  <c r="F6" i="1"/>
  <c r="F9" i="1"/>
  <c r="F10" i="1"/>
  <c r="F11" i="1"/>
  <c r="F4" i="1"/>
  <c r="A11" i="1"/>
  <c r="A10" i="1"/>
  <c r="A8" i="1"/>
  <c r="A6" i="1"/>
  <c r="A5" i="1"/>
  <c r="A4" i="1"/>
  <c r="E146" i="11"/>
  <c r="E145" i="11"/>
  <c r="B140" i="11"/>
  <c r="E132" i="11"/>
  <c r="E131" i="11"/>
  <c r="B126" i="11"/>
  <c r="E118" i="11"/>
  <c r="E117" i="11"/>
  <c r="B112" i="11"/>
  <c r="E105" i="11"/>
  <c r="E104" i="11"/>
  <c r="B99" i="11"/>
  <c r="E91" i="11"/>
  <c r="E90" i="11"/>
  <c r="B85" i="11"/>
  <c r="E77" i="11"/>
  <c r="E76" i="11"/>
  <c r="B71" i="11"/>
  <c r="E63" i="11"/>
  <c r="E62" i="11"/>
  <c r="B57" i="11"/>
  <c r="F19" i="23"/>
  <c r="F20" i="23"/>
  <c r="F21" i="23"/>
  <c r="F16" i="23"/>
  <c r="F17" i="23"/>
  <c r="F18" i="23"/>
  <c r="B34" i="11"/>
  <c r="B20" i="11"/>
  <c r="B6" i="11"/>
  <c r="F69" i="1"/>
  <c r="F161" i="11"/>
  <c r="I161" i="11" s="1"/>
  <c r="E11" i="11"/>
  <c r="E12" i="11"/>
  <c r="E40" i="11"/>
  <c r="E26" i="11"/>
  <c r="F19" i="1"/>
  <c r="O19" i="1" s="1"/>
  <c r="F18" i="1"/>
  <c r="O18" i="1" s="1"/>
  <c r="E39" i="11"/>
  <c r="F39" i="11" s="1"/>
  <c r="I39" i="11" s="1"/>
  <c r="J39" i="11" s="1"/>
  <c r="E25" i="11"/>
  <c r="A171" i="11"/>
  <c r="D25" i="11"/>
  <c r="J200" i="11"/>
  <c r="D214" i="11"/>
  <c r="F214" i="11" s="1"/>
  <c r="I214" i="11" s="1"/>
  <c r="D201" i="11"/>
  <c r="F201" i="11" s="1"/>
  <c r="I201" i="11" s="1"/>
  <c r="O50" i="42"/>
  <c r="O51" i="42" s="1"/>
  <c r="O47" i="42"/>
  <c r="O48" i="42" s="1"/>
  <c r="D90" i="11"/>
  <c r="D131" i="11" s="1"/>
  <c r="F18" i="52" l="1"/>
  <c r="O51" i="4"/>
  <c r="B59" i="51"/>
  <c r="B58" i="51"/>
  <c r="B57" i="51" s="1"/>
  <c r="D22" i="51" s="1"/>
  <c r="G29" i="25"/>
  <c r="G29" i="48"/>
  <c r="G29" i="49"/>
  <c r="G29" i="50"/>
  <c r="G38" i="25"/>
  <c r="G38" i="48"/>
  <c r="G38" i="49"/>
  <c r="G38" i="50"/>
  <c r="B24" i="25"/>
  <c r="B24" i="48"/>
  <c r="B24" i="49"/>
  <c r="B24" i="50"/>
  <c r="J48" i="25"/>
  <c r="J48" i="50"/>
  <c r="J48" i="48"/>
  <c r="J48" i="49"/>
  <c r="B62" i="25"/>
  <c r="B62" i="48"/>
  <c r="B62" i="49"/>
  <c r="B62" i="50"/>
  <c r="J49" i="25"/>
  <c r="J49" i="50"/>
  <c r="J49" i="48"/>
  <c r="J49" i="49"/>
  <c r="G32" i="25"/>
  <c r="G32" i="50"/>
  <c r="G32" i="48"/>
  <c r="G32" i="49"/>
  <c r="I23" i="50"/>
  <c r="J23" i="50" s="1"/>
  <c r="I23" i="48"/>
  <c r="J23" i="48" s="1"/>
  <c r="I23" i="49"/>
  <c r="J23" i="49" s="1"/>
  <c r="B25" i="25"/>
  <c r="B25" i="48"/>
  <c r="B25" i="49"/>
  <c r="B25" i="50"/>
  <c r="J50" i="25"/>
  <c r="J50" i="50"/>
  <c r="J50" i="48"/>
  <c r="J50" i="49"/>
  <c r="K25" i="25"/>
  <c r="K25" i="48"/>
  <c r="K25" i="49"/>
  <c r="K25" i="50"/>
  <c r="G34" i="25"/>
  <c r="G34" i="49"/>
  <c r="G34" i="50"/>
  <c r="G34" i="48"/>
  <c r="B28" i="25"/>
  <c r="B28" i="49"/>
  <c r="B28" i="50"/>
  <c r="B28" i="48"/>
  <c r="I24" i="49"/>
  <c r="J24" i="49" s="1"/>
  <c r="I24" i="50"/>
  <c r="J24" i="50" s="1"/>
  <c r="I24" i="48"/>
  <c r="J24" i="48" s="1"/>
  <c r="R23" i="1"/>
  <c r="K23" i="48"/>
  <c r="K23" i="49"/>
  <c r="K23" i="50"/>
  <c r="B66" i="25"/>
  <c r="B66" i="48"/>
  <c r="B66" i="49"/>
  <c r="B66" i="50"/>
  <c r="G36" i="25"/>
  <c r="G36" i="48"/>
  <c r="G36" i="49"/>
  <c r="G36" i="50"/>
  <c r="B23" i="25"/>
  <c r="B23" i="49"/>
  <c r="B23" i="50"/>
  <c r="B23" i="48"/>
  <c r="R24" i="1"/>
  <c r="N23" i="1" s="1"/>
  <c r="U34" i="4" s="1"/>
  <c r="K24" i="50"/>
  <c r="K24" i="48"/>
  <c r="K24" i="49"/>
  <c r="I25" i="49"/>
  <c r="J25" i="49" s="1"/>
  <c r="I25" i="48"/>
  <c r="J25" i="48" s="1"/>
  <c r="I25" i="50"/>
  <c r="J25" i="50" s="1"/>
  <c r="H19" i="41"/>
  <c r="H21" i="41"/>
  <c r="A126" i="11"/>
  <c r="F40" i="25"/>
  <c r="I24" i="25"/>
  <c r="J215" i="11"/>
  <c r="K215" i="11"/>
  <c r="K187" i="11"/>
  <c r="F131" i="11"/>
  <c r="I131" i="11" s="1"/>
  <c r="K131" i="11" s="1"/>
  <c r="F143" i="11"/>
  <c r="I143" i="11" s="1"/>
  <c r="J143" i="11" s="1"/>
  <c r="F88" i="11"/>
  <c r="I88" i="11" s="1"/>
  <c r="J88" i="11" s="1"/>
  <c r="F25" i="11"/>
  <c r="I25" i="11" s="1"/>
  <c r="J25" i="11" s="1"/>
  <c r="K161" i="11"/>
  <c r="J161" i="11"/>
  <c r="K174" i="11"/>
  <c r="J174" i="11"/>
  <c r="F175" i="11"/>
  <c r="I175" i="11" s="1"/>
  <c r="J175" i="11" s="1"/>
  <c r="F162" i="11"/>
  <c r="I162" i="11" s="1"/>
  <c r="J162" i="11" s="1"/>
  <c r="N38" i="42"/>
  <c r="N39" i="42" s="1"/>
  <c r="N36" i="42"/>
  <c r="N37" i="42" s="1"/>
  <c r="P36" i="42" s="1"/>
  <c r="Q36" i="42" s="1"/>
  <c r="Q55" i="42" s="1"/>
  <c r="T20" i="43" s="1"/>
  <c r="O41" i="42"/>
  <c r="O42" i="42" s="1"/>
  <c r="K23" i="25"/>
  <c r="AB34" i="43"/>
  <c r="AC34" i="43" s="1"/>
  <c r="AC40" i="43" s="1"/>
  <c r="T21" i="43" s="1"/>
  <c r="U20" i="43" s="1"/>
  <c r="A184" i="11"/>
  <c r="O38" i="42"/>
  <c r="O39" i="42" s="1"/>
  <c r="D62" i="11"/>
  <c r="F62" i="11" s="1"/>
  <c r="I62" i="11" s="1"/>
  <c r="K62" i="11" s="1"/>
  <c r="F11" i="11"/>
  <c r="I11" i="11" s="1"/>
  <c r="J11" i="11" s="1"/>
  <c r="AA37" i="43"/>
  <c r="AA38" i="43" s="1"/>
  <c r="A9" i="1"/>
  <c r="A158" i="11"/>
  <c r="J70" i="37"/>
  <c r="J20" i="37"/>
  <c r="J37" i="37"/>
  <c r="J99" i="37"/>
  <c r="J91" i="37"/>
  <c r="J83" i="37"/>
  <c r="J72" i="37"/>
  <c r="J59" i="37"/>
  <c r="J39" i="37"/>
  <c r="J16" i="37"/>
  <c r="J30" i="37"/>
  <c r="J12" i="37"/>
  <c r="J69" i="37"/>
  <c r="J58" i="37"/>
  <c r="J41" i="37"/>
  <c r="J18" i="37"/>
  <c r="J100" i="37"/>
  <c r="J92" i="37"/>
  <c r="J76" i="37"/>
  <c r="J36" i="37"/>
  <c r="J43" i="37"/>
  <c r="J67" i="37"/>
  <c r="J23" i="37"/>
  <c r="J97" i="37"/>
  <c r="J89" i="37"/>
  <c r="J81" i="37"/>
  <c r="J65" i="37"/>
  <c r="J48" i="37"/>
  <c r="J32" i="37"/>
  <c r="J62" i="37"/>
  <c r="J22" i="37"/>
  <c r="J75" i="37"/>
  <c r="J74" i="37"/>
  <c r="J50" i="37"/>
  <c r="J34" i="37"/>
  <c r="J15" i="37"/>
  <c r="J98" i="37"/>
  <c r="J90" i="37"/>
  <c r="J82" i="37"/>
  <c r="J68" i="37"/>
  <c r="J55" i="37"/>
  <c r="J33" i="37"/>
  <c r="J13" i="37"/>
  <c r="J35" i="37"/>
  <c r="J80" i="37"/>
  <c r="J44" i="37"/>
  <c r="J10" i="37"/>
  <c r="J54" i="37"/>
  <c r="J19" i="37"/>
  <c r="J95" i="37"/>
  <c r="J87" i="37"/>
  <c r="J79" i="37"/>
  <c r="J64" i="37"/>
  <c r="J51" i="37"/>
  <c r="J27" i="37"/>
  <c r="J46" i="37"/>
  <c r="J14" i="37"/>
  <c r="J73" i="37"/>
  <c r="J66" i="37"/>
  <c r="J53" i="37"/>
  <c r="J29" i="37"/>
  <c r="J9" i="37"/>
  <c r="J96" i="37"/>
  <c r="J88" i="37"/>
  <c r="J60" i="37"/>
  <c r="J28" i="37"/>
  <c r="J31" i="37"/>
  <c r="J47" i="37"/>
  <c r="J11" i="37"/>
  <c r="J93" i="37"/>
  <c r="J85" i="37"/>
  <c r="J77" i="37"/>
  <c r="J56" i="37"/>
  <c r="J40" i="37"/>
  <c r="J24" i="37"/>
  <c r="J38" i="37"/>
  <c r="J8" i="37"/>
  <c r="J71" i="37"/>
  <c r="J63" i="37"/>
  <c r="J42" i="37"/>
  <c r="J26" i="37"/>
  <c r="J57" i="37"/>
  <c r="J94" i="37"/>
  <c r="J86" i="37"/>
  <c r="J78" i="37"/>
  <c r="J61" i="37"/>
  <c r="J45" i="37"/>
  <c r="J21" i="37"/>
  <c r="J49" i="37"/>
  <c r="J25" i="37"/>
  <c r="J84" i="37"/>
  <c r="J52" i="37"/>
  <c r="J17" i="37"/>
  <c r="D76" i="11"/>
  <c r="F76" i="11" s="1"/>
  <c r="I76" i="11" s="1"/>
  <c r="K76" i="11" s="1"/>
  <c r="AA48" i="1"/>
  <c r="AD12" i="33"/>
  <c r="AD34" i="33"/>
  <c r="AA45" i="1"/>
  <c r="F90" i="11"/>
  <c r="I90" i="11" s="1"/>
  <c r="K90" i="11" s="1"/>
  <c r="AA47" i="1"/>
  <c r="AD84" i="33"/>
  <c r="AD40" i="33"/>
  <c r="AD110" i="33"/>
  <c r="L45" i="34"/>
  <c r="AD173" i="33"/>
  <c r="I23" i="25"/>
  <c r="H13" i="23"/>
  <c r="K13" i="23" s="1"/>
  <c r="AD145" i="33"/>
  <c r="AD37" i="33"/>
  <c r="AD180" i="33"/>
  <c r="AD178" i="33"/>
  <c r="L57" i="34"/>
  <c r="AD88" i="33"/>
  <c r="AD101" i="33"/>
  <c r="AD31" i="33"/>
  <c r="AD177" i="33"/>
  <c r="AD194" i="33"/>
  <c r="AD75" i="33"/>
  <c r="AD156" i="33"/>
  <c r="AD122" i="33"/>
  <c r="I48" i="1"/>
  <c r="AD92" i="33"/>
  <c r="L47" i="34"/>
  <c r="AD102" i="33"/>
  <c r="AD70" i="33"/>
  <c r="AD61" i="33"/>
  <c r="AD195" i="33"/>
  <c r="AD169" i="33"/>
  <c r="L53" i="34"/>
  <c r="AD50" i="33"/>
  <c r="AD30" i="33"/>
  <c r="AD153" i="33"/>
  <c r="AD175" i="33"/>
  <c r="AD115" i="33"/>
  <c r="AD140" i="33"/>
  <c r="AD66" i="33"/>
  <c r="AD176" i="33"/>
  <c r="AD43" i="33"/>
  <c r="AD57" i="33"/>
  <c r="AD60" i="33"/>
  <c r="AD97" i="33"/>
  <c r="AD123" i="33"/>
  <c r="AD144" i="33"/>
  <c r="P18" i="1"/>
  <c r="M18" i="1" s="1"/>
  <c r="H20" i="23"/>
  <c r="AD112" i="33"/>
  <c r="AA46" i="1"/>
  <c r="L37" i="34"/>
  <c r="O37" i="34" s="1"/>
  <c r="H16" i="41"/>
  <c r="H20" i="41"/>
  <c r="H15" i="41"/>
  <c r="K15" i="41" s="1"/>
  <c r="H18" i="41"/>
  <c r="L34" i="34"/>
  <c r="O34" i="34" s="1"/>
  <c r="L26" i="34"/>
  <c r="O26" i="34" s="1"/>
  <c r="D58" i="4" s="1"/>
  <c r="F37" i="1" s="1"/>
  <c r="L38" i="34"/>
  <c r="O38" i="34" s="1"/>
  <c r="L32" i="34"/>
  <c r="L70" i="34"/>
  <c r="L66" i="34"/>
  <c r="L44" i="34"/>
  <c r="L65" i="34"/>
  <c r="L51" i="34"/>
  <c r="L33" i="34"/>
  <c r="O33" i="34" s="1"/>
  <c r="L30" i="34"/>
  <c r="O30" i="34" s="1"/>
  <c r="L20" i="34"/>
  <c r="O20" i="34" s="1"/>
  <c r="D52" i="4" s="1"/>
  <c r="F33" i="1" s="1"/>
  <c r="L50" i="34"/>
  <c r="L71" i="34"/>
  <c r="L21" i="34"/>
  <c r="O21" i="34" s="1"/>
  <c r="L72" i="34"/>
  <c r="L58" i="34"/>
  <c r="L27" i="34"/>
  <c r="O27" i="34" s="1"/>
  <c r="L64" i="34"/>
  <c r="L29" i="34"/>
  <c r="O29" i="34" s="1"/>
  <c r="D61" i="4" s="1"/>
  <c r="F39" i="1" s="1"/>
  <c r="L23" i="34"/>
  <c r="O23" i="34" s="1"/>
  <c r="D55" i="4" s="1"/>
  <c r="F35" i="1" s="1"/>
  <c r="L25" i="34"/>
  <c r="O25" i="34" s="1"/>
  <c r="D57" i="4" s="1"/>
  <c r="F36" i="1" s="1"/>
  <c r="L22" i="34"/>
  <c r="O22" i="34" s="1"/>
  <c r="D54" i="4" s="1"/>
  <c r="F34" i="1" s="1"/>
  <c r="L55" i="34"/>
  <c r="L40" i="34"/>
  <c r="O40" i="34" s="1"/>
  <c r="L61" i="34"/>
  <c r="L36" i="34"/>
  <c r="O36" i="34" s="1"/>
  <c r="L60" i="34"/>
  <c r="L19" i="34"/>
  <c r="O19" i="34" s="1"/>
  <c r="D51" i="4" s="1"/>
  <c r="F32" i="1" s="1"/>
  <c r="L69" i="34"/>
  <c r="L31" i="34"/>
  <c r="O31" i="34" s="1"/>
  <c r="L62" i="34"/>
  <c r="L24" i="34"/>
  <c r="O24" i="34" s="1"/>
  <c r="L68" i="34"/>
  <c r="L54" i="34"/>
  <c r="L43" i="34"/>
  <c r="L39" i="34"/>
  <c r="O39" i="34" s="1"/>
  <c r="L42" i="34"/>
  <c r="L52" i="34"/>
  <c r="L35" i="34"/>
  <c r="O35" i="34" s="1"/>
  <c r="K39" i="11"/>
  <c r="L63" i="34"/>
  <c r="Z37" i="43"/>
  <c r="K176" i="11"/>
  <c r="J176" i="11"/>
  <c r="J189" i="11"/>
  <c r="K189" i="11"/>
  <c r="J213" i="11"/>
  <c r="K213" i="11"/>
  <c r="B183" i="11"/>
  <c r="B175" i="11"/>
  <c r="B174" i="11"/>
  <c r="B176" i="11"/>
  <c r="B173" i="11"/>
  <c r="L161" i="32"/>
  <c r="AD154" i="33"/>
  <c r="AD21" i="33"/>
  <c r="AD185" i="33"/>
  <c r="AD168" i="33"/>
  <c r="AD19" i="33"/>
  <c r="AD33" i="33"/>
  <c r="AD139" i="33"/>
  <c r="AD32" i="33"/>
  <c r="AD46" i="33"/>
  <c r="AD147" i="33"/>
  <c r="AD179" i="33"/>
  <c r="AD111" i="33"/>
  <c r="AD10" i="33"/>
  <c r="AD17" i="33"/>
  <c r="AD157" i="33"/>
  <c r="AD199" i="33"/>
  <c r="AD63" i="33"/>
  <c r="AD22" i="33"/>
  <c r="AD162" i="33"/>
  <c r="AD193" i="33"/>
  <c r="AD107" i="33"/>
  <c r="AD100" i="33"/>
  <c r="AD64" i="33"/>
  <c r="AD109" i="33"/>
  <c r="AD99" i="33"/>
  <c r="AD39" i="33"/>
  <c r="AD103" i="33"/>
  <c r="AD58" i="33"/>
  <c r="AD96" i="33"/>
  <c r="AD203" i="33"/>
  <c r="AD204" i="33"/>
  <c r="AD198" i="33"/>
  <c r="AD69" i="33"/>
  <c r="AD155" i="33"/>
  <c r="AD71" i="33"/>
  <c r="AD117" i="33"/>
  <c r="AD108" i="33"/>
  <c r="AD79" i="33"/>
  <c r="AD24" i="33"/>
  <c r="AD36" i="33"/>
  <c r="AD128" i="33"/>
  <c r="AD62" i="33"/>
  <c r="AD26" i="33"/>
  <c r="AD29" i="33"/>
  <c r="AD44" i="33"/>
  <c r="AD104" i="33"/>
  <c r="AD91" i="33"/>
  <c r="AD82" i="33"/>
  <c r="AD166" i="33"/>
  <c r="AD125" i="33"/>
  <c r="AD137" i="33"/>
  <c r="AD59" i="33"/>
  <c r="AD186" i="33"/>
  <c r="AD138" i="33"/>
  <c r="AD85" i="33"/>
  <c r="AD124" i="33"/>
  <c r="AD56" i="33"/>
  <c r="AD167" i="33"/>
  <c r="AD65" i="33"/>
  <c r="AD53" i="33"/>
  <c r="AD83" i="33"/>
  <c r="AD127" i="33"/>
  <c r="AD77" i="33"/>
  <c r="AD98" i="33"/>
  <c r="AD174" i="33"/>
  <c r="AD25" i="33"/>
  <c r="AD189" i="33"/>
  <c r="AD201" i="33"/>
  <c r="AD165" i="33"/>
  <c r="AD188" i="33"/>
  <c r="AD95" i="33"/>
  <c r="AD119" i="33"/>
  <c r="AD15" i="33"/>
  <c r="AD151" i="33"/>
  <c r="AD171" i="33"/>
  <c r="AD159" i="33"/>
  <c r="AD190" i="33"/>
  <c r="AD142" i="33"/>
  <c r="AD158" i="33"/>
  <c r="AD200" i="33"/>
  <c r="AD23" i="33"/>
  <c r="AD18" i="33"/>
  <c r="AD49" i="33"/>
  <c r="AD161" i="33"/>
  <c r="AD51" i="33"/>
  <c r="AD105" i="33"/>
  <c r="AD118" i="33"/>
  <c r="AD114" i="33"/>
  <c r="AD131" i="33"/>
  <c r="J163" i="11"/>
  <c r="K163" i="11"/>
  <c r="K202" i="11"/>
  <c r="J202" i="11"/>
  <c r="H19" i="23"/>
  <c r="H14" i="23"/>
  <c r="K14" i="23" s="1"/>
  <c r="AD126" i="33"/>
  <c r="AD129" i="33"/>
  <c r="L48" i="34"/>
  <c r="L49" i="34"/>
  <c r="L56" i="34"/>
  <c r="H14" i="41"/>
  <c r="K14" i="41" s="1"/>
  <c r="H17" i="41"/>
  <c r="AD164" i="33"/>
  <c r="AD41" i="33"/>
  <c r="AD74" i="33"/>
  <c r="AD47" i="33"/>
  <c r="AD20" i="33"/>
  <c r="AD133" i="33"/>
  <c r="AD146" i="33"/>
  <c r="AD35" i="33"/>
  <c r="F199" i="11"/>
  <c r="I199" i="11" s="1"/>
  <c r="K199" i="11" s="1"/>
  <c r="K203" i="11" s="1"/>
  <c r="AD106" i="33"/>
  <c r="AD132" i="33"/>
  <c r="AD197" i="33"/>
  <c r="AD148" i="33"/>
  <c r="AD54" i="33"/>
  <c r="AD170" i="33"/>
  <c r="AD78" i="33"/>
  <c r="AD76" i="33"/>
  <c r="AD16" i="33"/>
  <c r="AD191" i="33"/>
  <c r="AD81" i="33"/>
  <c r="AD38" i="33"/>
  <c r="AD152" i="33"/>
  <c r="AD90" i="33"/>
  <c r="AD73" i="33"/>
  <c r="AD187" i="33"/>
  <c r="AD94" i="33"/>
  <c r="AD55" i="33"/>
  <c r="AD120" i="33"/>
  <c r="AD42" i="33"/>
  <c r="AD172" i="33"/>
  <c r="AD182" i="33"/>
  <c r="AD141" i="33"/>
  <c r="AD116" i="33"/>
  <c r="AD134" i="33"/>
  <c r="AD28" i="33"/>
  <c r="AD27" i="33"/>
  <c r="AD130" i="33"/>
  <c r="AD143" i="33"/>
  <c r="AD192" i="33"/>
  <c r="AD72" i="33"/>
  <c r="AD150" i="33"/>
  <c r="AD121" i="33"/>
  <c r="AD48" i="33"/>
  <c r="AD202" i="33"/>
  <c r="AD183" i="33"/>
  <c r="AD184" i="33"/>
  <c r="AD181" i="33"/>
  <c r="AD68" i="33"/>
  <c r="AD163" i="33"/>
  <c r="F188" i="11"/>
  <c r="I188" i="11" s="1"/>
  <c r="K188" i="11" s="1"/>
  <c r="H21" i="23"/>
  <c r="F37" i="11"/>
  <c r="I37" i="11" s="1"/>
  <c r="J37" i="11" s="1"/>
  <c r="F212" i="11"/>
  <c r="I212" i="11" s="1"/>
  <c r="K212" i="11" s="1"/>
  <c r="K216" i="11" s="1"/>
  <c r="F102" i="11"/>
  <c r="I102" i="11" s="1"/>
  <c r="J102" i="11" s="1"/>
  <c r="F160" i="11"/>
  <c r="I160" i="11" s="1"/>
  <c r="K160" i="11" s="1"/>
  <c r="AD87" i="33"/>
  <c r="AD196" i="33"/>
  <c r="AD45" i="33"/>
  <c r="AD14" i="33"/>
  <c r="AD135" i="33"/>
  <c r="AD11" i="33"/>
  <c r="I25" i="25"/>
  <c r="K23" i="11"/>
  <c r="J23" i="11"/>
  <c r="J186" i="11"/>
  <c r="K186" i="11"/>
  <c r="J201" i="11"/>
  <c r="K201" i="11"/>
  <c r="J115" i="11"/>
  <c r="K115" i="11"/>
  <c r="J131" i="11"/>
  <c r="K88" i="11"/>
  <c r="K9" i="11"/>
  <c r="J9" i="11"/>
  <c r="K129" i="11"/>
  <c r="J129" i="11"/>
  <c r="K214" i="11"/>
  <c r="J214" i="11"/>
  <c r="K74" i="11"/>
  <c r="J74" i="11"/>
  <c r="A140" i="11"/>
  <c r="F41" i="25"/>
  <c r="H59" i="34"/>
  <c r="H44" i="34"/>
  <c r="K60" i="11"/>
  <c r="J60" i="11"/>
  <c r="K173" i="11"/>
  <c r="J173" i="11"/>
  <c r="H17" i="23"/>
  <c r="L59" i="34"/>
  <c r="AD149" i="33"/>
  <c r="AD52" i="33"/>
  <c r="AD67" i="33"/>
  <c r="I49" i="1"/>
  <c r="R25" i="1"/>
  <c r="N47" i="42"/>
  <c r="N48" i="42" s="1"/>
  <c r="P47" i="42" s="1"/>
  <c r="Q47" i="42" s="1"/>
  <c r="AD93" i="33"/>
  <c r="AD160" i="33"/>
  <c r="AD136" i="33"/>
  <c r="H18" i="23"/>
  <c r="L46" i="34"/>
  <c r="L41" i="34"/>
  <c r="AD80" i="33"/>
  <c r="AD86" i="33"/>
  <c r="AD13" i="33"/>
  <c r="L56" i="32"/>
  <c r="K24" i="25"/>
  <c r="N41" i="42"/>
  <c r="N42" i="42" s="1"/>
  <c r="P41" i="42" s="1"/>
  <c r="Q41" i="42" s="1"/>
  <c r="N50" i="42"/>
  <c r="N51" i="42" s="1"/>
  <c r="P50" i="42" s="1"/>
  <c r="Q50" i="42" s="1"/>
  <c r="L28" i="34"/>
  <c r="O28" i="34" s="1"/>
  <c r="D60" i="4" s="1"/>
  <c r="L67" i="34"/>
  <c r="L152" i="32"/>
  <c r="O44" i="42"/>
  <c r="O45" i="42" s="1"/>
  <c r="P44" i="42" s="1"/>
  <c r="Q44" i="42" s="1"/>
  <c r="H16" i="23"/>
  <c r="H15" i="23"/>
  <c r="K15" i="23" s="1"/>
  <c r="AD113" i="33"/>
  <c r="AD89" i="33"/>
  <c r="I50" i="1"/>
  <c r="L8" i="32"/>
  <c r="Q8" i="32" s="1"/>
  <c r="L160" i="32"/>
  <c r="L119" i="32"/>
  <c r="L35" i="32"/>
  <c r="L175" i="32"/>
  <c r="L113" i="32"/>
  <c r="L126" i="32"/>
  <c r="L93" i="32"/>
  <c r="L80" i="32"/>
  <c r="L98" i="32"/>
  <c r="L39" i="32"/>
  <c r="L171" i="32"/>
  <c r="L151" i="32"/>
  <c r="L82" i="32"/>
  <c r="L73" i="32"/>
  <c r="L10" i="32"/>
  <c r="L20" i="32"/>
  <c r="L21" i="32"/>
  <c r="L14" i="32"/>
  <c r="L18" i="32"/>
  <c r="L19" i="32"/>
  <c r="L15" i="32"/>
  <c r="L13" i="32"/>
  <c r="L12" i="32"/>
  <c r="L11" i="32"/>
  <c r="L71" i="32"/>
  <c r="L186" i="32"/>
  <c r="L172" i="32"/>
  <c r="L9" i="32"/>
  <c r="L222" i="32"/>
  <c r="L214" i="32"/>
  <c r="L206" i="32"/>
  <c r="L198" i="32"/>
  <c r="L182" i="32"/>
  <c r="L91" i="32"/>
  <c r="L45" i="32"/>
  <c r="L123" i="32"/>
  <c r="L124" i="32"/>
  <c r="L170" i="32"/>
  <c r="L81" i="32"/>
  <c r="L150" i="32"/>
  <c r="L61" i="32"/>
  <c r="L139" i="32"/>
  <c r="L50" i="32"/>
  <c r="L16" i="32"/>
  <c r="L105" i="32"/>
  <c r="L63" i="32"/>
  <c r="L144" i="32"/>
  <c r="L70" i="32"/>
  <c r="L36" i="32"/>
  <c r="L133" i="32"/>
  <c r="L95" i="32"/>
  <c r="L31" i="32"/>
  <c r="L87" i="32"/>
  <c r="L218" i="32"/>
  <c r="L210" i="32"/>
  <c r="L202" i="32"/>
  <c r="L194" i="32"/>
  <c r="L178" i="32"/>
  <c r="L69" i="32"/>
  <c r="L147" i="32"/>
  <c r="L101" i="32"/>
  <c r="L64" i="32"/>
  <c r="L138" i="32"/>
  <c r="L49" i="32"/>
  <c r="L118" i="32"/>
  <c r="L29" i="32"/>
  <c r="L107" i="32"/>
  <c r="L127" i="32"/>
  <c r="L53" i="32"/>
  <c r="L84" i="32"/>
  <c r="L26" i="32"/>
  <c r="L155" i="32"/>
  <c r="L77" i="32"/>
  <c r="L51" i="32"/>
  <c r="L135" i="32"/>
  <c r="L154" i="32"/>
  <c r="L65" i="32"/>
  <c r="L221" i="32"/>
  <c r="L217" i="32"/>
  <c r="L213" i="32"/>
  <c r="L209" i="32"/>
  <c r="L205" i="32"/>
  <c r="L201" i="32"/>
  <c r="L197" i="32"/>
  <c r="L193" i="32"/>
  <c r="L189" i="32"/>
  <c r="L185" i="32"/>
  <c r="L181" i="32"/>
  <c r="L177" i="32"/>
  <c r="L190" i="32"/>
  <c r="L117" i="32"/>
  <c r="L24" i="32"/>
  <c r="L149" i="32"/>
  <c r="L52" i="32"/>
  <c r="L32" i="32"/>
  <c r="L106" i="32"/>
  <c r="L17" i="32"/>
  <c r="L86" i="32"/>
  <c r="L136" i="32"/>
  <c r="L75" i="32"/>
  <c r="L153" i="32"/>
  <c r="L83" i="32"/>
  <c r="L168" i="32"/>
  <c r="L130" i="32"/>
  <c r="L44" i="32"/>
  <c r="L137" i="32"/>
  <c r="L103" i="32"/>
  <c r="L33" i="32"/>
  <c r="L162" i="32"/>
  <c r="L60" i="32"/>
  <c r="L46" i="32"/>
  <c r="L169" i="32"/>
  <c r="L68" i="32"/>
  <c r="L34" i="32"/>
  <c r="L108" i="32"/>
  <c r="L163" i="32"/>
  <c r="L74" i="32"/>
  <c r="L143" i="32"/>
  <c r="L54" i="32"/>
  <c r="L100" i="32"/>
  <c r="L43" i="32"/>
  <c r="L121" i="32"/>
  <c r="L27" i="32"/>
  <c r="L78" i="32"/>
  <c r="L159" i="32"/>
  <c r="L85" i="32"/>
  <c r="L55" i="32"/>
  <c r="L88" i="32"/>
  <c r="L110" i="32"/>
  <c r="L148" i="32"/>
  <c r="L109" i="32"/>
  <c r="L224" i="32"/>
  <c r="L220" i="32"/>
  <c r="L216" i="32"/>
  <c r="L212" i="32"/>
  <c r="L208" i="32"/>
  <c r="L204" i="32"/>
  <c r="L200" i="32"/>
  <c r="L196" i="32"/>
  <c r="L192" i="32"/>
  <c r="L188" i="32"/>
  <c r="L184" i="32"/>
  <c r="L180" i="32"/>
  <c r="L176" i="32"/>
  <c r="L90" i="32"/>
  <c r="L116" i="32"/>
  <c r="L131" i="32"/>
  <c r="L42" i="32"/>
  <c r="L111" i="32"/>
  <c r="L22" i="32"/>
  <c r="L156" i="32"/>
  <c r="L89" i="32"/>
  <c r="L142" i="32"/>
  <c r="L92" i="32"/>
  <c r="L30" i="32"/>
  <c r="L115" i="32"/>
  <c r="L37" i="32"/>
  <c r="L166" i="32"/>
  <c r="L112" i="32"/>
  <c r="L62" i="32"/>
  <c r="L58" i="32"/>
  <c r="L96" i="32"/>
  <c r="L102" i="32"/>
  <c r="L164" i="32"/>
  <c r="L134" i="32"/>
  <c r="L99" i="32"/>
  <c r="L79" i="32"/>
  <c r="L157" i="32"/>
  <c r="L72" i="32"/>
  <c r="L146" i="32"/>
  <c r="L57" i="32"/>
  <c r="L132" i="32"/>
  <c r="L94" i="32"/>
  <c r="L48" i="32"/>
  <c r="L141" i="32"/>
  <c r="L59" i="32"/>
  <c r="L120" i="32"/>
  <c r="L122" i="32"/>
  <c r="L76" i="32"/>
  <c r="L173" i="32"/>
  <c r="L223" i="32"/>
  <c r="L219" i="32"/>
  <c r="L215" i="32"/>
  <c r="L211" i="32"/>
  <c r="L207" i="32"/>
  <c r="L203" i="32"/>
  <c r="L199" i="32"/>
  <c r="L195" i="32"/>
  <c r="L191" i="32"/>
  <c r="L187" i="32"/>
  <c r="L183" i="32"/>
  <c r="L179" i="32"/>
  <c r="L158" i="32"/>
  <c r="L41" i="32"/>
  <c r="L23" i="32"/>
  <c r="L104" i="32"/>
  <c r="L67" i="32"/>
  <c r="L145" i="32"/>
  <c r="L47" i="32"/>
  <c r="L125" i="32"/>
  <c r="L40" i="32"/>
  <c r="L114" i="32"/>
  <c r="L25" i="32"/>
  <c r="L140" i="32"/>
  <c r="L38" i="32"/>
  <c r="L167" i="32"/>
  <c r="L97" i="32"/>
  <c r="L174" i="32"/>
  <c r="L128" i="32"/>
  <c r="L66" i="32"/>
  <c r="L28" i="32"/>
  <c r="L129" i="32"/>
  <c r="L165" i="32"/>
  <c r="H18" i="52" l="1"/>
  <c r="J18" i="52"/>
  <c r="G18" i="52"/>
  <c r="I18" i="52"/>
  <c r="K18" i="52" s="1"/>
  <c r="N24" i="1"/>
  <c r="U35" i="4" s="1"/>
  <c r="U36" i="4"/>
  <c r="I48" i="25"/>
  <c r="I48" i="49"/>
  <c r="I48" i="50"/>
  <c r="I48" i="48"/>
  <c r="AA42" i="4"/>
  <c r="I50" i="25"/>
  <c r="I50" i="49"/>
  <c r="I50" i="50"/>
  <c r="I50" i="48"/>
  <c r="I49" i="25"/>
  <c r="I49" i="49"/>
  <c r="I49" i="50"/>
  <c r="I49" i="48"/>
  <c r="P38" i="42"/>
  <c r="Q38" i="42" s="1"/>
  <c r="F36" i="25"/>
  <c r="F36" i="50"/>
  <c r="F36" i="49"/>
  <c r="F36" i="48"/>
  <c r="F32" i="25"/>
  <c r="F32" i="48"/>
  <c r="F32" i="50"/>
  <c r="F32" i="49"/>
  <c r="F35" i="25"/>
  <c r="F35" i="49"/>
  <c r="F35" i="50"/>
  <c r="F35" i="48"/>
  <c r="F39" i="25"/>
  <c r="F39" i="50"/>
  <c r="F39" i="49"/>
  <c r="F39" i="48"/>
  <c r="F33" i="25"/>
  <c r="F33" i="50"/>
  <c r="F33" i="49"/>
  <c r="F33" i="48"/>
  <c r="F34" i="25"/>
  <c r="F34" i="50"/>
  <c r="F34" i="49"/>
  <c r="F34" i="48"/>
  <c r="F37" i="25"/>
  <c r="F37" i="50"/>
  <c r="F37" i="49"/>
  <c r="F37" i="48"/>
  <c r="K143" i="11"/>
  <c r="K162" i="11"/>
  <c r="K164" i="11" s="1"/>
  <c r="K175" i="11"/>
  <c r="K25" i="11"/>
  <c r="A57" i="11"/>
  <c r="D104" i="11"/>
  <c r="F104" i="11" s="1"/>
  <c r="I104" i="11" s="1"/>
  <c r="J104" i="11" s="1"/>
  <c r="A85" i="11"/>
  <c r="J90" i="11"/>
  <c r="J62" i="11"/>
  <c r="A20" i="11"/>
  <c r="K11" i="11"/>
  <c r="J188" i="11"/>
  <c r="J190" i="11" s="1"/>
  <c r="J191" i="11" s="1"/>
  <c r="J199" i="11"/>
  <c r="J203" i="11" s="1"/>
  <c r="J204" i="11" s="1"/>
  <c r="J205" i="11" s="1"/>
  <c r="J206" i="11" s="1"/>
  <c r="J207" i="11" s="1"/>
  <c r="A112" i="11"/>
  <c r="A34" i="11"/>
  <c r="J76" i="11"/>
  <c r="D117" i="11"/>
  <c r="F117" i="11" s="1"/>
  <c r="I117" i="11" s="1"/>
  <c r="J117" i="11" s="1"/>
  <c r="O32" i="34"/>
  <c r="K102" i="11"/>
  <c r="AA47" i="4"/>
  <c r="N15" i="37"/>
  <c r="O15" i="37"/>
  <c r="M15" i="37"/>
  <c r="O12" i="37"/>
  <c r="M12" i="37"/>
  <c r="N12" i="37"/>
  <c r="M10" i="37"/>
  <c r="N10" i="37"/>
  <c r="O10" i="37"/>
  <c r="M13" i="37"/>
  <c r="N13" i="37"/>
  <c r="O13" i="37"/>
  <c r="M9" i="37"/>
  <c r="N9" i="37"/>
  <c r="O9" i="37"/>
  <c r="O16" i="37"/>
  <c r="M16" i="37"/>
  <c r="N16" i="37"/>
  <c r="Q8" i="37"/>
  <c r="N8" i="37"/>
  <c r="M8" i="37"/>
  <c r="O8" i="37"/>
  <c r="P8" i="37"/>
  <c r="N11" i="37"/>
  <c r="M11" i="37"/>
  <c r="O11" i="37"/>
  <c r="M14" i="37"/>
  <c r="N14" i="37"/>
  <c r="O14" i="37"/>
  <c r="AG12" i="33"/>
  <c r="AK12" i="33"/>
  <c r="AO12" i="33"/>
  <c r="AM12" i="33"/>
  <c r="AN12" i="33"/>
  <c r="AH12" i="33"/>
  <c r="AL12" i="33"/>
  <c r="AP12" i="33"/>
  <c r="AI12" i="33"/>
  <c r="AQ12" i="33"/>
  <c r="AJ12" i="33"/>
  <c r="AG11" i="33"/>
  <c r="AK11" i="33"/>
  <c r="AO11" i="33"/>
  <c r="AM11" i="33"/>
  <c r="AQ11" i="33"/>
  <c r="AN11" i="33"/>
  <c r="AH11" i="33"/>
  <c r="AL11" i="33"/>
  <c r="AP11" i="33"/>
  <c r="AJ2" i="11" s="1"/>
  <c r="AI11" i="33"/>
  <c r="AJ11" i="33"/>
  <c r="AG24" i="33"/>
  <c r="AK24" i="33"/>
  <c r="AO24" i="33"/>
  <c r="AI24" i="33"/>
  <c r="AM24" i="33"/>
  <c r="AH24" i="33"/>
  <c r="AL24" i="33"/>
  <c r="AP24" i="33"/>
  <c r="AQ24" i="33"/>
  <c r="AN24" i="33"/>
  <c r="AJ24" i="33"/>
  <c r="AG13" i="33"/>
  <c r="AK13" i="33"/>
  <c r="AO13" i="33"/>
  <c r="AI13" i="33"/>
  <c r="AQ13" i="33"/>
  <c r="AJ13" i="33"/>
  <c r="AH13" i="33"/>
  <c r="AL13" i="33"/>
  <c r="AP13" i="33"/>
  <c r="AM13" i="33"/>
  <c r="AN13" i="33"/>
  <c r="AG14" i="33"/>
  <c r="AK14" i="33"/>
  <c r="AO14" i="33"/>
  <c r="AM14" i="33"/>
  <c r="AN14" i="33"/>
  <c r="AH14" i="33"/>
  <c r="AL14" i="33"/>
  <c r="AP14" i="33"/>
  <c r="AN4" i="11" s="1"/>
  <c r="AI14" i="33"/>
  <c r="AQ14" i="33"/>
  <c r="AJ14" i="33"/>
  <c r="AG20" i="33"/>
  <c r="AK20" i="33"/>
  <c r="AO20" i="33"/>
  <c r="AI20" i="33"/>
  <c r="AQ20" i="33"/>
  <c r="AN20" i="33"/>
  <c r="AH20" i="33"/>
  <c r="AL20" i="33"/>
  <c r="AP20" i="33"/>
  <c r="AM20" i="33"/>
  <c r="AJ20" i="33"/>
  <c r="AG18" i="33"/>
  <c r="AK18" i="33"/>
  <c r="AO18" i="33"/>
  <c r="AI18" i="33"/>
  <c r="AQ18" i="33"/>
  <c r="AN18" i="33"/>
  <c r="AH18" i="33"/>
  <c r="AL18" i="33"/>
  <c r="AP18" i="33"/>
  <c r="AM18" i="33"/>
  <c r="AJ18" i="33"/>
  <c r="AG22" i="33"/>
  <c r="AK22" i="33"/>
  <c r="AO22" i="33"/>
  <c r="AI22" i="33"/>
  <c r="AQ22" i="33"/>
  <c r="AH22" i="33"/>
  <c r="AL22" i="33"/>
  <c r="AP22" i="33"/>
  <c r="AM22" i="33"/>
  <c r="AJ22" i="33"/>
  <c r="AN22" i="33"/>
  <c r="AG17" i="33"/>
  <c r="AK17" i="33"/>
  <c r="AO17" i="33"/>
  <c r="AM17" i="33"/>
  <c r="AJ17" i="33"/>
  <c r="AH17" i="33"/>
  <c r="AL17" i="33"/>
  <c r="AP17" i="33"/>
  <c r="AI17" i="33"/>
  <c r="AQ17" i="33"/>
  <c r="AN17" i="33"/>
  <c r="AG21" i="33"/>
  <c r="AK21" i="33"/>
  <c r="AO21" i="33"/>
  <c r="AM21" i="33"/>
  <c r="AJ21" i="33"/>
  <c r="AH21" i="33"/>
  <c r="AL21" i="33"/>
  <c r="AP21" i="33"/>
  <c r="AI21" i="33"/>
  <c r="AQ21" i="33"/>
  <c r="AN21" i="33"/>
  <c r="AG16" i="33"/>
  <c r="AK16" i="33"/>
  <c r="AO16" i="33"/>
  <c r="AM16" i="33"/>
  <c r="AQ16" i="33"/>
  <c r="AN16" i="33"/>
  <c r="AH16" i="33"/>
  <c r="AL16" i="33"/>
  <c r="AP16" i="33"/>
  <c r="AI16" i="33"/>
  <c r="AJ16" i="33"/>
  <c r="AG23" i="33"/>
  <c r="AK23" i="33"/>
  <c r="AO23" i="33"/>
  <c r="AM23" i="33"/>
  <c r="AH23" i="33"/>
  <c r="AL23" i="33"/>
  <c r="AP23" i="33"/>
  <c r="AI23" i="33"/>
  <c r="AQ23" i="33"/>
  <c r="AJ23" i="33"/>
  <c r="AN23" i="33"/>
  <c r="AG15" i="33"/>
  <c r="AK15" i="33"/>
  <c r="AO15" i="33"/>
  <c r="AI15" i="33"/>
  <c r="AQ15" i="33"/>
  <c r="AJ15" i="33"/>
  <c r="AH15" i="33"/>
  <c r="AL15" i="33"/>
  <c r="AP15" i="33"/>
  <c r="AM15" i="33"/>
  <c r="AN15" i="33"/>
  <c r="AH10" i="33"/>
  <c r="AL10" i="33"/>
  <c r="AP10" i="33"/>
  <c r="AJ10" i="33"/>
  <c r="AR10" i="33"/>
  <c r="B55" i="1" s="1"/>
  <c r="AI10" i="33"/>
  <c r="AM10" i="33"/>
  <c r="AQ10" i="33"/>
  <c r="AN10" i="33"/>
  <c r="AK10" i="33"/>
  <c r="AO10" i="33"/>
  <c r="AG10" i="33"/>
  <c r="AG19" i="33"/>
  <c r="AK19" i="33"/>
  <c r="AO19" i="33"/>
  <c r="AM19" i="33"/>
  <c r="AJ19" i="33"/>
  <c r="AH19" i="33"/>
  <c r="AL19" i="33"/>
  <c r="AP19" i="33"/>
  <c r="AI19" i="33"/>
  <c r="AQ19" i="33"/>
  <c r="AN19" i="33"/>
  <c r="A71" i="11"/>
  <c r="A6" i="11"/>
  <c r="K37" i="11"/>
  <c r="J212" i="11"/>
  <c r="J216" i="11" s="1"/>
  <c r="J217" i="11" s="1"/>
  <c r="J218" i="11" s="1"/>
  <c r="J219" i="11" s="1"/>
  <c r="J220" i="11" s="1"/>
  <c r="J221" i="11" s="1"/>
  <c r="J160" i="11"/>
  <c r="J164" i="11" s="1"/>
  <c r="J165" i="11" s="1"/>
  <c r="O8" i="32"/>
  <c r="K190" i="11"/>
  <c r="B189" i="11"/>
  <c r="B186" i="11"/>
  <c r="B187" i="11"/>
  <c r="B188" i="11"/>
  <c r="P8" i="32"/>
  <c r="J177" i="11"/>
  <c r="J178" i="11" s="1"/>
  <c r="AC37" i="43"/>
  <c r="Z38" i="43"/>
  <c r="AB37" i="43" s="1"/>
  <c r="T8" i="32"/>
  <c r="S8" i="32"/>
  <c r="R8" i="32"/>
  <c r="U8" i="32"/>
  <c r="K177" i="11"/>
  <c r="F38" i="1"/>
  <c r="A99" i="11"/>
  <c r="U11" i="32"/>
  <c r="Q11" i="32"/>
  <c r="T11" i="32"/>
  <c r="O11" i="32"/>
  <c r="R11" i="32"/>
  <c r="P11" i="32"/>
  <c r="S11" i="32"/>
  <c r="U12" i="32"/>
  <c r="O12" i="32"/>
  <c r="R12" i="32"/>
  <c r="T12" i="32"/>
  <c r="P12" i="32"/>
  <c r="Q12" i="32"/>
  <c r="S12" i="32"/>
  <c r="T10" i="32"/>
  <c r="U10" i="32"/>
  <c r="Q10" i="32"/>
  <c r="R10" i="32"/>
  <c r="S10" i="32"/>
  <c r="O10" i="32"/>
  <c r="P10" i="32"/>
  <c r="T13" i="32"/>
  <c r="R13" i="32"/>
  <c r="U13" i="32"/>
  <c r="O13" i="32"/>
  <c r="P13" i="32"/>
  <c r="S13" i="32"/>
  <c r="Q13" i="32"/>
  <c r="R9" i="32"/>
  <c r="O9" i="32"/>
  <c r="Q9" i="32"/>
  <c r="S9" i="32"/>
  <c r="T9" i="32"/>
  <c r="U9" i="32"/>
  <c r="P9" i="32"/>
  <c r="T14" i="32"/>
  <c r="P14" i="32"/>
  <c r="U14" i="32"/>
  <c r="Q14" i="32"/>
  <c r="S14" i="32"/>
  <c r="R14" i="32"/>
  <c r="O14" i="32"/>
  <c r="AA24" i="1" l="1"/>
  <c r="AA23" i="1"/>
  <c r="B55" i="48"/>
  <c r="B55" i="49"/>
  <c r="B55" i="50"/>
  <c r="F38" i="25"/>
  <c r="F38" i="50"/>
  <c r="F38" i="49"/>
  <c r="F38" i="48"/>
  <c r="S44" i="4"/>
  <c r="B55" i="25"/>
  <c r="AJ4" i="11"/>
  <c r="U132" i="11" s="1"/>
  <c r="AN3" i="11"/>
  <c r="AN2" i="11"/>
  <c r="AJ3" i="11"/>
  <c r="J166" i="11"/>
  <c r="J167" i="11" s="1"/>
  <c r="J168" i="11" s="1"/>
  <c r="J169" i="11" s="1"/>
  <c r="P73" i="4" s="1"/>
  <c r="L48" i="1" s="1"/>
  <c r="O59" i="4"/>
  <c r="O62" i="4"/>
  <c r="O56" i="4"/>
  <c r="O53" i="4"/>
  <c r="K117" i="11"/>
  <c r="H32" i="50"/>
  <c r="K104" i="11"/>
  <c r="D145" i="11"/>
  <c r="F145" i="11" s="1"/>
  <c r="I145" i="11" s="1"/>
  <c r="J179" i="11"/>
  <c r="J180" i="11" s="1"/>
  <c r="J181" i="11" s="1"/>
  <c r="J182" i="11" s="1"/>
  <c r="P74" i="4" s="1"/>
  <c r="L49" i="1" s="1"/>
  <c r="O17" i="37"/>
  <c r="J192" i="11"/>
  <c r="J193" i="11" s="1"/>
  <c r="J194" i="11" s="1"/>
  <c r="J195" i="11" s="1"/>
  <c r="P75" i="4" s="1"/>
  <c r="L50" i="1" s="1"/>
  <c r="I44" i="4"/>
  <c r="Q15" i="32"/>
  <c r="T15" i="32"/>
  <c r="F16" i="1" l="1"/>
  <c r="CD24" i="52"/>
  <c r="CG24" i="52"/>
  <c r="CF24" i="52"/>
  <c r="CE24" i="52"/>
  <c r="CF18" i="52"/>
  <c r="CG18" i="52"/>
  <c r="CE18" i="52"/>
  <c r="AA25" i="1"/>
  <c r="L50" i="25"/>
  <c r="L50" i="48"/>
  <c r="L50" i="49"/>
  <c r="L50" i="50"/>
  <c r="L48" i="25"/>
  <c r="L48" i="48"/>
  <c r="L48" i="49"/>
  <c r="L48" i="50"/>
  <c r="H15" i="1"/>
  <c r="H14" i="1"/>
  <c r="L49" i="25"/>
  <c r="L49" i="48"/>
  <c r="L49" i="49"/>
  <c r="L49" i="50"/>
  <c r="O63" i="4"/>
  <c r="I40" i="1" s="1"/>
  <c r="H40" i="50"/>
  <c r="O64" i="4"/>
  <c r="I41" i="1" s="1"/>
  <c r="H41" i="50"/>
  <c r="H38" i="49"/>
  <c r="H38" i="50"/>
  <c r="H39" i="49"/>
  <c r="H39" i="50"/>
  <c r="H36" i="49"/>
  <c r="H36" i="50"/>
  <c r="H37" i="49"/>
  <c r="H37" i="50"/>
  <c r="H34" i="49"/>
  <c r="H34" i="50"/>
  <c r="H33" i="49"/>
  <c r="H33" i="50"/>
  <c r="H35" i="49"/>
  <c r="H35" i="50"/>
  <c r="H32" i="48"/>
  <c r="H32" i="49"/>
  <c r="O61" i="4"/>
  <c r="I39" i="50" s="1"/>
  <c r="H39" i="48"/>
  <c r="O57" i="4"/>
  <c r="I36" i="50" s="1"/>
  <c r="H36" i="48"/>
  <c r="O60" i="4"/>
  <c r="I38" i="50" s="1"/>
  <c r="H38" i="48"/>
  <c r="O58" i="4"/>
  <c r="I37" i="50" s="1"/>
  <c r="H37" i="48"/>
  <c r="O54" i="4"/>
  <c r="I34" i="50" s="1"/>
  <c r="H34" i="48"/>
  <c r="O52" i="4"/>
  <c r="I33" i="50" s="1"/>
  <c r="H33" i="48"/>
  <c r="O55" i="4"/>
  <c r="I35" i="50" s="1"/>
  <c r="H35" i="48"/>
  <c r="B84" i="4"/>
  <c r="I42" i="4"/>
  <c r="I43" i="4"/>
  <c r="U40" i="11"/>
  <c r="U146" i="11"/>
  <c r="U105" i="11"/>
  <c r="U77" i="11"/>
  <c r="U63" i="11"/>
  <c r="U26" i="11"/>
  <c r="U12" i="11"/>
  <c r="U118" i="11"/>
  <c r="U91" i="11"/>
  <c r="A58" i="11"/>
  <c r="H33" i="25"/>
  <c r="A197" i="11"/>
  <c r="J208" i="11" s="1"/>
  <c r="J145" i="11"/>
  <c r="K145" i="11"/>
  <c r="H33" i="1"/>
  <c r="A21" i="11"/>
  <c r="Q24" i="11" s="1"/>
  <c r="H35" i="1"/>
  <c r="H35" i="25"/>
  <c r="H38" i="1"/>
  <c r="A100" i="11"/>
  <c r="Q103" i="11" s="1"/>
  <c r="H38" i="25"/>
  <c r="H40" i="25"/>
  <c r="H40" i="1"/>
  <c r="A127" i="11"/>
  <c r="Q130" i="11" s="1"/>
  <c r="H36" i="1"/>
  <c r="A72" i="11"/>
  <c r="Q75" i="11" s="1"/>
  <c r="H36" i="25"/>
  <c r="A35" i="11"/>
  <c r="Q38" i="11" s="1"/>
  <c r="H34" i="25"/>
  <c r="H34" i="1"/>
  <c r="H32" i="25"/>
  <c r="I32" i="50"/>
  <c r="H32" i="1"/>
  <c r="A7" i="11"/>
  <c r="H37" i="1"/>
  <c r="A86" i="11"/>
  <c r="Q89" i="11" s="1"/>
  <c r="H37" i="25"/>
  <c r="H39" i="1"/>
  <c r="H39" i="25"/>
  <c r="A113" i="11"/>
  <c r="Q116" i="11" s="1"/>
  <c r="A141" i="11"/>
  <c r="Q145" i="11" s="1"/>
  <c r="H41" i="1"/>
  <c r="H41" i="25"/>
  <c r="L34" i="4"/>
  <c r="F15" i="1" s="1"/>
  <c r="L33" i="4"/>
  <c r="F14" i="1" s="1"/>
  <c r="H16" i="1" l="1"/>
  <c r="H16" i="50" s="1"/>
  <c r="F16" i="48"/>
  <c r="I16" i="48" s="1"/>
  <c r="I16" i="49" s="1"/>
  <c r="I16" i="50" s="1"/>
  <c r="F16" i="25"/>
  <c r="F16" i="49"/>
  <c r="F16" i="50"/>
  <c r="CH24" i="52"/>
  <c r="CH18" i="52"/>
  <c r="M23" i="1"/>
  <c r="V34" i="4" s="1"/>
  <c r="H14" i="48"/>
  <c r="H14" i="49"/>
  <c r="H14" i="50"/>
  <c r="H14" i="25"/>
  <c r="H15" i="49"/>
  <c r="H15" i="50"/>
  <c r="H15" i="48"/>
  <c r="H15" i="25"/>
  <c r="I41" i="25"/>
  <c r="I41" i="50"/>
  <c r="I40" i="25"/>
  <c r="I40" i="50"/>
  <c r="H16" i="25"/>
  <c r="I35" i="1"/>
  <c r="F15" i="49"/>
  <c r="F15" i="50"/>
  <c r="F14" i="49"/>
  <c r="F14" i="50"/>
  <c r="I33" i="48"/>
  <c r="I33" i="49"/>
  <c r="I37" i="48"/>
  <c r="I37" i="49"/>
  <c r="I38" i="48"/>
  <c r="I38" i="49"/>
  <c r="I39" i="48"/>
  <c r="I39" i="49"/>
  <c r="I32" i="48"/>
  <c r="I32" i="49"/>
  <c r="I33" i="25"/>
  <c r="I35" i="48"/>
  <c r="I35" i="49"/>
  <c r="I34" i="48"/>
  <c r="I34" i="49"/>
  <c r="I36" i="48"/>
  <c r="I36" i="49"/>
  <c r="F14" i="25"/>
  <c r="F14" i="48"/>
  <c r="F15" i="25"/>
  <c r="F15" i="48"/>
  <c r="O57" i="1"/>
  <c r="O58" i="1"/>
  <c r="B57" i="1" s="1"/>
  <c r="B57" i="50" s="1"/>
  <c r="F63" i="11"/>
  <c r="I63" i="11" s="1"/>
  <c r="K63" i="11" s="1"/>
  <c r="Q61" i="11"/>
  <c r="F12" i="11"/>
  <c r="I12" i="11" s="1"/>
  <c r="Q10" i="11"/>
  <c r="F146" i="11"/>
  <c r="I146" i="11" s="1"/>
  <c r="F144" i="11"/>
  <c r="I144" i="11" s="1"/>
  <c r="F132" i="11"/>
  <c r="I132" i="11" s="1"/>
  <c r="F130" i="11"/>
  <c r="I130" i="11" s="1"/>
  <c r="F61" i="11"/>
  <c r="I61" i="11" s="1"/>
  <c r="K61" i="11" s="1"/>
  <c r="F118" i="11"/>
  <c r="I118" i="11" s="1"/>
  <c r="F116" i="11"/>
  <c r="I116" i="11" s="1"/>
  <c r="F105" i="11"/>
  <c r="I105" i="11" s="1"/>
  <c r="F103" i="11"/>
  <c r="I103" i="11" s="1"/>
  <c r="F91" i="11"/>
  <c r="I91" i="11" s="1"/>
  <c r="F89" i="11"/>
  <c r="I89" i="11" s="1"/>
  <c r="F77" i="11"/>
  <c r="I77" i="11" s="1"/>
  <c r="F75" i="11"/>
  <c r="I75" i="11" s="1"/>
  <c r="F40" i="11"/>
  <c r="I40" i="11" s="1"/>
  <c r="F38" i="11"/>
  <c r="I38" i="11" s="1"/>
  <c r="F26" i="11"/>
  <c r="I26" i="11" s="1"/>
  <c r="J26" i="11" s="1"/>
  <c r="F24" i="11"/>
  <c r="I24" i="11" s="1"/>
  <c r="J24" i="11" s="1"/>
  <c r="I35" i="25"/>
  <c r="I33" i="1"/>
  <c r="I38" i="25"/>
  <c r="I38" i="1"/>
  <c r="I39" i="25"/>
  <c r="I39" i="1"/>
  <c r="I37" i="25"/>
  <c r="I37" i="1"/>
  <c r="I36" i="25"/>
  <c r="I36" i="1"/>
  <c r="F10" i="11"/>
  <c r="I10" i="11" s="1"/>
  <c r="I32" i="25"/>
  <c r="I32" i="1"/>
  <c r="I34" i="25"/>
  <c r="I34" i="1"/>
  <c r="G16" i="48" l="1"/>
  <c r="G16" i="49" s="1"/>
  <c r="G16" i="50" s="1"/>
  <c r="H16" i="49"/>
  <c r="H16" i="48"/>
  <c r="B57" i="48"/>
  <c r="B57" i="49"/>
  <c r="B57" i="25"/>
  <c r="B56" i="1"/>
  <c r="J63" i="11"/>
  <c r="J61" i="11"/>
  <c r="K24" i="11"/>
  <c r="K26" i="11"/>
  <c r="J27" i="11"/>
  <c r="J28" i="11" s="1"/>
  <c r="K40" i="11"/>
  <c r="J40" i="11"/>
  <c r="J10" i="11"/>
  <c r="K10" i="11"/>
  <c r="K146" i="11"/>
  <c r="J146" i="11"/>
  <c r="J12" i="11"/>
  <c r="K12" i="11"/>
  <c r="J105" i="11"/>
  <c r="K105" i="11"/>
  <c r="K64" i="11"/>
  <c r="K91" i="11"/>
  <c r="J91" i="11"/>
  <c r="J75" i="11"/>
  <c r="K75" i="11"/>
  <c r="J77" i="11"/>
  <c r="K77" i="11"/>
  <c r="J130" i="11"/>
  <c r="K130" i="11"/>
  <c r="J118" i="11"/>
  <c r="K118" i="11"/>
  <c r="K116" i="11"/>
  <c r="J116" i="11"/>
  <c r="J38" i="11"/>
  <c r="K38" i="11"/>
  <c r="K144" i="11"/>
  <c r="J144" i="11"/>
  <c r="K132" i="11"/>
  <c r="J132" i="11"/>
  <c r="J103" i="11"/>
  <c r="K103" i="11"/>
  <c r="J89" i="11"/>
  <c r="K89" i="11"/>
  <c r="B56" i="49" l="1"/>
  <c r="B56" i="50"/>
  <c r="B56" i="25"/>
  <c r="B56" i="48"/>
  <c r="J64" i="11"/>
  <c r="J65" i="11" s="1"/>
  <c r="J66" i="11" s="1"/>
  <c r="J67" i="11" s="1"/>
  <c r="J68" i="11" s="1"/>
  <c r="P55" i="4" s="1"/>
  <c r="K35" i="50" s="1"/>
  <c r="K27" i="11"/>
  <c r="J29" i="11" s="1"/>
  <c r="J30" i="11" s="1"/>
  <c r="J31" i="11" s="1"/>
  <c r="P52" i="4" s="1"/>
  <c r="K119" i="11"/>
  <c r="K41" i="11"/>
  <c r="K13" i="11"/>
  <c r="K133" i="11"/>
  <c r="K147" i="11"/>
  <c r="J133" i="11"/>
  <c r="J134" i="11" s="1"/>
  <c r="J13" i="11"/>
  <c r="J14" i="11" s="1"/>
  <c r="J147" i="11"/>
  <c r="J148" i="11" s="1"/>
  <c r="K92" i="11"/>
  <c r="J92" i="11"/>
  <c r="J93" i="11" s="1"/>
  <c r="J41" i="11"/>
  <c r="J42" i="11" s="1"/>
  <c r="J119" i="11"/>
  <c r="J120" i="11" s="1"/>
  <c r="J78" i="11"/>
  <c r="J79" i="11" s="1"/>
  <c r="K106" i="11"/>
  <c r="K78" i="11"/>
  <c r="J106" i="11"/>
  <c r="J107" i="11" s="1"/>
  <c r="K33" i="49" l="1"/>
  <c r="K33" i="50"/>
  <c r="K35" i="48"/>
  <c r="K35" i="49"/>
  <c r="K33" i="1"/>
  <c r="W33" i="1" s="1"/>
  <c r="X33" i="1" s="1"/>
  <c r="K33" i="48"/>
  <c r="K30" i="11"/>
  <c r="J121" i="11"/>
  <c r="J122" i="11" s="1"/>
  <c r="J123" i="11" s="1"/>
  <c r="P61" i="4" s="1"/>
  <c r="K33" i="25"/>
  <c r="J15" i="11"/>
  <c r="J16" i="11" s="1"/>
  <c r="J17" i="11" s="1"/>
  <c r="P51" i="4" s="1"/>
  <c r="J43" i="11"/>
  <c r="J44" i="11" s="1"/>
  <c r="J45" i="11" s="1"/>
  <c r="P54" i="4" s="1"/>
  <c r="J135" i="11"/>
  <c r="J136" i="11" s="1"/>
  <c r="J137" i="11" s="1"/>
  <c r="P63" i="4" s="1"/>
  <c r="K40" i="1" s="1"/>
  <c r="J94" i="11"/>
  <c r="J95" i="11" s="1"/>
  <c r="J96" i="11" s="1"/>
  <c r="P58" i="4" s="1"/>
  <c r="J149" i="11"/>
  <c r="J150" i="11" s="1"/>
  <c r="J151" i="11" s="1"/>
  <c r="P64" i="4" s="1"/>
  <c r="K41" i="1" s="1"/>
  <c r="J80" i="11"/>
  <c r="J81" i="11" s="1"/>
  <c r="J82" i="11" s="1"/>
  <c r="P57" i="4" s="1"/>
  <c r="K36" i="50" s="1"/>
  <c r="K35" i="25"/>
  <c r="K35" i="1"/>
  <c r="W35" i="1" s="1"/>
  <c r="X35" i="1" s="1"/>
  <c r="J108" i="11"/>
  <c r="J109" i="11" s="1"/>
  <c r="J110" i="11" s="1"/>
  <c r="P60" i="4" s="1"/>
  <c r="K38" i="50" s="1"/>
  <c r="K40" i="25" l="1"/>
  <c r="K40" i="50"/>
  <c r="K41" i="25"/>
  <c r="K41" i="50"/>
  <c r="K34" i="49"/>
  <c r="K34" i="50"/>
  <c r="K39" i="49"/>
  <c r="K39" i="50"/>
  <c r="K32" i="49"/>
  <c r="K32" i="50"/>
  <c r="K37" i="49"/>
  <c r="K37" i="50"/>
  <c r="K38" i="48"/>
  <c r="K38" i="49"/>
  <c r="K36" i="48"/>
  <c r="K36" i="49"/>
  <c r="K34" i="25"/>
  <c r="K34" i="48"/>
  <c r="K39" i="1"/>
  <c r="K39" i="48"/>
  <c r="K32" i="25"/>
  <c r="K32" i="48"/>
  <c r="K37" i="25"/>
  <c r="K37" i="48"/>
  <c r="K39" i="25"/>
  <c r="K32" i="1"/>
  <c r="W32" i="1" s="1"/>
  <c r="X32" i="1" s="1"/>
  <c r="Y32" i="1" s="1"/>
  <c r="Z32" i="1" s="1"/>
  <c r="K34" i="1"/>
  <c r="W34" i="1" s="1"/>
  <c r="X34" i="1" s="1"/>
  <c r="Y34" i="1" s="1"/>
  <c r="Z34" i="1" s="1"/>
  <c r="W40" i="1"/>
  <c r="X40" i="1" s="1"/>
  <c r="K37" i="1"/>
  <c r="W37" i="1" s="1"/>
  <c r="X37" i="1" s="1"/>
  <c r="W41" i="1"/>
  <c r="X41" i="1" s="1"/>
  <c r="K36" i="25"/>
  <c r="K36" i="1"/>
  <c r="W36" i="1" s="1"/>
  <c r="X36" i="1" s="1"/>
  <c r="K38" i="1"/>
  <c r="W38" i="1" s="1"/>
  <c r="X38" i="1" s="1"/>
  <c r="K38" i="25"/>
  <c r="W39" i="1" l="1"/>
  <c r="X39" i="1" s="1"/>
  <c r="Y38" i="1" s="1"/>
  <c r="Z38" i="1" s="1"/>
  <c r="Y40" i="1"/>
  <c r="Z40" i="1" s="1"/>
  <c r="Y36" i="1"/>
  <c r="Z36" i="1" s="1"/>
  <c r="AA32" i="1" l="1"/>
  <c r="AB32" i="1" l="1"/>
  <c r="M32" i="1" s="1"/>
  <c r="K69" i="1" s="1"/>
  <c r="J69" i="1" s="1"/>
  <c r="W34" i="4" s="1"/>
  <c r="L69" i="1" l="1"/>
  <c r="A2" i="4"/>
  <c r="B64" i="1" s="1"/>
  <c r="T16" i="43"/>
  <c r="A2" i="11" l="1"/>
  <c r="A2" i="1"/>
  <c r="A2" i="50" s="1"/>
  <c r="T15" i="43"/>
  <c r="T17" i="43" s="1"/>
  <c r="U16" i="43" s="1"/>
  <c r="B64" i="49"/>
  <c r="B64" i="50"/>
  <c r="B64" i="25"/>
  <c r="B64" i="48"/>
  <c r="A2" i="25" l="1"/>
  <c r="A2" i="49"/>
  <c r="A2" i="4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O58" authorId="0" shapeId="0" xr:uid="{C159FDB6-41A2-4D88-A6FD-5861157A4DBC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Menentukan ketika kosong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28D1ADC8-CF72-44BE-9476-4C4A0150C160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I2" authorId="0" shapeId="0" xr:uid="{00000000-0006-0000-0200-000001000000}">
      <text>
        <r>
          <rPr>
            <sz val="16"/>
            <color indexed="81"/>
            <rFont val="Tahoma"/>
            <family val="2"/>
          </rPr>
          <t xml:space="preserve">KLIK atau PICIK ENABLE CONTENT, KETIKA PERUBAHAN TABEL PADA PENYELIA DAN YANTEK TIDAK BERFUNGSI 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A41" authorId="0" shapeId="0" xr:uid="{4C6032F6-807E-446C-852F-A13805480264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MENENTUKAN NILAI SCORING UNTUK MENENTUKAN KETERANGAN DIBAWAH INI
</t>
        </r>
      </text>
    </comment>
    <comment ref="U43" authorId="0" shapeId="0" xr:uid="{D26EF17A-FE3A-4186-B1AF-7B6123B9808D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rumus mirip arus bocor</t>
        </r>
      </text>
    </comment>
    <comment ref="AA43" authorId="0" shapeId="0" xr:uid="{43652FE2-DCFD-439D-9C06-570276D36DD1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digunakan jika input NC nilai arus terkoreksinya &lt;= 100 mikro ampere</t>
        </r>
      </text>
    </comment>
    <comment ref="AA44" authorId="0" shapeId="0" xr:uid="{093ED310-5E82-44EC-AFCC-9728AC919B40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digunakan jika tidak ada grounding ruangan dan arus bocor posisi "-"
</t>
        </r>
      </text>
    </comment>
  </commentList>
</comments>
</file>

<file path=xl/sharedStrings.xml><?xml version="1.0" encoding="utf-8"?>
<sst xmlns="http://schemas.openxmlformats.org/spreadsheetml/2006/main" count="3097" uniqueCount="872">
  <si>
    <t>T.LK 014-18/ REV : 1</t>
  </si>
  <si>
    <t>Baik</t>
  </si>
  <si>
    <t/>
  </si>
  <si>
    <t>LEMBAR KERJA KALIBRASI BLOOD PRESSURE MONITOR</t>
  </si>
  <si>
    <r>
      <t xml:space="preserve">Nomor sertifikat </t>
    </r>
    <r>
      <rPr>
        <sz val="13"/>
        <rFont val="Calibri"/>
        <family val="2"/>
      </rPr>
      <t xml:space="preserve">□ </t>
    </r>
    <r>
      <rPr>
        <sz val="13"/>
        <rFont val="Arial"/>
        <family val="2"/>
      </rPr>
      <t>/ Nomor surat keterangan □ : 9 / …....... / ….. - ….. / E - …....... DL / DT</t>
    </r>
  </si>
  <si>
    <t>Tidak Baik</t>
  </si>
  <si>
    <t>Merek</t>
  </si>
  <si>
    <t>:</t>
  </si>
  <si>
    <t>Model/ tipe</t>
  </si>
  <si>
    <t>Nomor seri</t>
  </si>
  <si>
    <t>Resolusi alat</t>
  </si>
  <si>
    <t>mmHg (sistole; diastole)</t>
  </si>
  <si>
    <t>bpm (heart rate)</t>
  </si>
  <si>
    <t>Tanggal kalibrasi</t>
  </si>
  <si>
    <t>Tempat kalibrasi</t>
  </si>
  <si>
    <t>Nama ruang</t>
  </si>
  <si>
    <t>Petugas kalibrasi</t>
  </si>
  <si>
    <t xml:space="preserve">Pemeriksaan Fisik            </t>
  </si>
  <si>
    <t>Baik   □   /    Tidak Baik  □</t>
  </si>
  <si>
    <t xml:space="preserve">Pengujian Fungsi       </t>
  </si>
  <si>
    <t>Klasifikasi</t>
  </si>
  <si>
    <t>Bayi □  /   Anak □   /    Dewasa  □</t>
  </si>
  <si>
    <t>I. Kondisi ruang</t>
  </si>
  <si>
    <t>Parameter</t>
  </si>
  <si>
    <t>Pembacaan standar</t>
  </si>
  <si>
    <t>awal</t>
  </si>
  <si>
    <t>akhir</t>
  </si>
  <si>
    <t xml:space="preserve">Suhu </t>
  </si>
  <si>
    <t>°C</t>
  </si>
  <si>
    <t>Kelembaban</t>
  </si>
  <si>
    <t>% RH</t>
  </si>
  <si>
    <t>Tegangan jala jala</t>
  </si>
  <si>
    <t>Volt</t>
  </si>
  <si>
    <t xml:space="preserve">II.     </t>
  </si>
  <si>
    <t>Pemeriksaan kondisi fisik dan fungsi alat</t>
  </si>
  <si>
    <t>SKOR</t>
  </si>
  <si>
    <t>1. Pemeriksaan fisik : Baik □ /  Tidak baik □</t>
  </si>
  <si>
    <t>2. Pengujian fungsi    : Baik □ /  Tidak baik □</t>
  </si>
  <si>
    <t>III. Pengujian keselamatan listrik</t>
  </si>
  <si>
    <t>No</t>
  </si>
  <si>
    <t>Hasil ukur</t>
  </si>
  <si>
    <t>Ambang batas yang diijinkan</t>
  </si>
  <si>
    <t>Resistansi isolasi</t>
  </si>
  <si>
    <t>MΩ</t>
  </si>
  <si>
    <t>&gt; 2 MΩ</t>
  </si>
  <si>
    <t>Ω</t>
  </si>
  <si>
    <t>≤ 0.2 Ω</t>
  </si>
  <si>
    <t xml:space="preserve">Arus bocor peralatan untuk peralatan elektromedik kelas I </t>
  </si>
  <si>
    <t>μA</t>
  </si>
  <si>
    <t>≤ 500 µA</t>
  </si>
  <si>
    <t xml:space="preserve">Arus bocor peralatan untuk peralatan elektromedik kelas II </t>
  </si>
  <si>
    <t>≤ 100 µA</t>
  </si>
  <si>
    <t>IV. Pengujian kinerja</t>
  </si>
  <si>
    <t>A. Blood pressure monitor</t>
  </si>
  <si>
    <t>Setting standar</t>
  </si>
  <si>
    <t>Penunjukan alat (mmHg)</t>
  </si>
  <si>
    <t>Toleransi (mmHg)</t>
  </si>
  <si>
    <t xml:space="preserve">Bayi  □ </t>
  </si>
  <si>
    <t xml:space="preserve">Anak  □ </t>
  </si>
  <si>
    <t xml:space="preserve">Dewasa  □ </t>
  </si>
  <si>
    <t>Sistole (mmHg)</t>
  </si>
  <si>
    <t>………</t>
  </si>
  <si>
    <r>
      <rPr>
        <sz val="12"/>
        <rFont val="Calibri"/>
        <family val="2"/>
      </rPr>
      <t>±</t>
    </r>
    <r>
      <rPr>
        <sz val="12"/>
        <rFont val="Arial"/>
        <family val="2"/>
      </rPr>
      <t xml:space="preserve"> 5</t>
    </r>
  </si>
  <si>
    <t>Diastole (mmHg)</t>
  </si>
  <si>
    <t>Heart rate (bpm)</t>
  </si>
  <si>
    <t>200 □</t>
  </si>
  <si>
    <t>170 □</t>
  </si>
  <si>
    <t>160 □</t>
  </si>
  <si>
    <t>150 □</t>
  </si>
  <si>
    <t>100 □</t>
  </si>
  <si>
    <t>B. Heart rate (bpm)</t>
  </si>
  <si>
    <t>SCORE BPM &gt;=70 H</t>
  </si>
  <si>
    <t>Setting standar (bpm)</t>
  </si>
  <si>
    <t>Setting standar sistole (mmHg)</t>
  </si>
  <si>
    <t>Setting standar diastole  (mmHg)</t>
  </si>
  <si>
    <t>Penunjukan alat (bpm)</t>
  </si>
  <si>
    <t>Toleransi</t>
  </si>
  <si>
    <t>Bayi</t>
  </si>
  <si>
    <t>Anak</t>
  </si>
  <si>
    <t>Dewasa</t>
  </si>
  <si>
    <t>Heart rate</t>
  </si>
  <si>
    <r>
      <rPr>
        <sz val="12"/>
        <color theme="1"/>
        <rFont val="Calibri"/>
        <family val="2"/>
      </rPr>
      <t>±</t>
    </r>
    <r>
      <rPr>
        <sz val="12"/>
        <color theme="1"/>
        <rFont val="Arial"/>
        <family val="2"/>
      </rPr>
      <t xml:space="preserve"> 10%</t>
    </r>
  </si>
  <si>
    <t>m2</t>
  </si>
  <si>
    <t xml:space="preserve">V. Keterangan : </t>
  </si>
  <si>
    <r>
      <rPr>
        <b/>
        <sz val="12"/>
        <rFont val="Arial"/>
        <family val="2"/>
      </rPr>
      <t xml:space="preserve">√   |   X   </t>
    </r>
    <r>
      <rPr>
        <b/>
        <vertAlign val="superscript"/>
        <sz val="8"/>
        <rFont val="Arial"/>
        <family val="2"/>
      </rPr>
      <t>*G-lingkari</t>
    </r>
    <r>
      <rPr>
        <b/>
        <sz val="12"/>
        <rFont val="Arial"/>
        <family val="2"/>
      </rPr>
      <t xml:space="preserve">  </t>
    </r>
    <r>
      <rPr>
        <sz val="12"/>
        <rFont val="Arial"/>
        <family val="2"/>
      </rPr>
      <t>Alat tidak boleh digunakan pada instalasi tanpa dilengkapi grounding</t>
    </r>
  </si>
  <si>
    <r>
      <rPr>
        <b/>
        <sz val="12"/>
        <rFont val="Arial"/>
        <family val="2"/>
      </rPr>
      <t xml:space="preserve">√   |   X   </t>
    </r>
    <r>
      <rPr>
        <b/>
        <vertAlign val="superscript"/>
        <sz val="8"/>
        <rFont val="Arial"/>
        <family val="2"/>
      </rPr>
      <t>*NG-lingkari</t>
    </r>
    <r>
      <rPr>
        <sz val="12"/>
        <rFont val="Arial"/>
        <family val="2"/>
      </rPr>
      <t xml:space="preserve">  Tidak terdapat grounding di ruangan</t>
    </r>
  </si>
  <si>
    <r>
      <rPr>
        <b/>
        <sz val="12"/>
        <rFont val="Arial"/>
        <family val="2"/>
      </rPr>
      <t xml:space="preserve">√   |   X   </t>
    </r>
    <r>
      <rPr>
        <b/>
        <vertAlign val="superscript"/>
        <sz val="8"/>
        <rFont val="Arial"/>
        <family val="2"/>
      </rPr>
      <t>*NG-lingkari</t>
    </r>
    <r>
      <rPr>
        <sz val="12"/>
        <rFont val="Arial"/>
        <family val="2"/>
      </rPr>
      <t xml:space="preserve">  Catu daya menggunakan baterai</t>
    </r>
  </si>
  <si>
    <r>
      <t xml:space="preserve">NC : …........ </t>
    </r>
    <r>
      <rPr>
        <sz val="12"/>
        <rFont val="Calibri"/>
        <family val="2"/>
      </rPr>
      <t>µa; G  □  NG  □</t>
    </r>
  </si>
  <si>
    <t>..................................................................</t>
  </si>
  <si>
    <t>VI. Alat ukur yang digunakan :</t>
  </si>
  <si>
    <t>Handheld NIBP Simulator, Merek : ACCUPULSE PLUS, Model : AH-2, SN : HH12080309  □</t>
  </si>
  <si>
    <t>Vital Signs Simulator, Merek : Rigel, Model : UNI-SIM, SN : 05J-0804  □</t>
  </si>
  <si>
    <t>7.9.2020</t>
  </si>
  <si>
    <t>Digital Thermohygrometer, Merek : Sekonic, Model : ST - 50A, SN : HE 21-000669 □, HE 21-000670 □</t>
  </si>
  <si>
    <t>Digital Thermohygrometer, Merek : Sekonic, Model : ST-50, SN : HE 01 - 203004 □</t>
  </si>
  <si>
    <t>Digital Thermohygrometer, Merek : KIMO, Model : KH-210, SN : 15062874 □, 15062873  □, 15062872 □, 14082463 □, 15062875  □</t>
  </si>
  <si>
    <t>Digital Thermohygrobarometer, Merek : Greisinger, Model : GFTB 200, SN : 34903046 □, 34903051  □, 34903053  □, 34904091  □, 34903334 □, 34903050 □</t>
  </si>
  <si>
    <t>Electrical Safety Analyzer, Merek : FLUKE, Model : ESA620, SN : 1837056 □, 1834020  □</t>
  </si>
  <si>
    <t>Electrical Safety Analyzer, Merek : FLUKE, Model : ESA615, SN : 2853077   □, 2853078 □,  3148907□, 3699030 □,  3148908□</t>
  </si>
  <si>
    <t xml:space="preserve">Digital Thermohygrobarometer, Merek : EXTECH, Model : SD700, SN : A.100609 □, A.100611 □,  A.100605 □ </t>
  </si>
  <si>
    <t>No.</t>
  </si>
  <si>
    <t>Tanggal</t>
  </si>
  <si>
    <t>Revisi</t>
  </si>
  <si>
    <t>Awal</t>
  </si>
  <si>
    <t>Akhir</t>
  </si>
  <si>
    <t>T.LK 014-18/ REV : 0</t>
  </si>
  <si>
    <t>Tegangan jala-jala jika diberi strip (-) menghasilkan value</t>
  </si>
  <si>
    <t>INPUT DATA KALIBRASI BLOOD PRESSURE MONITOR</t>
  </si>
  <si>
    <t>2 / II - 20 / E - 015.38 DL</t>
  </si>
  <si>
    <t>OMRON</t>
  </si>
  <si>
    <t>HEM-8712</t>
  </si>
  <si>
    <t>-</t>
  </si>
  <si>
    <t>mmHg (sistole; diastole), Resolusi alat :</t>
  </si>
  <si>
    <t>Muhammad Zaenuri Sugiasmoro</t>
  </si>
  <si>
    <t>Metode kerja</t>
  </si>
  <si>
    <t>MK 014-18</t>
  </si>
  <si>
    <t>Penunjukan standar</t>
  </si>
  <si>
    <t>Penunjukan standar Awal</t>
  </si>
  <si>
    <t>Penunjukan standar akhir</t>
  </si>
  <si>
    <t>Nilai rata - rata</t>
  </si>
  <si>
    <t xml:space="preserve">terkoreksi </t>
  </si>
  <si>
    <t>terkoreksi</t>
  </si>
  <si>
    <t>Lansia</t>
  </si>
  <si>
    <t xml:space="preserve">Kelembaban </t>
  </si>
  <si>
    <t>Tegangan jala-jala :</t>
  </si>
  <si>
    <t>, Tegangan jala-jala terkoreksi :</t>
  </si>
  <si>
    <t>II. Pemeriksaan kondisi fisik dan fungsi alat</t>
  </si>
  <si>
    <t>Pemeriksaan fisik</t>
  </si>
  <si>
    <t>Pengujian fungsi</t>
  </si>
  <si>
    <t>BATERAI</t>
  </si>
  <si>
    <t>III. Pengujian Keselamatan Listrik</t>
  </si>
  <si>
    <t>NC</t>
  </si>
  <si>
    <t>HASIL</t>
  </si>
  <si>
    <t>Hasil Ukur</t>
  </si>
  <si>
    <t>Hasil Ukur Terkoreksi</t>
  </si>
  <si>
    <t>Ambang Batas yang Diijinkan</t>
  </si>
  <si>
    <t>NG_TIDAK ADA GROUNDING RUANGAN</t>
  </si>
  <si>
    <t xml:space="preserve">IV. Pengujian Kinerja </t>
  </si>
  <si>
    <t xml:space="preserve">A. Blood pressure monitor </t>
  </si>
  <si>
    <t xml:space="preserve">Parameter                                        </t>
  </si>
  <si>
    <t>Setting Standar  (mmHg)</t>
  </si>
  <si>
    <t>Setting heart rate (bpm)</t>
  </si>
  <si>
    <t>Penunjukan Alat (mmHg)</t>
  </si>
  <si>
    <t xml:space="preserve">Nilai rata- rata </t>
  </si>
  <si>
    <t>Nilai rata- rata terkoreksi</t>
  </si>
  <si>
    <t>Koreksi</t>
  </si>
  <si>
    <r>
      <t>U</t>
    </r>
    <r>
      <rPr>
        <vertAlign val="subscript"/>
        <sz val="12"/>
        <color theme="1"/>
        <rFont val="Calibri"/>
        <family val="2"/>
        <scheme val="minor"/>
      </rPr>
      <t>95</t>
    </r>
  </si>
  <si>
    <t xml:space="preserve">Repeatability           </t>
  </si>
  <si>
    <t>Terbaca</t>
  </si>
  <si>
    <t>PENTING</t>
  </si>
  <si>
    <t xml:space="preserve">Sistole </t>
  </si>
  <si>
    <t>YANTEK</t>
  </si>
  <si>
    <t>Diastole</t>
  </si>
  <si>
    <t>PENYELIA</t>
  </si>
  <si>
    <t xml:space="preserve">B. Heart rate </t>
  </si>
  <si>
    <t>Setting sistole (mmHg)</t>
  </si>
  <si>
    <t>Setting diastole (mmHg)</t>
  </si>
  <si>
    <t>Penunjukan Alat (bpm)</t>
  </si>
  <si>
    <t>Koreksi relatif</t>
  </si>
  <si>
    <t>Catu daya menggunakan baterai</t>
  </si>
  <si>
    <t>IV.</t>
  </si>
  <si>
    <t>Alat Ukur Yang Digunakan</t>
  </si>
  <si>
    <t>NIBP Simulator, Merek : Rigel, Model : BP-SIM, SN : 12L-0534</t>
  </si>
  <si>
    <t xml:space="preserve">Digital Thermohygrobarometer, Merek : Greisinger, Model : GFTB 200, SN : 34903051 </t>
  </si>
  <si>
    <t>Electrical Safety Analyzer, Merek : FLUKE, Model : ESA615, SN : 2853078</t>
  </si>
  <si>
    <t>KLO KOSONG ISINYA :</t>
  </si>
  <si>
    <t>LOGIKA</t>
  </si>
  <si>
    <t>PARAMETER</t>
  </si>
  <si>
    <t>[ G ]</t>
  </si>
  <si>
    <t>[ NO ]</t>
  </si>
  <si>
    <t>[ NC ]</t>
  </si>
  <si>
    <t>[ G/NG ]</t>
  </si>
  <si>
    <t>KETERANGAN</t>
  </si>
  <si>
    <t>G_NO KELUAR_NC KELUAR_MERAH (TANPA ALAT BANTU)</t>
  </si>
  <si>
    <t>√</t>
  </si>
  <si>
    <t>G</t>
  </si>
  <si>
    <t>G_NO KELUAR_NC MASUK_HIJAU (TANPA ALAT BANTU)</t>
  </si>
  <si>
    <t>Gket</t>
  </si>
  <si>
    <t>Alat tidak boleh digunakan pada instalasi tanpa dilengkapi grounding</t>
  </si>
  <si>
    <t>G_NO MASUK_HIJAU (TANPA ALAT BANTU)</t>
  </si>
  <si>
    <t>NG_NO KELUAR_MERAH (DENGAN ALAT BANTU)</t>
  </si>
  <si>
    <t>NGket</t>
  </si>
  <si>
    <t>Tidak terdapat grounding di ruangan</t>
  </si>
  <si>
    <t>NG_NO MASUK_HIJAU (DENGAN ALAT BANTU)</t>
  </si>
  <si>
    <t>HASIL :</t>
  </si>
  <si>
    <t>SOAL NO DAN NC :</t>
  </si>
  <si>
    <t>HASIL AKHIR [ KATA PERBAIKAN EXCELL ] KELAS 1 ATAU KELAS 2</t>
  </si>
  <si>
    <t>HASIL AKHIR [ SKOR ] KELAS 1 ATAU KELAS 2</t>
  </si>
  <si>
    <t>COPY</t>
  </si>
  <si>
    <t>HASIL AKHIR [ KETERANGAN ] KELAS 1 ATAU KELAS 2</t>
  </si>
  <si>
    <t>ADAPTOR</t>
  </si>
  <si>
    <t>NG</t>
  </si>
  <si>
    <t>SOAL :</t>
  </si>
  <si>
    <t>PERUBAHAN TITIK 200 DAN 150</t>
  </si>
  <si>
    <t>PA</t>
  </si>
  <si>
    <t>A</t>
  </si>
  <si>
    <t>B</t>
  </si>
  <si>
    <t>C</t>
  </si>
  <si>
    <t>UNCERTAINTY BUDGET</t>
  </si>
  <si>
    <t>BLOOD PRESSURE MONITOR</t>
  </si>
  <si>
    <t>mmHg</t>
  </si>
  <si>
    <t>Component</t>
  </si>
  <si>
    <t>Units</t>
  </si>
  <si>
    <t>Distribusi</t>
  </si>
  <si>
    <t>u</t>
  </si>
  <si>
    <t>Divisor</t>
  </si>
  <si>
    <r>
      <t>u</t>
    </r>
    <r>
      <rPr>
        <b/>
        <i/>
        <vertAlign val="subscript"/>
        <sz val="12"/>
        <rFont val="Calibri"/>
        <family val="2"/>
        <scheme val="minor"/>
      </rPr>
      <t>i</t>
    </r>
  </si>
  <si>
    <r>
      <t>c</t>
    </r>
    <r>
      <rPr>
        <b/>
        <i/>
        <vertAlign val="subscript"/>
        <sz val="12"/>
        <rFont val="Calibri"/>
        <family val="2"/>
        <scheme val="minor"/>
      </rPr>
      <t>i</t>
    </r>
  </si>
  <si>
    <r>
      <t>v</t>
    </r>
    <r>
      <rPr>
        <b/>
        <i/>
        <vertAlign val="subscript"/>
        <sz val="12"/>
        <rFont val="Calibri"/>
        <family val="2"/>
        <scheme val="minor"/>
      </rPr>
      <t>i</t>
    </r>
  </si>
  <si>
    <r>
      <t>(u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>c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>)</t>
    </r>
  </si>
  <si>
    <r>
      <t>( u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>c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sz val="12"/>
        <rFont val="Calibri"/>
        <family val="2"/>
        <scheme val="minor"/>
      </rPr>
      <t xml:space="preserve"> ) ^ 2</t>
    </r>
  </si>
  <si>
    <r>
      <t>(u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>c</t>
    </r>
    <r>
      <rPr>
        <b/>
        <vertAlign val="subscript"/>
        <sz val="12"/>
        <rFont val="Calibri"/>
        <family val="2"/>
        <scheme val="minor"/>
      </rPr>
      <t>i</t>
    </r>
    <r>
      <rPr>
        <b/>
        <sz val="12"/>
        <rFont val="Calibri"/>
        <family val="2"/>
        <scheme val="minor"/>
      </rPr>
      <t>)^4/v</t>
    </r>
    <r>
      <rPr>
        <b/>
        <vertAlign val="subscript"/>
        <sz val="12"/>
        <rFont val="Calibri"/>
        <family val="2"/>
        <scheme val="minor"/>
      </rPr>
      <t>i</t>
    </r>
  </si>
  <si>
    <t>Repeatability</t>
  </si>
  <si>
    <t>Normal</t>
  </si>
  <si>
    <t xml:space="preserve">Sertifikat standar </t>
  </si>
  <si>
    <t>Daya Baca Operator UUT</t>
  </si>
  <si>
    <t>Rectangular</t>
  </si>
  <si>
    <t>Drift</t>
  </si>
  <si>
    <t xml:space="preserve">Sums </t>
  </si>
  <si>
    <r>
      <t>Combined Standard uncertainty, u</t>
    </r>
    <r>
      <rPr>
        <i/>
        <vertAlign val="subscript"/>
        <sz val="12"/>
        <rFont val="Calibri"/>
        <family val="2"/>
        <scheme val="minor"/>
      </rPr>
      <t xml:space="preserve">c  </t>
    </r>
  </si>
  <si>
    <t>Effective degree of freedom</t>
  </si>
  <si>
    <t>Coverage factor, k, for for CL 95 %</t>
  </si>
  <si>
    <r>
      <t>Expanded uncertainty, U = k u</t>
    </r>
    <r>
      <rPr>
        <i/>
        <vertAlign val="subscript"/>
        <sz val="12"/>
        <rFont val="Calibri"/>
        <family val="2"/>
        <scheme val="minor"/>
      </rPr>
      <t>c</t>
    </r>
    <r>
      <rPr>
        <i/>
        <sz val="12"/>
        <rFont val="Calibri"/>
        <family val="2"/>
        <scheme val="minor"/>
      </rPr>
      <t xml:space="preserve">,           (mmHg) </t>
    </r>
  </si>
  <si>
    <t>HEART RATE</t>
  </si>
  <si>
    <t>bpm</t>
  </si>
  <si>
    <t>BPM</t>
  </si>
  <si>
    <t>HASIL KALIBRASI BLOOD PRESSURE MONITOR</t>
  </si>
  <si>
    <t>Dani Firmanto</t>
  </si>
  <si>
    <t>Supriyanto</t>
  </si>
  <si>
    <t>I.</t>
  </si>
  <si>
    <t>Kondisi ruang</t>
  </si>
  <si>
    <t xml:space="preserve">1. Suhu                                                                        </t>
  </si>
  <si>
    <t xml:space="preserve">2. Kelembaban                                                            </t>
  </si>
  <si>
    <t>3. Tegangan jala jala</t>
  </si>
  <si>
    <t>Pemeriksaan Kondisi Fisik dan Fungsi Alat</t>
  </si>
  <si>
    <t>1. Pemeriksaan fisik</t>
  </si>
  <si>
    <t>: BAIK</t>
  </si>
  <si>
    <t>≤</t>
  </si>
  <si>
    <t>2. Pengujian fungsi</t>
  </si>
  <si>
    <t xml:space="preserve">III. </t>
  </si>
  <si>
    <t>Pengujian keselamatan listrik</t>
  </si>
  <si>
    <t xml:space="preserve">IV. </t>
  </si>
  <si>
    <t>Pengujian kinerja</t>
  </si>
  <si>
    <t>Setting standar (mmHg)</t>
  </si>
  <si>
    <t xml:space="preserve">Penunjukan alat                           (mmHg)                     </t>
  </si>
  <si>
    <t xml:space="preserve">Koreksi    (mmHg)                          </t>
  </si>
  <si>
    <r>
      <t xml:space="preserve">Ketidakpastian pengukuran    </t>
    </r>
    <r>
      <rPr>
        <sz val="12"/>
        <rFont val="Calibri"/>
        <family val="2"/>
      </rPr>
      <t>±</t>
    </r>
    <r>
      <rPr>
        <sz val="12"/>
        <rFont val="Calibri"/>
        <family val="2"/>
        <scheme val="minor"/>
      </rPr>
      <t xml:space="preserve">(mmHg)                       </t>
    </r>
  </si>
  <si>
    <t>|K| + |U95|</t>
  </si>
  <si>
    <r>
      <rPr>
        <sz val="12"/>
        <rFont val="Calibri"/>
        <family val="2"/>
      </rPr>
      <t xml:space="preserve">± </t>
    </r>
    <r>
      <rPr>
        <sz val="12"/>
        <rFont val="Calibri"/>
        <family val="2"/>
        <scheme val="minor"/>
      </rPr>
      <t>5</t>
    </r>
  </si>
  <si>
    <t>JANGAN DIDELETTE</t>
  </si>
  <si>
    <t>M2</t>
  </si>
  <si>
    <t>Penunjukan alat               (bpm)</t>
  </si>
  <si>
    <t>Koreksi relatif (%)</t>
  </si>
  <si>
    <t>Toleransi                         (%)</t>
  </si>
  <si>
    <t xml:space="preserve">Ketidakpastian pengukuran                         (%)                          </t>
  </si>
  <si>
    <r>
      <rPr>
        <sz val="12"/>
        <rFont val="Calibri"/>
        <family val="2"/>
      </rPr>
      <t xml:space="preserve">± </t>
    </r>
    <r>
      <rPr>
        <sz val="12"/>
        <rFont val="Calibri"/>
        <family val="2"/>
        <scheme val="minor"/>
      </rPr>
      <t xml:space="preserve">10 </t>
    </r>
  </si>
  <si>
    <t>V.</t>
  </si>
  <si>
    <t>Keterangan</t>
  </si>
  <si>
    <t>Ketidakpastian pengukuran sistole dan diastole pada tingkat kepercayaan 95 % dengan k = 2.</t>
  </si>
  <si>
    <r>
      <t xml:space="preserve">Ketidakpastian pengukuran </t>
    </r>
    <r>
      <rPr>
        <i/>
        <sz val="12"/>
        <rFont val="Calibri"/>
        <family val="2"/>
        <scheme val="minor"/>
      </rPr>
      <t>heart rate</t>
    </r>
    <r>
      <rPr>
        <sz val="12"/>
        <rFont val="Calibri"/>
        <family val="2"/>
        <scheme val="minor"/>
      </rPr>
      <t xml:space="preserve"> diperoleh dari ketidakpastian tipe A dan tipe B</t>
    </r>
  </si>
  <si>
    <t xml:space="preserve">VI. </t>
  </si>
  <si>
    <t>Alat ukur yang digunakan</t>
  </si>
  <si>
    <t xml:space="preserve">VII. </t>
  </si>
  <si>
    <t>Kesimpulan</t>
  </si>
  <si>
    <t xml:space="preserve">VIII. </t>
  </si>
  <si>
    <t>Nama</t>
  </si>
  <si>
    <t>Paraf</t>
  </si>
  <si>
    <t>LABEL</t>
  </si>
  <si>
    <t>BOBOT (%)</t>
  </si>
  <si>
    <t xml:space="preserve">Dibuat </t>
  </si>
  <si>
    <t xml:space="preserve">Penyelia   </t>
  </si>
  <si>
    <t>Pengujian Kinerja</t>
  </si>
  <si>
    <t xml:space="preserve">± 10 </t>
  </si>
  <si>
    <r>
      <t xml:space="preserve">Ketidakpastian Pengukuran </t>
    </r>
    <r>
      <rPr>
        <i/>
        <sz val="12"/>
        <rFont val="Arial"/>
        <family val="2"/>
      </rPr>
      <t>Sistole dan diastole</t>
    </r>
    <r>
      <rPr>
        <sz val="12"/>
        <rFont val="Arial"/>
        <family val="2"/>
      </rPr>
      <t xml:space="preserve"> pada Tingkat Kepercayaan 95 % dengan k = 2.</t>
    </r>
  </si>
  <si>
    <r>
      <t xml:space="preserve">Ketidakpastian Pengukuran </t>
    </r>
    <r>
      <rPr>
        <i/>
        <sz val="12"/>
        <rFont val="Arial"/>
        <family val="2"/>
      </rPr>
      <t>heart rate</t>
    </r>
    <r>
      <rPr>
        <sz val="12"/>
        <rFont val="Arial"/>
        <family val="2"/>
      </rPr>
      <t xml:space="preserve"> diperoleh dari ketidakpastian tipe A dan tipe B</t>
    </r>
  </si>
  <si>
    <t>Menyetujui,</t>
  </si>
  <si>
    <t>Kepala Instalasi Laboratorium</t>
  </si>
  <si>
    <t>Pengujian dan Kalibrasi</t>
  </si>
  <si>
    <t>NIP 198008062010121001</t>
  </si>
  <si>
    <t xml:space="preserve">Digital Thermohygrometer, Merek : KIMO, Model : KH-210, SN : 14082463 </t>
  </si>
  <si>
    <t>Electrical Safety Analyzer, Merek : FLUKE, Model : ESA620, SN : 1837056</t>
  </si>
  <si>
    <t xml:space="preserve">Digital Thermohygrometer, Merek : KIMO, Model : KH-210, SN : 15062875 </t>
  </si>
  <si>
    <t xml:space="preserve">Electrical Safety Analyzer, Merek : FLUKE, Model : ESA620, SN : 1834020 </t>
  </si>
  <si>
    <t xml:space="preserve">Digital Thermohygrometer, Merek : KIMO, Model : KH-210, SN : 15062874 </t>
  </si>
  <si>
    <t>Electrical Safety Analyzer, Merek : FLUKE, Model : ESA615, SN : 2853077</t>
  </si>
  <si>
    <t>NIBP Simulator, Merek : Rigel, Model : BP-SIM, SN : 12L-0536</t>
  </si>
  <si>
    <t xml:space="preserve">Digital Thermohygrometer, Merek : KIMO, Model : KH-210-AO, SN : 15062872 </t>
  </si>
  <si>
    <t>NIBP Simulator, Merek : Rigel, Model : BP-SIM, SN : 44L-1084</t>
  </si>
  <si>
    <t xml:space="preserve">Digital Thermohygrometer, Merek : KIMO, Model : KH-210-AO, SN : 15062873 </t>
  </si>
  <si>
    <t>Electrical Safety Analyzer, Merek : FLUKE, Model : ESA615, SN : 3148907</t>
  </si>
  <si>
    <t>NIBP Simulator, Merek : Rigel, Model : BP-SIM, SN : 06L-0610</t>
  </si>
  <si>
    <t xml:space="preserve">Digital Thermohygrobarometer, Merek : Greisinger, Model : GFT 200, SN : 34903046 </t>
  </si>
  <si>
    <t>Electrical Safety Analyzer, Merek : FLUKE, Model : ESA615, SN : 3148908</t>
  </si>
  <si>
    <t xml:space="preserve">Electrical Safety Analyzer, Merek : FLUKE, Model : ESA615, SN : 3699030 </t>
  </si>
  <si>
    <t xml:space="preserve">Digital Thermohygrobarometer, Merek : Greisinger, Model : GFTB 200, SN : 34903053 </t>
  </si>
  <si>
    <t xml:space="preserve">Digital Thermohygrobarometer, Merek : Greisinger, Model : GFTB 200, SN : 34904091 </t>
  </si>
  <si>
    <t>Digital Thermohygrobarometer, Merek : Greisinger, Model : GFTB 200, SN : 3490333</t>
  </si>
  <si>
    <t>Digital Thermohygrobarometer, Merek : Greisinger, Model : GFTB 200, SN : 34903050</t>
  </si>
  <si>
    <t xml:space="preserve">Digital Thermohygrometer, Merek : Sekonic, Model : ST - 50A, SN : HE 21-000670 </t>
  </si>
  <si>
    <t xml:space="preserve">Digital Thermohygrometer, Merek : Sekonic, Model : ST - 50A, SN : HE 21-000669 </t>
  </si>
  <si>
    <t>Digital Thermohygrometer, Merek : Sekonic, Model : ST-50, SN : HE 01 - 203004</t>
  </si>
  <si>
    <t>Digital Thermohygrobarometer, Merek : EXTECH, Model : SD700, SN : A.100609</t>
  </si>
  <si>
    <t>Digital Thermohygrobarometer, Merek : EXTECH, Model : SD700, SN : A.100611</t>
  </si>
  <si>
    <t>Digital Thermohygrobarometer, Merek : EXTECH, Model : SD700, SN : A.100605</t>
  </si>
  <si>
    <t>ALAT YANG DIGUNAKAN</t>
  </si>
  <si>
    <t xml:space="preserve">Electrical Safety Analyzer, Merek : FLUKE, Model : ESA620 (1837056) </t>
  </si>
  <si>
    <t xml:space="preserve">Electrical Safety Analyzer, Merek : FLUKE, Model : ESA620 (1834020) </t>
  </si>
  <si>
    <t xml:space="preserve">Electrical Safety Analyzer, Merek : FLUKE, Model : ESA615 (2853077) </t>
  </si>
  <si>
    <t xml:space="preserve">Electrical Safety Analyzer, Merek : FLUKE, Model : ESA615 (2853078) </t>
  </si>
  <si>
    <t>PA VAC</t>
  </si>
  <si>
    <t xml:space="preserve">koreksi </t>
  </si>
  <si>
    <t>TAHUN :</t>
  </si>
  <si>
    <t>KETELUSURAN</t>
  </si>
  <si>
    <t>P1</t>
  </si>
  <si>
    <t>P2</t>
  </si>
  <si>
    <t>P3</t>
  </si>
  <si>
    <t xml:space="preserve">Electrical Safety Analyzer, Merek : FLUKE, Model : ESA615 (3148907) </t>
  </si>
  <si>
    <t xml:space="preserve">Electrical Safety Analyzer, Merek : FLUKE, Model : ESA615 (3148908) </t>
  </si>
  <si>
    <t xml:space="preserve">Electrical Safety Analyzer, Merek : FLUKE, Model : ESA615 (3699030) </t>
  </si>
  <si>
    <t xml:space="preserve">2. Electrical Safety Analyzer, Merek : FLUKE, Model : ESA620 (1837056) </t>
  </si>
  <si>
    <t xml:space="preserve">2. Electrical Safety Analyzer, Merek : FLUKE, Model : ESA620 (1834020) </t>
  </si>
  <si>
    <t xml:space="preserve">2. Electrical Safety Analyzer, Merek : FLUKE, Model : ESA615 (2853077) </t>
  </si>
  <si>
    <r>
      <t xml:space="preserve">PA ( </t>
    </r>
    <r>
      <rPr>
        <b/>
        <sz val="10"/>
        <rFont val="Calibri"/>
        <family val="2"/>
      </rPr>
      <t>μ</t>
    </r>
    <r>
      <rPr>
        <b/>
        <sz val="10"/>
        <rFont val="Times New Roman"/>
        <family val="1"/>
      </rPr>
      <t>A )</t>
    </r>
  </si>
  <si>
    <t>PA ( uA )</t>
  </si>
  <si>
    <t xml:space="preserve">2. Electrical Safety Analyzer, Merek : FLUKE, Model : ESA615 (2853078) </t>
  </si>
  <si>
    <t xml:space="preserve">2. Electrical Safety Analyzer, Merek : FLUKE, Model : ESA615 (3148907) </t>
  </si>
  <si>
    <t xml:space="preserve">2. Electrical Safety Analyzer, Merek : FLUKE, Model : ESA615 (3148908) </t>
  </si>
  <si>
    <t xml:space="preserve">2. Electrical Safety Analyzer, Merek : FLUKE, Model : ESA615 (3699030) </t>
  </si>
  <si>
    <t>PA ( MΩ )</t>
  </si>
  <si>
    <t>PA ( Ω )</t>
  </si>
  <si>
    <t xml:space="preserve">KESIMPULAN : </t>
  </si>
  <si>
    <t>KESIMPULAN</t>
  </si>
  <si>
    <t>SIMBOL</t>
  </si>
  <si>
    <t>Nomor Sertifikat : 1 /</t>
  </si>
  <si>
    <t>Alat yang dikalibrasi dalam batas toleransi dan dinyatakan LAIK PAKAI, dimana hasil atau skor akhir sama dengan atau melampaui 70% berdasarkan Keputusan Direktur Jenderal Pelayanan Kesehatan No : HK.02.02/V/0412/2020</t>
  </si>
  <si>
    <t>Nomor Surat Keterangan : 1 / M -</t>
  </si>
  <si>
    <t>Alat yang dikalibrasi melebihi batas toleransi dan dinyatakan TIDAK LAIK PAKAI, dimana hasil atau skor akhir dibawah 70% berdasarkan Keputusan Direktur Jenderal Pelayanan Kesehatan No : HK.02.02/V/0412/2020</t>
  </si>
  <si>
    <t>RANGGA</t>
  </si>
  <si>
    <t>CHAIRUL HUDA</t>
  </si>
  <si>
    <t>Jenis tensimeter :</t>
  </si>
  <si>
    <t>JENIS TENSIMETER :</t>
  </si>
  <si>
    <t>≤ 500 μA</t>
  </si>
  <si>
    <t>DEWASA</t>
  </si>
  <si>
    <t>TENSIMETER DEWASA</t>
  </si>
  <si>
    <t>60, 120, 150</t>
  </si>
  <si>
    <t>≤ 100 μA</t>
  </si>
  <si>
    <t>TENSIMETER ANAK</t>
  </si>
  <si>
    <t>50, 120, 150</t>
  </si>
  <si>
    <t>TENSIMETER BAYI</t>
  </si>
  <si>
    <t>30, 60, 80</t>
  </si>
  <si>
    <t>ANAK</t>
  </si>
  <si>
    <t>BAYI</t>
  </si>
  <si>
    <t>KOLOM KETERANGAN :</t>
  </si>
  <si>
    <t>Achmad Fauzan Adzim</t>
  </si>
  <si>
    <t>Choirul Huda</t>
  </si>
  <si>
    <t>Dany Firmanto</t>
  </si>
  <si>
    <t>Donny Martha</t>
  </si>
  <si>
    <t>Fatimah Novrianisa</t>
  </si>
  <si>
    <t>Fikry Faradinna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</si>
  <si>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</si>
  <si>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</si>
  <si>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</si>
  <si>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</si>
  <si>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</si>
  <si>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</si>
  <si>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Muhammad Irfan Husnuzhzhan</t>
  </si>
  <si>
    <t>Rangga Setya Hantoko</t>
  </si>
  <si>
    <t>Septia Khairunnisa</t>
  </si>
  <si>
    <t>Taufik Priawan</t>
  </si>
  <si>
    <t>Venna Filosofia</t>
  </si>
  <si>
    <t>Wardimanul Abrar</t>
  </si>
  <si>
    <t>Nomor sertifikat : 9 /</t>
  </si>
  <si>
    <t>Nomor surat keterangan : 9 / M -</t>
  </si>
  <si>
    <t>Titik ukur atas permintaan pelanggan</t>
  </si>
  <si>
    <t>ACUAN ISI NOMOR SERTIFIKAT :</t>
  </si>
  <si>
    <t>PILIH JENIS SERTIFIKAT</t>
  </si>
  <si>
    <t xml:space="preserve">Nomor Sertifikat : </t>
  </si>
  <si>
    <t xml:space="preserve">Nomor Surat Keterangan : </t>
  </si>
  <si>
    <t>tanggal</t>
  </si>
  <si>
    <t>Tidak baik</t>
  </si>
  <si>
    <t>PA  (°C)</t>
  </si>
  <si>
    <t>koreksi  (°C)</t>
  </si>
  <si>
    <t>U(sh)</t>
  </si>
  <si>
    <t>PA(%RH)</t>
  </si>
  <si>
    <t>Koreksi  (%RH)</t>
  </si>
  <si>
    <t>U(kb)</t>
  </si>
  <si>
    <t>31.1.2020</t>
  </si>
  <si>
    <t>max =</t>
  </si>
  <si>
    <t>9.9.2019</t>
  </si>
  <si>
    <t>27.3.2019</t>
  </si>
  <si>
    <t>21.7.2020</t>
  </si>
  <si>
    <t>22.7.2020</t>
  </si>
  <si>
    <t>Digital Thermohygrobarometer, Merek : Greisinger, Model : GFTB 200, SN : 34903334</t>
  </si>
  <si>
    <t xml:space="preserve">Digital Pressure Meter, Merek : Fluke Biomedical, Model : DPM 4-2G  (1831021) </t>
  </si>
  <si>
    <t xml:space="preserve">Digital Pressure Meter, Merek : Fluke Biomedical, Model : DPM 4-2G  (1831023) </t>
  </si>
  <si>
    <t>INDUK FILE</t>
  </si>
  <si>
    <t xml:space="preserve">Digital Pressure Meter, Merek : Fluke Biomedical, Model : DPM 4-2H  (3191005) </t>
  </si>
  <si>
    <t>SERTIFIKAT TERBARU</t>
  </si>
  <si>
    <t xml:space="preserve">Universal Biometer, Merek : BIO-TEK, Model : DPM 3  (126143) </t>
  </si>
  <si>
    <t>NAIK</t>
  </si>
  <si>
    <t>TURUN</t>
  </si>
  <si>
    <t xml:space="preserve">Parameter Tester, Merek : Fluke, Model : DPM2 Plus  (9490021) </t>
  </si>
  <si>
    <t>koreksi</t>
  </si>
  <si>
    <t>U95</t>
  </si>
  <si>
    <t>14.11.2019</t>
  </si>
  <si>
    <t>Naik Terbaru</t>
  </si>
  <si>
    <t xml:space="preserve">DRIFT NAIK </t>
  </si>
  <si>
    <t>U95 Naik terbaru</t>
  </si>
  <si>
    <t>Turun Terbaru</t>
  </si>
  <si>
    <t>DRIFT TURUN</t>
  </si>
  <si>
    <t>U95 Turun terbaru</t>
  </si>
  <si>
    <r>
      <t xml:space="preserve">Hasil pengujian kinerja </t>
    </r>
    <r>
      <rPr>
        <i/>
        <sz val="10"/>
        <rFont val="Times New Roman"/>
        <family val="1"/>
      </rPr>
      <t>blood pressure monitor</t>
    </r>
    <r>
      <rPr>
        <sz val="10"/>
        <rFont val="Times New Roman"/>
        <family val="1"/>
      </rPr>
      <t xml:space="preserve"> tertelusur ke satuan SI melalui SEAWARD</t>
    </r>
  </si>
  <si>
    <t xml:space="preserve">Handheld NIBP Simulator, Merek : ACCUPULSE PLUS, Model : AH-2  (HH12080311) </t>
  </si>
  <si>
    <t xml:space="preserve">Digital Pressure, Merek : Fluke Biomedical, Model : DPM 4-1H  (3505042) </t>
  </si>
  <si>
    <t xml:space="preserve">Digital Pressure, Merek : Fluke Biomedical, Model : DPM 4-1H  (3534043) </t>
  </si>
  <si>
    <t xml:space="preserve">Digital Pressure, Merek : Fluke Biomedical, Model : DPM 4-1H  (3506049) </t>
  </si>
  <si>
    <t xml:space="preserve">Digital Pressure, Merek : Fluke Biomedical, Model : DPM 4-1H  (3505041) </t>
  </si>
  <si>
    <t>(1/3)*U95</t>
  </si>
  <si>
    <t xml:space="preserve">Digital Pressure Meter, Merek : Fluke Biomedical, Model : DPM 4-2G  (4414016) </t>
  </si>
  <si>
    <t xml:space="preserve">Digital Pressure Meter, Merek : Fluke Biomedical, Model : DPM 4-2G  (4414018) </t>
  </si>
  <si>
    <t xml:space="preserve">Digital Pressure, Merek : Fluke Biomedical, Model : DPM 4-2H  (3787040) </t>
  </si>
  <si>
    <t>Digital Pressure Gauge, Merek : Time Electronic, Model : TEG-CV 4b-0.025 (211H15050010)</t>
  </si>
  <si>
    <t>22.1.2018</t>
  </si>
  <si>
    <r>
      <t xml:space="preserve">Hasil pengujian kinerja </t>
    </r>
    <r>
      <rPr>
        <i/>
        <sz val="10"/>
        <rFont val="Times New Roman"/>
        <family val="1"/>
      </rPr>
      <t>blood pressure monitor</t>
    </r>
    <r>
      <rPr>
        <sz val="10"/>
        <rFont val="Times New Roman"/>
        <family val="1"/>
      </rPr>
      <t xml:space="preserve"> tertelusur ke satuan SI melalui PT. KALIMAN (LK-032-IDN)</t>
    </r>
  </si>
  <si>
    <t>11.2.2020</t>
  </si>
  <si>
    <t>21/2/2017</t>
  </si>
  <si>
    <t>21/2/2018</t>
  </si>
  <si>
    <t>9.3.2017</t>
  </si>
  <si>
    <t>21.2.2018</t>
  </si>
  <si>
    <t>Hasil pengujian kebocoran dan kalibrasi akurasi tekanan tertelusur ke satuan SI melalui PPM-LIPI</t>
  </si>
  <si>
    <t>Hasil pengujian kebocoran dan kalibrasi akurasi tekanan tertelusur ke satuan SI melalui PT. KALIMAN (LK-032-IDN)</t>
  </si>
  <si>
    <t>22.1.208</t>
  </si>
  <si>
    <t>6.9.2019</t>
  </si>
  <si>
    <t>4.2.2020</t>
  </si>
  <si>
    <t>11.11.2020</t>
  </si>
  <si>
    <t>Digital Thermohygrobarometer, Merek : EXTECH, Model : SD700, SN : A.100586</t>
  </si>
  <si>
    <t>Digital Thermohygrobarometer, Merek : EXTECH, Model : SD700, SN : A.100616</t>
  </si>
  <si>
    <t>Digital Thermohygrobarometer, Merek : EXTECH, Model : SD700, SN : A.100618</t>
  </si>
  <si>
    <t>12.11.2020</t>
  </si>
  <si>
    <t>Digital Thermohygrobarometer, Merek : EXTECH, Model : SD700, SN : A.100617</t>
  </si>
  <si>
    <t>29.3.2021</t>
  </si>
  <si>
    <t>Digital Thermohygrobarometer, Merek : EXTECH, Model : SD700, SN : A.100615</t>
  </si>
  <si>
    <t>3 Januari 2022</t>
  </si>
  <si>
    <t>Menambahkan sertifikat thermohygrometer EXTECH 586, 616, 618, 617, 615</t>
  </si>
  <si>
    <t>Menambahkan Tanggal penerimaan alat</t>
  </si>
  <si>
    <r>
      <t xml:space="preserve">Tanggal penerimaan alat    </t>
    </r>
    <r>
      <rPr>
        <sz val="8"/>
        <rFont val="Arial"/>
        <family val="2"/>
      </rPr>
      <t xml:space="preserve"> </t>
    </r>
    <r>
      <rPr>
        <sz val="12"/>
        <rFont val="Arial"/>
        <family val="2"/>
      </rPr>
      <t xml:space="preserve"> :   </t>
    </r>
  </si>
  <si>
    <t>Tanggal penerimaan alat</t>
  </si>
  <si>
    <t>4.1.2022</t>
  </si>
  <si>
    <t xml:space="preserve"> visual basic pada penyelia dan pelanggan</t>
  </si>
  <si>
    <t>membenahi visual basic penyelia s36 dan pelanggan p37 beserta turunannya</t>
  </si>
  <si>
    <t>NIBP Simulator, Merek : Rigel, Model : BP-SIM, SN : 44L-1084 □, 12L-0534 □</t>
  </si>
  <si>
    <t>80 □  70 □   60 □</t>
  </si>
  <si>
    <r>
      <t xml:space="preserve">80 </t>
    </r>
    <r>
      <rPr>
        <sz val="13"/>
        <rFont val="Calibri"/>
        <family val="2"/>
      </rPr>
      <t>□</t>
    </r>
    <r>
      <rPr>
        <sz val="13"/>
        <rFont val="Arial"/>
        <family val="2"/>
      </rPr>
      <t xml:space="preserve">  70 □   60 □</t>
    </r>
  </si>
  <si>
    <t>tegangan jala jala terkoreksi tidak bisa (-)</t>
  </si>
  <si>
    <t>tegangan jala jala terkoreksi sudah bisa diketik (-)</t>
  </si>
  <si>
    <t>Choirul Huda, S.Tr. Kes</t>
  </si>
  <si>
    <t>SERTIFIKAT LAMA</t>
  </si>
  <si>
    <t>SERTIFIKAT TENGAH</t>
  </si>
  <si>
    <t>Naik Tengah</t>
  </si>
  <si>
    <t>Naik Lama</t>
  </si>
  <si>
    <t>Turun Tengah</t>
  </si>
  <si>
    <t>Turun Lama</t>
  </si>
  <si>
    <t>5.2.2021</t>
  </si>
  <si>
    <t>4.6.2021</t>
  </si>
  <si>
    <t>1.4.2021</t>
  </si>
  <si>
    <r>
      <t xml:space="preserve">Hasil pengujian kinerja </t>
    </r>
    <r>
      <rPr>
        <i/>
        <sz val="10"/>
        <rFont val="Times New Roman"/>
        <family val="1"/>
      </rPr>
      <t>blood pressure monitor</t>
    </r>
    <r>
      <rPr>
        <sz val="10"/>
        <rFont val="Times New Roman"/>
        <family val="1"/>
      </rPr>
      <t xml:space="preserve"> tertelusur ke satuan SI melalui PT. KALIMAN</t>
    </r>
  </si>
  <si>
    <t>27.7.2020</t>
  </si>
  <si>
    <t>Hasil pengujian keselamatan listrik tertelusur ke Satuan SI melalui PT. Kaliman</t>
  </si>
  <si>
    <t>3.3.2021</t>
  </si>
  <si>
    <t>31.5.2021</t>
  </si>
  <si>
    <t xml:space="preserve">Hasil pengujian keselamatan listrik tertelusur ke Satuan SI melalui PT. Kaliman </t>
  </si>
  <si>
    <t>8.6.2021</t>
  </si>
  <si>
    <t>28.1.2019</t>
  </si>
  <si>
    <t>29.9.2020</t>
  </si>
  <si>
    <t>13.11.2020</t>
  </si>
  <si>
    <t>Electrical Safety Analyzer, Merek : FLUKE, Model : ESA615, SN : 4669058</t>
  </si>
  <si>
    <t>Electrical Safety Analyzer, Merek : FLUKE, Model : ESA615, SN : 4670010</t>
  </si>
  <si>
    <t>6.4.2021</t>
  </si>
  <si>
    <t>Electrical Safety Analyzer, Merek : FLUKE, Model : ESA615, SN : 3263027</t>
  </si>
  <si>
    <t>31.1.2021</t>
  </si>
  <si>
    <t>update sertifikat kelistrikan safety analyzer</t>
  </si>
  <si>
    <t>sudah update</t>
  </si>
  <si>
    <t>menambah max U95 pada tegangan</t>
  </si>
  <si>
    <t>IF(I26="OL";20;IF(I26="-";0;IF(I26&lt;=R26;20;0)))</t>
  </si>
  <si>
    <t>posisi G (arus bocor (&gt;=500) nilai 0) + Resistansi isolasi nilai 10 + Resistansi pembumian protektif  nilai 10 sehingga total nilai 0</t>
  </si>
  <si>
    <t>Rangga</t>
  </si>
  <si>
    <t>2.2.2022</t>
  </si>
  <si>
    <t>DIMAN</t>
  </si>
  <si>
    <t xml:space="preserve">posisi G (arus bocor (&gt;=500) nilai 0) + Resistansi isolasi nilai 2.5 + Resistansi pembumian protektif  nilai 2.5 </t>
  </si>
  <si>
    <t>Penunjukan standar awal</t>
  </si>
  <si>
    <t>Sertifikat 2.6.2021</t>
  </si>
  <si>
    <t>average</t>
  </si>
  <si>
    <t>suhu</t>
  </si>
  <si>
    <t>kelembaban</t>
  </si>
  <si>
    <t>x1</t>
  </si>
  <si>
    <t>y1</t>
  </si>
  <si>
    <t>x2</t>
  </si>
  <si>
    <t>y2</t>
  </si>
  <si>
    <t>x</t>
  </si>
  <si>
    <t>y</t>
  </si>
  <si>
    <t>average terkoreksi</t>
  </si>
  <si>
    <t>2.6.2021</t>
  </si>
  <si>
    <t>Tegangan</t>
  </si>
  <si>
    <t>Sertifikat 31.5.2021</t>
  </si>
  <si>
    <t>Tegangan terkoreksi</t>
  </si>
  <si>
    <t>Resistansi PE</t>
  </si>
  <si>
    <t>Arus Bocor</t>
  </si>
  <si>
    <t>X2</t>
  </si>
  <si>
    <t>Y2</t>
  </si>
  <si>
    <t>Sertifikat 1.4.2021, 12L-0534</t>
  </si>
  <si>
    <t>((((BX57-BT57)*(BL51-BR57)))/(BV57-BR57))+BT57</t>
  </si>
  <si>
    <t>50-100</t>
  </si>
  <si>
    <t>100-150</t>
  </si>
  <si>
    <t>150-200</t>
  </si>
  <si>
    <t>RENTANG</t>
  </si>
  <si>
    <t>INTERPOLASI</t>
  </si>
  <si>
    <t>X RATA TERKOREKSI</t>
  </si>
  <si>
    <t xml:space="preserve">X RATA TERKOREKSI </t>
  </si>
  <si>
    <t>DRIFT</t>
  </si>
  <si>
    <t>3263027 GA ADA</t>
  </si>
  <si>
    <t>belum divalidasi rumus excell setelah perubahan</t>
  </si>
  <si>
    <t>sudah divalidasi rumus excell</t>
  </si>
  <si>
    <t>3.2.2022</t>
  </si>
  <si>
    <t>Sertifikat terbaru BP-SIM 12L-0536 koreksi naik</t>
  </si>
  <si>
    <t>Sertifikat terbaru BP-SIM 12L-0536 koreksi turun</t>
  </si>
  <si>
    <t>23.6.2021</t>
  </si>
  <si>
    <t>31.8.2021</t>
  </si>
  <si>
    <t>Update sertifikat Thermohygrometer (KIMO 15062875; 14082463; 15062873) (Greisinger 34903053; 34903051) (EXTECH A.100615;</t>
  </si>
  <si>
    <t>10.2.2020</t>
  </si>
  <si>
    <t>25.3.2019</t>
  </si>
  <si>
    <t>SERTIFIKAT KALIBRASI</t>
  </si>
  <si>
    <t>Tanggal kalibrasi alat</t>
  </si>
  <si>
    <t>Bulan</t>
  </si>
  <si>
    <t>Tahun</t>
  </si>
  <si>
    <t xml:space="preserve">                                                                 </t>
  </si>
  <si>
    <t>Agustus</t>
  </si>
  <si>
    <t>ISI DATA DISINI ^^</t>
  </si>
  <si>
    <t xml:space="preserve">Nama Alat            : </t>
  </si>
  <si>
    <t>Timbangan Dewasa</t>
  </si>
  <si>
    <t xml:space="preserve">Nomor Order           : </t>
  </si>
  <si>
    <t>Model / Tipe</t>
  </si>
  <si>
    <t>Nomor Seri</t>
  </si>
  <si>
    <t>Kapasitas</t>
  </si>
  <si>
    <t>Resolusi</t>
  </si>
  <si>
    <t>Kg</t>
  </si>
  <si>
    <t>Nama Pemilik      :</t>
  </si>
  <si>
    <t>RSUD Datu Sanggul</t>
  </si>
  <si>
    <t xml:space="preserve">Identitas Pemilik     : </t>
  </si>
  <si>
    <t>Negeri</t>
  </si>
  <si>
    <t>Alamat Pemilik</t>
  </si>
  <si>
    <t>Jalan Brigjend Hasan Basri</t>
  </si>
  <si>
    <t>Tanggal Penerimaan Alat</t>
  </si>
  <si>
    <t xml:space="preserve">: 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</si>
  <si>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</si>
  <si>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</si>
  <si>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</si>
  <si>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</si>
  <si>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</si>
  <si>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</si>
  <si>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</si>
  <si>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</si>
  <si>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</si>
  <si>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</si>
  <si>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</si>
  <si>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</si>
  <si>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</si>
  <si>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</si>
  <si>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</si>
  <si>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</si>
  <si>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</si>
  <si>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</si>
  <si>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</si>
  <si>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</si>
  <si>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           Banjarbaru,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</si>
  <si>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</si>
  <si>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</si>
  <si>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</si>
  <si>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</si>
  <si>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</si>
  <si>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</si>
  <si>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</si>
  <si>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</si>
  <si>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</si>
  <si>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</si>
  <si>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</si>
  <si>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</si>
  <si>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</si>
  <si>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</si>
  <si>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</si>
  <si>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</si>
  <si>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</si>
  <si>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</si>
  <si>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</si>
  <si>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</si>
  <si>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</si>
  <si>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</si>
  <si>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</si>
  <si>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</si>
  <si>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</si>
  <si>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</si>
  <si>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</si>
  <si>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</si>
  <si>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</si>
  <si>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</si>
  <si>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</si>
  <si>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</si>
  <si>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</si>
  <si>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</si>
  <si>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</si>
  <si>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</si>
  <si>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</si>
  <si>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</si>
  <si>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</si>
  <si>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</si>
  <si>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</si>
  <si>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</si>
  <si>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</si>
  <si>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</si>
  <si>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</si>
  <si>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</si>
  <si>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</si>
  <si>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</si>
  <si>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</si>
  <si>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</si>
  <si>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</si>
  <si>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</si>
  <si>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</si>
  <si>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</si>
  <si>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</si>
  <si>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</si>
  <si>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</si>
  <si>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</si>
  <si>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</si>
  <si>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</si>
  <si>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</si>
  <si>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</si>
  <si>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</si>
  <si>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</si>
  <si>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</si>
  <si>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</si>
  <si>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</si>
  <si>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</si>
  <si>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</si>
  <si>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</si>
  <si>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</si>
  <si>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</si>
  <si>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</si>
  <si>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</si>
  <si>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</si>
  <si>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</si>
  <si>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</si>
  <si>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</si>
  <si>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</si>
  <si>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</si>
  <si>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</si>
  <si>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</si>
  <si>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</si>
  <si>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</si>
  <si>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</si>
  <si>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</si>
  <si>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</si>
  <si>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</si>
  <si>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</si>
  <si>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</si>
  <si>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</si>
  <si>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</si>
  <si>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</si>
  <si>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</si>
  <si>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</si>
  <si>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</si>
  <si>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</si>
  <si>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</si>
  <si>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</si>
  <si>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</si>
  <si>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</si>
  <si>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</si>
  <si>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</si>
  <si>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</si>
  <si>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</si>
  <si>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</si>
  <si>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</si>
  <si>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</si>
  <si>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</si>
  <si>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</si>
  <si>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</si>
  <si>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</si>
  <si>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</si>
  <si>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</si>
  <si>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</si>
  <si>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</si>
  <si>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</si>
  <si>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</si>
  <si>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</si>
  <si>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</si>
  <si>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</si>
  <si>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</si>
  <si>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</si>
  <si>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</si>
  <si>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</si>
  <si>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</si>
  <si>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</si>
  <si>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</si>
  <si>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</si>
  <si>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</si>
  <si>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</si>
  <si>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</si>
  <si>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</si>
  <si>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</si>
  <si>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</si>
  <si>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</si>
  <si>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</si>
  <si>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</si>
  <si>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</si>
  <si>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</si>
  <si>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</si>
  <si>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</si>
  <si>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</si>
  <si>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</si>
  <si>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</si>
  <si>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</si>
  <si>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</si>
  <si>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</si>
  <si>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</si>
  <si>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</si>
  <si>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</si>
  <si>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</si>
  <si>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</si>
  <si>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</si>
  <si>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</si>
  <si>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</si>
  <si>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</si>
  <si>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</si>
  <si>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</si>
  <si>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</si>
  <si>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</si>
  <si>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</si>
  <si>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</si>
  <si>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</si>
  <si>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</si>
  <si>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</si>
  <si>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</si>
  <si>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</si>
  <si>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</si>
  <si>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</si>
  <si>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</si>
  <si>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</si>
  <si>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</si>
  <si>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</si>
  <si>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</si>
  <si>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</si>
  <si>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</si>
  <si>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</si>
  <si>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</si>
  <si>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</si>
  <si>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</si>
  <si>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</si>
  <si>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</si>
  <si>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</si>
  <si>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</si>
  <si>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</si>
  <si>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</si>
  <si>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</si>
  <si>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</si>
  <si>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</si>
  <si>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</si>
  <si>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</si>
  <si>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</si>
  <si>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</si>
  <si>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</si>
  <si>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</si>
  <si>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</si>
  <si>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</si>
  <si>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</si>
  <si>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GM.S - 141-2019 / REV : 0</t>
  </si>
  <si>
    <t>MK 141 - 19</t>
  </si>
  <si>
    <t>Menambahkan sheet Sertifikat</t>
  </si>
  <si>
    <t>11.2.2022</t>
  </si>
  <si>
    <t>tegangan jala jala pada maksimal U95 tidak bisa (-)</t>
  </si>
  <si>
    <t>sudah bisa (-) pada maksimal U95</t>
  </si>
  <si>
    <t>14.2.2022</t>
  </si>
  <si>
    <t>Rev 12 : 14.2.2022</t>
  </si>
  <si>
    <t xml:space="preserve"> MΩ</t>
  </si>
  <si>
    <t xml:space="preserve"> Ω</t>
  </si>
  <si>
    <r>
      <rPr>
        <sz val="10"/>
        <color theme="1"/>
        <rFont val="Calibri"/>
        <family val="2"/>
      </rPr>
      <t xml:space="preserve"> µ</t>
    </r>
    <r>
      <rPr>
        <sz val="10"/>
        <color theme="1"/>
        <rFont val="Arial"/>
        <family val="2"/>
      </rPr>
      <t>a</t>
    </r>
  </si>
  <si>
    <r>
      <rPr>
        <sz val="12"/>
        <color theme="1"/>
        <rFont val="Calibri"/>
        <family val="2"/>
      </rPr>
      <t xml:space="preserve"> µ</t>
    </r>
    <r>
      <rPr>
        <sz val="12"/>
        <color theme="1"/>
        <rFont val="Arial"/>
        <family val="2"/>
      </rPr>
      <t>a</t>
    </r>
  </si>
  <si>
    <t>NO</t>
  </si>
  <si>
    <t>TERKOREKSI</t>
  </si>
  <si>
    <t>Kelas I</t>
  </si>
  <si>
    <t>Input NC</t>
  </si>
  <si>
    <t>KETERANGAN :</t>
  </si>
  <si>
    <t>Resistansi pembumian protektif (kabel dapat dilepas)</t>
  </si>
  <si>
    <t>Resistansi pembumian protektif (kabel tidak dapat dilepas)</t>
  </si>
  <si>
    <t>≤ 0.3 Ω</t>
  </si>
  <si>
    <t>Di sarankan ganti manset</t>
  </si>
  <si>
    <t xml:space="preserve">Resistansi pembumian protektif </t>
  </si>
  <si>
    <t>Menjadi Resistansi pembumian protektif (kabel dapat dilepas) dan Resistansi pembumian protektif (kabel tidak dapat dilepas)</t>
  </si>
  <si>
    <t>4.3.2021</t>
  </si>
  <si>
    <t>2.3.2022</t>
  </si>
  <si>
    <t>Menjadi : Resistansi pembumian protektif (kabel dapat dilepas) ≤ 0.2 Ω dan Resistansi pembumian protektif (kabel tidak dapat dilepas) ≤ 0.3 Ω</t>
  </si>
  <si>
    <t>Hasil ukur pada input data misal 3 µA dalam satu cell</t>
  </si>
  <si>
    <t>menjadi 3 µA terpisah menjadi 1 cell untuk 3 dan µA</t>
  </si>
  <si>
    <t>kolom keterangan : catu daya baterai dan tidak terdapat grounding ruangan</t>
  </si>
  <si>
    <t>Menjadi : Alat tidak boleh digunakan pada instalasi tanpa dilengkapi grounding, Tidak terdapat grounding di ruangan, Catu daya menggunakan baterai</t>
  </si>
  <si>
    <t>Penggunaan  Catu daya menggunakan baterai ketika aktif akan menghilangkan keterangan diatasnya</t>
  </si>
  <si>
    <t>4.3.2022</t>
  </si>
  <si>
    <t>Satuan pada hasil ukur LH : MΩ, Ω, µa</t>
  </si>
  <si>
    <t>berubah menjadi otomatis contoh : IF(Q24="-","",IF(Q24="NC","",IF(Q24="OL","",IF(Q24="OR",""," MΩ"))))</t>
  </si>
  <si>
    <t>Misal : T.LK 014-18/ REV : 1</t>
  </si>
  <si>
    <t>menjadi :T.014-18 pada semua sheet</t>
  </si>
  <si>
    <t>T.014-18</t>
  </si>
  <si>
    <t>±</t>
  </si>
  <si>
    <t xml:space="preserve"> °C</t>
  </si>
  <si>
    <t xml:space="preserve"> %RH</t>
  </si>
  <si>
    <t xml:space="preserve">  Volt</t>
  </si>
  <si>
    <t xml:space="preserve"> °C,  %RH,   Volt</t>
  </si>
  <si>
    <t>di buat terpisah dan menggunakan concatenate</t>
  </si>
  <si>
    <t>10-COUNTBLANK(H32:H41)</t>
  </si>
  <si>
    <t>2-COUNTBLANK(F79:F80)</t>
  </si>
  <si>
    <t>7-COUNTBLANK(B53:B59)</t>
  </si>
  <si>
    <t>7.3.2022</t>
  </si>
  <si>
    <t>NOMOR 1 s.d 5 KHUSUS DEWASA  ------  NOMOR  1 s.d 4 KHUSUS BAYI DAN ANAK</t>
  </si>
  <si>
    <t>sheet anak bayi dewasa dalam 1 sheet</t>
  </si>
  <si>
    <t>sheet bertambah sheet bayi, sheet anak, sheet dewasa</t>
  </si>
  <si>
    <t xml:space="preserve">format excell xlsm untuk visual basic </t>
  </si>
  <si>
    <t>dirubah menjadi xlsx untuk excell</t>
  </si>
  <si>
    <t>Jalan ABC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</si>
  <si>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</si>
  <si>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</si>
  <si>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</si>
  <si>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</si>
  <si>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</si>
  <si>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</si>
  <si>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</si>
  <si>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</si>
  <si>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</si>
  <si>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</si>
  <si>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</si>
  <si>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</si>
  <si>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</si>
  <si>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OA.014-18</t>
  </si>
  <si>
    <t>Muhammad Alpian Hadi</t>
  </si>
  <si>
    <t>Vital Signs Simulator, Merek : Rigel, Model : UNI-SIM, SN : 05J-0804</t>
  </si>
  <si>
    <t>Handheld NIBP Simulator, Merek : ACCUPULSE PLUS, Model : AH-2, SN : HH12080309</t>
  </si>
  <si>
    <t>Handheld NIBP Simulator, Merek : ACCUPULSE PLUS, Model : AH-2  (HH12080311)</t>
  </si>
  <si>
    <t>KUNCI :</t>
  </si>
  <si>
    <t>H68+(FORECAST(H68,INDEX('DATA 1'!$C$6:$C$14,MATCH(H68,'DATA 1'!$B$6:$B$14,1)):INDEX('DATA 1'!$C$6:$C$14,MATCH(H68,'DATA 1'!$B$6:$B$14,1)+1),INDEX('DATA 1'!$B$6:$B$14,MATCH(H68,'DATA 1'!$B$6:$B$14,1)):INDEX('DATA 1'!$B$6:$B$14,MATCH(H68,'DATA 1'!$B$6:$B$14,1)+1)))</t>
  </si>
  <si>
    <t>BAB : INTERPOLASI PENGHASIL NILAI RATA RATA TERKOREKSI</t>
  </si>
  <si>
    <t>UNCERTAINTY BUDGET  (SERTIFIKAT STANDAR)</t>
  </si>
  <si>
    <t>UNCERTAINTY BUDGET  (DRIFT)</t>
  </si>
  <si>
    <t>KONDISI SUHU RUANG</t>
  </si>
  <si>
    <t>PENGUJIAN KEBOCORAN</t>
  </si>
  <si>
    <t>LAJU BUANG CEPAT</t>
  </si>
  <si>
    <t>KOREKSI SUHU AWAL</t>
  </si>
  <si>
    <t>KOREKSI KELEMBABAN AWAL</t>
  </si>
  <si>
    <t>KOREKSI SERTIFIKAT DPM TURUN</t>
  </si>
  <si>
    <t>X</t>
  </si>
  <si>
    <t>Y1</t>
  </si>
  <si>
    <t>X1</t>
  </si>
  <si>
    <t>INTERPOLASI (Y)</t>
  </si>
  <si>
    <t>KOREKSI SUHU AKHIR</t>
  </si>
  <si>
    <t>INTERPOLASI KOREKSI SYSTOLE</t>
  </si>
  <si>
    <t>INTERPOLASI KOREKSI DIASTOLE</t>
  </si>
  <si>
    <t>INTERPOLASI U95 SYSTOLE</t>
  </si>
  <si>
    <t>INTERPOLASI U95 DIASTOLE</t>
  </si>
  <si>
    <t>DRIFT SYSTOLE</t>
  </si>
  <si>
    <t>DRIFT DIASTOLE</t>
  </si>
  <si>
    <t>BAB : SUHU KELEMBABABAN TEKANAN</t>
  </si>
  <si>
    <t>KOREKSI TEGANGAN JALA JALA (Volt)</t>
  </si>
  <si>
    <t>KOREKSI RESISTANCE  ( Ω )</t>
  </si>
  <si>
    <t>KOREKSI EARTH LEAKAGE ( uA ) UNTUK INPUT NC</t>
  </si>
  <si>
    <t>KOREKSI PROTECTIVE EARTH (PE)  ( MΩ )</t>
  </si>
  <si>
    <t>KOREKSI EARTH LEAKAGE ( uA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</si>
</sst>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0.0"/>
    <numFmt numFmtId="165" formatCode="0.0000"/>
    <numFmt numFmtId="166" formatCode="0.00\ \°\C"/>
    <numFmt numFmtId="167" formatCode="0.000"/>
    <numFmt numFmtId="168" formatCode="0.000000000"/>
    <numFmt numFmtId="169" formatCode="\±\ 0%"/>
    <numFmt numFmtId="170" formatCode="\±\ 0\ &quot;mmHg&quot;"/>
    <numFmt numFmtId="171" formatCode="\±\ \ 0.00"/>
    <numFmt numFmtId="172" formatCode="0.000000"/>
    <numFmt numFmtId="173" formatCode="0.0\ \ &quot;% &quot;"/>
    <numFmt numFmtId="174" formatCode="0\ \ &quot;mmHg, BPM &quot;"/>
    <numFmt numFmtId="175" formatCode="0.0\ \ &quot;μA&quot;"/>
    <numFmt numFmtId="176" formatCode="\≥\ 0\ &quot;MΩ&quot;"/>
    <numFmt numFmtId="177" formatCode="\≤\ 0.0\ \Ω"/>
    <numFmt numFmtId="178" formatCode="0.0\ &quot;μA&quot;"/>
    <numFmt numFmtId="179" formatCode="\≤\ 0\ \µ\A"/>
    <numFmt numFmtId="180" formatCode="#.##0"/>
    <numFmt numFmtId="181" formatCode="&quot;NC&quot;\ 0"/>
    <numFmt numFmtId="182" formatCode="&quot;NO&quot;\ 0.0"/>
    <numFmt numFmtId="183" formatCode="&quot;NC&quot;\ 0.0"/>
    <numFmt numFmtId="184" formatCode="dd/mm/yyyy;@"/>
    <numFmt numFmtId="185" formatCode="[$-421]dd\ mmmm\ yyyy;@"/>
    <numFmt numFmtId="186" formatCode="&quot;max U95 :&quot;\ 0.00"/>
    <numFmt numFmtId="187" formatCode="[$-C09]d\ mmmm\ yyyy;@"/>
    <numFmt numFmtId="188" formatCode="[$-F800]dddd\,\ mmmm\ dd\,\ yyyy"/>
    <numFmt numFmtId="189" formatCode="0\ &quot;BPM&quot;"/>
  </numFmts>
  <fonts count="1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b/>
      <u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8"/>
      <color theme="1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b/>
      <sz val="8"/>
      <color theme="1"/>
      <name val="Tahoma"/>
      <family val="2"/>
    </font>
    <font>
      <b/>
      <u/>
      <sz val="14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b/>
      <u/>
      <sz val="10"/>
      <color theme="1"/>
      <name val="Arial"/>
      <family val="2"/>
    </font>
    <font>
      <sz val="8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vertAlign val="subscript"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i/>
      <sz val="12"/>
      <name val="Calibri"/>
      <family val="2"/>
      <scheme val="minor"/>
    </font>
    <font>
      <i/>
      <vertAlign val="subscript"/>
      <sz val="12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name val="Times New Roman"/>
      <family val="1"/>
    </font>
    <font>
      <b/>
      <i/>
      <sz val="10"/>
      <name val="Arial"/>
      <family val="2"/>
    </font>
    <font>
      <sz val="12"/>
      <color theme="0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28"/>
      <color theme="1"/>
      <name val="Wingdings 2"/>
      <family val="1"/>
      <charset val="2"/>
    </font>
    <font>
      <b/>
      <sz val="10"/>
      <name val="Calibri"/>
      <family val="2"/>
    </font>
    <font>
      <b/>
      <u/>
      <sz val="14"/>
      <color rgb="FFFF0000"/>
      <name val="Arial"/>
      <family val="2"/>
    </font>
    <font>
      <sz val="8"/>
      <name val="Times New Roman"/>
      <family val="1"/>
    </font>
    <font>
      <b/>
      <sz val="8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rgb="FFC00000"/>
      <name val="Arial"/>
      <family val="2"/>
    </font>
    <font>
      <b/>
      <sz val="10"/>
      <color rgb="FF00B0F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Times New Roman"/>
      <family val="1"/>
    </font>
    <font>
      <sz val="10"/>
      <color rgb="FF00B0F0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i/>
      <sz val="13"/>
      <color theme="1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u/>
      <sz val="14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8"/>
      <name val="Arial"/>
      <family val="2"/>
    </font>
    <font>
      <b/>
      <sz val="14"/>
      <color theme="1"/>
      <name val="Wingdings 2"/>
      <family val="1"/>
      <charset val="2"/>
    </font>
    <font>
      <sz val="12"/>
      <color rgb="FFFF00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u/>
      <sz val="14"/>
      <color theme="1"/>
      <name val="Arial"/>
      <family val="2"/>
    </font>
    <font>
      <sz val="13"/>
      <color theme="1"/>
      <name val="Arial"/>
      <family val="2"/>
    </font>
    <font>
      <sz val="12"/>
      <color theme="0"/>
      <name val="Arial"/>
      <family val="2"/>
    </font>
    <font>
      <u/>
      <sz val="14"/>
      <color theme="1"/>
      <name val="Arial"/>
      <family val="2"/>
    </font>
    <font>
      <u/>
      <sz val="12"/>
      <color theme="1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indexed="81"/>
      <name val="Tahoma"/>
      <family val="2"/>
    </font>
    <font>
      <sz val="16"/>
      <color indexed="81"/>
      <name val="Tahoma"/>
      <family val="2"/>
    </font>
    <font>
      <sz val="13"/>
      <name val="Calibri"/>
      <family val="2"/>
    </font>
    <font>
      <b/>
      <sz val="11"/>
      <name val="Arial"/>
      <family val="2"/>
    </font>
    <font>
      <b/>
      <vertAlign val="superscript"/>
      <sz val="12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Times New Roman"/>
      <family val="1"/>
    </font>
    <font>
      <i/>
      <sz val="10"/>
      <name val="Arial"/>
      <family val="2"/>
    </font>
    <font>
      <sz val="10"/>
      <name val="Calibri"/>
      <family val="2"/>
    </font>
    <font>
      <b/>
      <i/>
      <sz val="10"/>
      <color rgb="FFFF0000"/>
      <name val="Arial"/>
      <family val="2"/>
    </font>
    <font>
      <sz val="12"/>
      <color rgb="FFFF0000"/>
      <name val="Arial"/>
      <family val="2"/>
    </font>
    <font>
      <i/>
      <sz val="10"/>
      <name val="Times New Roman"/>
      <family val="1"/>
    </font>
    <font>
      <i/>
      <sz val="12"/>
      <name val="Arial"/>
      <family val="2"/>
    </font>
    <font>
      <sz val="12"/>
      <name val="Calibri"/>
      <family val="2"/>
    </font>
    <font>
      <sz val="6"/>
      <name val="Arial"/>
      <family val="2"/>
    </font>
    <font>
      <b/>
      <vertAlign val="superscript"/>
      <sz val="8"/>
      <name val="Calibri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b/>
      <sz val="12"/>
      <color rgb="FF00B050"/>
      <name val="Calibri"/>
      <family val="2"/>
      <scheme val="minor"/>
    </font>
    <font>
      <sz val="7"/>
      <name val="Arial"/>
      <family val="2"/>
    </font>
    <font>
      <b/>
      <sz val="10"/>
      <color rgb="FF00B050"/>
      <name val="Arial"/>
      <family val="2"/>
    </font>
    <font>
      <b/>
      <sz val="12"/>
      <color rgb="FF002060"/>
      <name val="Arial"/>
      <family val="2"/>
    </font>
    <font>
      <b/>
      <sz val="10"/>
      <color rgb="FF7030A0"/>
      <name val="Arial"/>
      <family val="2"/>
    </font>
    <font>
      <b/>
      <sz val="14"/>
      <color rgb="FFFF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Arial"/>
      <family val="2"/>
    </font>
    <font>
      <b/>
      <vertAlign val="superscript"/>
      <sz val="8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Calibri"/>
      <family val="2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48"/>
      <color rgb="FFFF0000"/>
      <name val="Wingdings 2"/>
      <family val="1"/>
      <charset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name val="Times New Roman"/>
      <family val="1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0"/>
      <color theme="0" tint="-0.34998626667073579"/>
      <name val="Arial"/>
      <family val="2"/>
    </font>
    <font>
      <sz val="10"/>
      <color theme="1"/>
      <name val="Calibri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8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674">
    <xf numFmtId="0" fontId="0" fillId="0" borderId="0" xfId="0"/>
    <xf numFmtId="1" fontId="0" fillId="0" borderId="0" xfId="0" applyNumberFormat="1" applyProtection="1">
      <protection hidden="1"/>
    </xf>
    <xf numFmtId="1" fontId="7" fillId="0" borderId="1" xfId="0" applyNumberFormat="1" applyFont="1" applyBorder="1" applyAlignment="1" applyProtection="1">
      <alignment horizontal="center"/>
      <protection hidden="1"/>
    </xf>
    <xf numFmtId="1" fontId="4" fillId="0" borderId="12" xfId="0" applyNumberFormat="1" applyFont="1" applyBorder="1" applyAlignment="1" applyProtection="1">
      <alignment horizontal="left"/>
      <protection hidden="1"/>
    </xf>
    <xf numFmtId="1" fontId="0" fillId="4" borderId="0" xfId="0" applyNumberFormat="1" applyFill="1" applyProtection="1">
      <protection hidden="1"/>
    </xf>
    <xf numFmtId="1" fontId="4" fillId="0" borderId="12" xfId="0" applyNumberFormat="1" applyFont="1" applyBorder="1" applyProtection="1">
      <protection hidden="1"/>
    </xf>
    <xf numFmtId="164" fontId="6" fillId="0" borderId="1" xfId="0" applyNumberFormat="1" applyFont="1" applyBorder="1" applyAlignment="1" applyProtection="1">
      <alignment horizontal="right"/>
      <protection hidden="1"/>
    </xf>
    <xf numFmtId="1" fontId="0" fillId="3" borderId="0" xfId="0" applyNumberFormat="1" applyFill="1" applyProtection="1">
      <protection hidden="1"/>
    </xf>
    <xf numFmtId="164" fontId="0" fillId="4" borderId="0" xfId="0" applyNumberFormat="1" applyFill="1" applyProtection="1">
      <protection hidden="1"/>
    </xf>
    <xf numFmtId="164" fontId="20" fillId="5" borderId="1" xfId="3" applyNumberFormat="1" applyFont="1" applyFill="1" applyBorder="1" applyAlignment="1" applyProtection="1">
      <alignment horizontal="center" vertical="center" wrapText="1"/>
      <protection hidden="1"/>
    </xf>
    <xf numFmtId="164" fontId="21" fillId="5" borderId="1" xfId="0" applyNumberFormat="1" applyFont="1" applyFill="1" applyBorder="1" applyAlignment="1" applyProtection="1">
      <alignment horizontal="center"/>
      <protection hidden="1"/>
    </xf>
    <xf numFmtId="0" fontId="21" fillId="0" borderId="0" xfId="0" applyFont="1" applyProtection="1">
      <protection hidden="1"/>
    </xf>
    <xf numFmtId="0" fontId="22" fillId="0" borderId="1" xfId="0" applyFont="1" applyBorder="1" applyAlignment="1" applyProtection="1">
      <alignment horizontal="center"/>
      <protection hidden="1"/>
    </xf>
    <xf numFmtId="0" fontId="23" fillId="3" borderId="1" xfId="0" applyFont="1" applyFill="1" applyBorder="1" applyAlignment="1" applyProtection="1">
      <alignment horizontal="center"/>
      <protection hidden="1"/>
    </xf>
    <xf numFmtId="0" fontId="21" fillId="0" borderId="1" xfId="0" applyFont="1" applyBorder="1" applyProtection="1">
      <protection hidden="1"/>
    </xf>
    <xf numFmtId="0" fontId="21" fillId="0" borderId="0" xfId="0" applyFont="1" applyAlignment="1" applyProtection="1">
      <alignment horizontal="right"/>
      <protection hidden="1"/>
    </xf>
    <xf numFmtId="0" fontId="21" fillId="4" borderId="0" xfId="0" applyFont="1" applyFill="1" applyProtection="1">
      <protection hidden="1"/>
    </xf>
    <xf numFmtId="0" fontId="21" fillId="6" borderId="0" xfId="0" applyFont="1" applyFill="1" applyProtection="1">
      <protection hidden="1"/>
    </xf>
    <xf numFmtId="0" fontId="21" fillId="3" borderId="0" xfId="0" applyFont="1" applyFill="1" applyProtection="1">
      <protection hidden="1"/>
    </xf>
    <xf numFmtId="164" fontId="21" fillId="0" borderId="1" xfId="0" applyNumberFormat="1" applyFont="1" applyBorder="1" applyProtection="1">
      <protection hidden="1"/>
    </xf>
    <xf numFmtId="0" fontId="25" fillId="3" borderId="0" xfId="0" applyFont="1" applyFill="1" applyAlignment="1" applyProtection="1">
      <alignment vertical="center"/>
      <protection locked="0"/>
    </xf>
    <xf numFmtId="0" fontId="26" fillId="3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</xf>
    <xf numFmtId="0" fontId="29" fillId="0" borderId="0" xfId="0" applyFont="1" applyProtection="1"/>
    <xf numFmtId="0" fontId="32" fillId="4" borderId="1" xfId="0" applyFont="1" applyFill="1" applyBorder="1" applyAlignment="1" applyProtection="1">
      <alignment vertical="center"/>
    </xf>
    <xf numFmtId="0" fontId="14" fillId="3" borderId="0" xfId="0" applyFont="1" applyFill="1" applyAlignment="1" applyProtection="1">
      <alignment vertical="center"/>
      <protection locked="0"/>
    </xf>
    <xf numFmtId="1" fontId="4" fillId="0" borderId="1" xfId="0" applyNumberFormat="1" applyFont="1" applyBorder="1" applyProtection="1">
      <protection hidden="1"/>
    </xf>
    <xf numFmtId="0" fontId="32" fillId="3" borderId="0" xfId="0" applyFont="1" applyFill="1" applyBorder="1" applyAlignment="1" applyProtection="1">
      <alignment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1" fontId="4" fillId="0" borderId="1" xfId="0" applyNumberFormat="1" applyFont="1" applyBorder="1" applyAlignment="1" applyProtection="1">
      <alignment horizontal="left"/>
      <protection hidden="1"/>
    </xf>
    <xf numFmtId="1" fontId="6" fillId="0" borderId="1" xfId="0" applyNumberFormat="1" applyFont="1" applyBorder="1" applyAlignment="1" applyProtection="1">
      <alignment horizontal="center"/>
      <protection hidden="1"/>
    </xf>
    <xf numFmtId="0" fontId="21" fillId="0" borderId="1" xfId="0" applyFont="1" applyBorder="1" applyAlignment="1" applyProtection="1">
      <alignment horizontal="left"/>
      <protection hidden="1"/>
    </xf>
    <xf numFmtId="0" fontId="22" fillId="0" borderId="3" xfId="0" applyFont="1" applyBorder="1" applyAlignment="1" applyProtection="1">
      <alignment vertical="center"/>
      <protection hidden="1"/>
    </xf>
    <xf numFmtId="0" fontId="21" fillId="0" borderId="1" xfId="0" applyFont="1" applyBorder="1" applyAlignment="1" applyProtection="1">
      <alignment horizontal="center"/>
      <protection hidden="1"/>
    </xf>
    <xf numFmtId="164" fontId="20" fillId="0" borderId="1" xfId="3" applyNumberFormat="1" applyFont="1" applyBorder="1" applyAlignment="1" applyProtection="1">
      <alignment horizontal="right" vertical="center"/>
      <protection hidden="1"/>
    </xf>
    <xf numFmtId="0" fontId="21" fillId="0" borderId="1" xfId="0" applyFont="1" applyBorder="1" applyAlignment="1" applyProtection="1">
      <alignment horizontal="right"/>
      <protection hidden="1"/>
    </xf>
    <xf numFmtId="164" fontId="20" fillId="0" borderId="1" xfId="3" applyNumberFormat="1" applyFont="1" applyBorder="1" applyAlignment="1" applyProtection="1">
      <alignment horizontal="right" vertical="center" wrapText="1"/>
      <protection hidden="1"/>
    </xf>
    <xf numFmtId="1" fontId="4" fillId="8" borderId="15" xfId="0" quotePrefix="1" applyNumberFormat="1" applyFont="1" applyFill="1" applyBorder="1" applyAlignment="1" applyProtection="1">
      <alignment horizontal="left" vertical="center"/>
      <protection hidden="1"/>
    </xf>
    <xf numFmtId="1" fontId="4" fillId="0" borderId="1" xfId="0" quotePrefix="1" applyNumberFormat="1" applyFont="1" applyBorder="1" applyAlignment="1" applyProtection="1">
      <alignment horizontal="center"/>
      <protection hidden="1"/>
    </xf>
    <xf numFmtId="0" fontId="21" fillId="8" borderId="6" xfId="0" quotePrefix="1" applyFont="1" applyFill="1" applyBorder="1" applyAlignment="1" applyProtection="1">
      <alignment horizontal="left" vertical="center"/>
      <protection hidden="1"/>
    </xf>
    <xf numFmtId="14" fontId="21" fillId="8" borderId="6" xfId="0" quotePrefix="1" applyNumberFormat="1" applyFont="1" applyFill="1" applyBorder="1" applyAlignment="1" applyProtection="1">
      <alignment horizontal="left" vertical="center"/>
      <protection hidden="1"/>
    </xf>
    <xf numFmtId="0" fontId="22" fillId="0" borderId="1" xfId="0" applyFont="1" applyBorder="1" applyAlignment="1" applyProtection="1">
      <alignment horizontal="center" vertical="center"/>
      <protection hidden="1"/>
    </xf>
    <xf numFmtId="1" fontId="6" fillId="3" borderId="0" xfId="0" applyNumberFormat="1" applyFont="1" applyFill="1" applyProtection="1">
      <protection hidden="1"/>
    </xf>
    <xf numFmtId="1" fontId="31" fillId="0" borderId="0" xfId="0" applyNumberFormat="1" applyFont="1" applyProtection="1">
      <protection hidden="1"/>
    </xf>
    <xf numFmtId="1" fontId="0" fillId="9" borderId="0" xfId="0" applyNumberFormat="1" applyFill="1" applyProtection="1">
      <protection hidden="1"/>
    </xf>
    <xf numFmtId="0" fontId="44" fillId="0" borderId="0" xfId="0" applyFont="1"/>
    <xf numFmtId="164" fontId="0" fillId="9" borderId="0" xfId="0" applyNumberFormat="1" applyFill="1" applyProtection="1">
      <protection hidden="1"/>
    </xf>
    <xf numFmtId="0" fontId="6" fillId="0" borderId="0" xfId="0" applyFont="1"/>
    <xf numFmtId="1" fontId="4" fillId="6" borderId="1" xfId="0" applyNumberFormat="1" applyFont="1" applyFill="1" applyBorder="1" applyAlignment="1" applyProtection="1">
      <alignment horizontal="left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7" fillId="3" borderId="0" xfId="0" applyNumberFormat="1" applyFont="1" applyFill="1" applyProtection="1">
      <protection hidden="1"/>
    </xf>
    <xf numFmtId="1" fontId="17" fillId="0" borderId="1" xfId="0" applyNumberFormat="1" applyFont="1" applyBorder="1" applyAlignment="1" applyProtection="1">
      <alignment horizontal="center"/>
      <protection hidden="1"/>
    </xf>
    <xf numFmtId="0" fontId="50" fillId="0" borderId="0" xfId="0" applyFont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1" fontId="16" fillId="9" borderId="1" xfId="0" applyNumberFormat="1" applyFont="1" applyFill="1" applyBorder="1" applyAlignment="1" applyProtection="1">
      <alignment horizontal="center"/>
      <protection hidden="1"/>
    </xf>
    <xf numFmtId="1" fontId="17" fillId="4" borderId="1" xfId="0" applyNumberFormat="1" applyFont="1" applyFill="1" applyBorder="1" applyAlignment="1" applyProtection="1">
      <alignment horizontal="center"/>
      <protection hidden="1"/>
    </xf>
    <xf numFmtId="1" fontId="8" fillId="0" borderId="3" xfId="0" applyNumberFormat="1" applyFont="1" applyBorder="1" applyAlignment="1" applyProtection="1">
      <alignment horizontal="center" vertical="center"/>
      <protection hidden="1"/>
    </xf>
    <xf numFmtId="1" fontId="16" fillId="4" borderId="1" xfId="0" applyNumberFormat="1" applyFont="1" applyFill="1" applyBorder="1" applyAlignment="1" applyProtection="1">
      <alignment horizontal="center"/>
      <protection hidden="1"/>
    </xf>
    <xf numFmtId="1" fontId="51" fillId="0" borderId="1" xfId="0" applyNumberFormat="1" applyFont="1" applyBorder="1" applyAlignment="1" applyProtection="1">
      <alignment horizontal="center"/>
      <protection hidden="1"/>
    </xf>
    <xf numFmtId="164" fontId="52" fillId="0" borderId="1" xfId="0" applyNumberFormat="1" applyFont="1" applyBorder="1" applyAlignment="1" applyProtection="1">
      <alignment horizontal="right"/>
      <protection hidden="1"/>
    </xf>
    <xf numFmtId="164" fontId="52" fillId="0" borderId="0" xfId="0" applyNumberFormat="1" applyFont="1" applyAlignment="1" applyProtection="1">
      <alignment horizontal="right"/>
      <protection hidden="1"/>
    </xf>
    <xf numFmtId="164" fontId="53" fillId="0" borderId="1" xfId="0" applyNumberFormat="1" applyFont="1" applyBorder="1" applyAlignment="1" applyProtection="1">
      <alignment horizontal="right"/>
      <protection hidden="1"/>
    </xf>
    <xf numFmtId="164" fontId="54" fillId="4" borderId="1" xfId="0" applyNumberFormat="1" applyFont="1" applyFill="1" applyBorder="1" applyAlignment="1" applyProtection="1">
      <alignment horizontal="right"/>
      <protection hidden="1"/>
    </xf>
    <xf numFmtId="164" fontId="53" fillId="0" borderId="10" xfId="0" applyNumberFormat="1" applyFont="1" applyBorder="1" applyAlignment="1" applyProtection="1">
      <alignment horizontal="right"/>
      <protection hidden="1"/>
    </xf>
    <xf numFmtId="164" fontId="6" fillId="9" borderId="1" xfId="0" applyNumberFormat="1" applyFont="1" applyFill="1" applyBorder="1" applyAlignment="1" applyProtection="1">
      <alignment horizontal="right"/>
      <protection hidden="1"/>
    </xf>
    <xf numFmtId="164" fontId="53" fillId="4" borderId="1" xfId="0" applyNumberFormat="1" applyFont="1" applyFill="1" applyBorder="1" applyAlignment="1" applyProtection="1">
      <alignment horizontal="right"/>
      <protection hidden="1"/>
    </xf>
    <xf numFmtId="1" fontId="6" fillId="0" borderId="1" xfId="0" applyNumberFormat="1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right"/>
      <protection hidden="1"/>
    </xf>
    <xf numFmtId="1" fontId="31" fillId="4" borderId="0" xfId="0" applyNumberFormat="1" applyFont="1" applyFill="1" applyProtection="1">
      <protection hidden="1"/>
    </xf>
    <xf numFmtId="1" fontId="51" fillId="3" borderId="2" xfId="0" applyNumberFormat="1" applyFont="1" applyFill="1" applyBorder="1" applyAlignment="1" applyProtection="1">
      <alignment vertical="center"/>
      <protection hidden="1"/>
    </xf>
    <xf numFmtId="1" fontId="4" fillId="3" borderId="0" xfId="0" quotePrefix="1" applyNumberFormat="1" applyFont="1" applyFill="1" applyAlignment="1" applyProtection="1">
      <alignment horizontal="left" vertical="center"/>
      <protection hidden="1"/>
    </xf>
    <xf numFmtId="1" fontId="4" fillId="9" borderId="0" xfId="0" quotePrefix="1" applyNumberFormat="1" applyFont="1" applyFill="1" applyAlignment="1" applyProtection="1">
      <alignment horizontal="left" vertical="center"/>
      <protection hidden="1"/>
    </xf>
    <xf numFmtId="164" fontId="54" fillId="0" borderId="1" xfId="0" applyNumberFormat="1" applyFont="1" applyBorder="1" applyAlignment="1" applyProtection="1">
      <alignment horizontal="right"/>
      <protection hidden="1"/>
    </xf>
    <xf numFmtId="164" fontId="54" fillId="0" borderId="10" xfId="0" applyNumberFormat="1" applyFont="1" applyBorder="1" applyAlignment="1" applyProtection="1">
      <alignment horizontal="right"/>
      <protection hidden="1"/>
    </xf>
    <xf numFmtId="1" fontId="31" fillId="0" borderId="0" xfId="0" applyNumberFormat="1" applyFont="1" applyAlignment="1" applyProtection="1">
      <alignment horizontal="center"/>
      <protection hidden="1"/>
    </xf>
    <xf numFmtId="164" fontId="6" fillId="4" borderId="1" xfId="0" applyNumberFormat="1" applyFont="1" applyFill="1" applyBorder="1" applyAlignment="1" applyProtection="1">
      <alignment horizontal="right"/>
      <protection hidden="1"/>
    </xf>
    <xf numFmtId="164" fontId="6" fillId="4" borderId="15" xfId="0" applyNumberFormat="1" applyFont="1" applyFill="1" applyBorder="1" applyAlignment="1" applyProtection="1">
      <alignment horizontal="right"/>
      <protection hidden="1"/>
    </xf>
    <xf numFmtId="164" fontId="6" fillId="9" borderId="15" xfId="0" applyNumberFormat="1" applyFont="1" applyFill="1" applyBorder="1" applyAlignment="1" applyProtection="1">
      <alignment horizontal="right"/>
      <protection hidden="1"/>
    </xf>
    <xf numFmtId="164" fontId="53" fillId="6" borderId="10" xfId="0" applyNumberFormat="1" applyFont="1" applyFill="1" applyBorder="1" applyAlignment="1" applyProtection="1">
      <alignment horizontal="right"/>
      <protection hidden="1"/>
    </xf>
    <xf numFmtId="1" fontId="31" fillId="0" borderId="1" xfId="0" applyNumberFormat="1" applyFont="1" applyBorder="1" applyAlignment="1" applyProtection="1">
      <alignment horizontal="center"/>
      <protection hidden="1"/>
    </xf>
    <xf numFmtId="164" fontId="0" fillId="9" borderId="1" xfId="0" applyNumberFormat="1" applyFill="1" applyBorder="1" applyProtection="1">
      <protection hidden="1"/>
    </xf>
    <xf numFmtId="164" fontId="4" fillId="4" borderId="1" xfId="0" applyNumberFormat="1" applyFont="1" applyFill="1" applyBorder="1" applyAlignment="1" applyProtection="1">
      <alignment horizontal="right"/>
      <protection hidden="1"/>
    </xf>
    <xf numFmtId="164" fontId="4" fillId="9" borderId="15" xfId="0" applyNumberFormat="1" applyFont="1" applyFill="1" applyBorder="1" applyAlignment="1" applyProtection="1">
      <alignment horizontal="right"/>
      <protection hidden="1"/>
    </xf>
    <xf numFmtId="164" fontId="4" fillId="4" borderId="15" xfId="0" applyNumberFormat="1" applyFont="1" applyFill="1" applyBorder="1" applyAlignment="1" applyProtection="1">
      <alignment horizontal="right"/>
      <protection hidden="1"/>
    </xf>
    <xf numFmtId="1" fontId="31" fillId="3" borderId="1" xfId="0" applyNumberFormat="1" applyFont="1" applyFill="1" applyBorder="1" applyAlignment="1" applyProtection="1">
      <alignment horizontal="center"/>
      <protection hidden="1"/>
    </xf>
    <xf numFmtId="164" fontId="0" fillId="9" borderId="13" xfId="0" applyNumberFormat="1" applyFill="1" applyBorder="1" applyProtection="1">
      <protection hidden="1"/>
    </xf>
    <xf numFmtId="164" fontId="4" fillId="4" borderId="13" xfId="0" applyNumberFormat="1" applyFont="1" applyFill="1" applyBorder="1" applyAlignment="1" applyProtection="1">
      <alignment horizontal="right"/>
      <protection hidden="1"/>
    </xf>
    <xf numFmtId="1" fontId="31" fillId="3" borderId="11" xfId="0" applyNumberFormat="1" applyFont="1" applyFill="1" applyBorder="1" applyProtection="1">
      <protection hidden="1"/>
    </xf>
    <xf numFmtId="1" fontId="4" fillId="9" borderId="0" xfId="0" quotePrefix="1" applyNumberFormat="1" applyFont="1" applyFill="1" applyAlignment="1" applyProtection="1">
      <alignment horizontal="center" vertical="center"/>
      <protection hidden="1"/>
    </xf>
    <xf numFmtId="1" fontId="49" fillId="7" borderId="1" xfId="0" quotePrefix="1" applyNumberFormat="1" applyFont="1" applyFill="1" applyBorder="1" applyAlignment="1" applyProtection="1">
      <alignment horizontal="left" vertical="center"/>
      <protection hidden="1"/>
    </xf>
    <xf numFmtId="1" fontId="49" fillId="8" borderId="1" xfId="0" quotePrefix="1" applyNumberFormat="1" applyFont="1" applyFill="1" applyBorder="1" applyAlignment="1" applyProtection="1">
      <alignment horizontal="left" vertical="center"/>
      <protection hidden="1"/>
    </xf>
    <xf numFmtId="164" fontId="4" fillId="9" borderId="1" xfId="0" applyNumberFormat="1" applyFont="1" applyFill="1" applyBorder="1" applyAlignment="1" applyProtection="1">
      <alignment horizontal="right"/>
      <protection hidden="1"/>
    </xf>
    <xf numFmtId="164" fontId="55" fillId="4" borderId="1" xfId="0" applyNumberFormat="1" applyFont="1" applyFill="1" applyBorder="1" applyAlignment="1" applyProtection="1">
      <alignment horizontal="right"/>
      <protection hidden="1"/>
    </xf>
    <xf numFmtId="1" fontId="51" fillId="0" borderId="1" xfId="0" quotePrefix="1" applyNumberFormat="1" applyFont="1" applyBorder="1" applyAlignment="1" applyProtection="1">
      <alignment horizontal="center"/>
      <protection hidden="1"/>
    </xf>
    <xf numFmtId="1" fontId="4" fillId="9" borderId="1" xfId="0" quotePrefix="1" applyNumberFormat="1" applyFont="1" applyFill="1" applyBorder="1" applyAlignment="1" applyProtection="1">
      <alignment horizontal="center"/>
      <protection hidden="1"/>
    </xf>
    <xf numFmtId="1" fontId="4" fillId="4" borderId="1" xfId="0" quotePrefix="1" applyNumberFormat="1" applyFont="1" applyFill="1" applyBorder="1" applyAlignment="1" applyProtection="1">
      <alignment horizontal="center"/>
      <protection hidden="1"/>
    </xf>
    <xf numFmtId="1" fontId="31" fillId="3" borderId="0" xfId="0" applyNumberFormat="1" applyFont="1" applyFill="1" applyProtection="1">
      <protection hidden="1"/>
    </xf>
    <xf numFmtId="164" fontId="53" fillId="3" borderId="10" xfId="0" applyNumberFormat="1" applyFont="1" applyFill="1" applyBorder="1" applyAlignment="1" applyProtection="1">
      <alignment horizontal="right"/>
      <protection hidden="1"/>
    </xf>
    <xf numFmtId="164" fontId="4" fillId="9" borderId="1" xfId="0" quotePrefix="1" applyNumberFormat="1" applyFont="1" applyFill="1" applyBorder="1" applyAlignment="1" applyProtection="1">
      <alignment horizontal="right"/>
      <protection hidden="1"/>
    </xf>
    <xf numFmtId="164" fontId="53" fillId="9" borderId="1" xfId="0" applyNumberFormat="1" applyFont="1" applyFill="1" applyBorder="1" applyAlignment="1" applyProtection="1">
      <alignment horizontal="right"/>
      <protection hidden="1"/>
    </xf>
    <xf numFmtId="1" fontId="56" fillId="0" borderId="0" xfId="0" applyNumberFormat="1" applyFont="1" applyProtection="1">
      <protection hidden="1"/>
    </xf>
    <xf numFmtId="2" fontId="6" fillId="9" borderId="1" xfId="0" applyNumberFormat="1" applyFont="1" applyFill="1" applyBorder="1" applyAlignment="1" applyProtection="1">
      <alignment horizontal="right"/>
      <protection hidden="1"/>
    </xf>
    <xf numFmtId="172" fontId="0" fillId="0" borderId="0" xfId="0" applyNumberFormat="1" applyProtection="1">
      <protection hidden="1"/>
    </xf>
    <xf numFmtId="0" fontId="10" fillId="4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10" fillId="10" borderId="1" xfId="0" applyNumberFormat="1" applyFont="1" applyFill="1" applyBorder="1" applyAlignment="1">
      <alignment horizontal="center" vertical="center"/>
    </xf>
    <xf numFmtId="0" fontId="21" fillId="0" borderId="11" xfId="0" applyFont="1" applyBorder="1" applyProtection="1">
      <protection hidden="1"/>
    </xf>
    <xf numFmtId="0" fontId="21" fillId="0" borderId="0" xfId="0" applyFont="1" applyBorder="1" applyProtection="1">
      <protection hidden="1"/>
    </xf>
    <xf numFmtId="0" fontId="0" fillId="0" borderId="0" xfId="0" applyFont="1" applyAlignment="1">
      <alignment horizontal="center"/>
    </xf>
    <xf numFmtId="0" fontId="57" fillId="3" borderId="0" xfId="0" applyFont="1" applyFill="1" applyAlignment="1" applyProtection="1">
      <alignment vertical="center"/>
      <protection locked="0"/>
    </xf>
    <xf numFmtId="0" fontId="57" fillId="3" borderId="0" xfId="0" applyFont="1" applyFill="1" applyAlignment="1" applyProtection="1">
      <alignment vertical="center"/>
      <protection hidden="1"/>
    </xf>
    <xf numFmtId="2" fontId="29" fillId="3" borderId="0" xfId="0" applyNumberFormat="1" applyFont="1" applyFill="1" applyBorder="1" applyAlignment="1" applyProtection="1">
      <alignment horizontal="center" vertical="center"/>
    </xf>
    <xf numFmtId="0" fontId="60" fillId="3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0" fontId="10" fillId="8" borderId="1" xfId="0" applyNumberFormat="1" applyFont="1" applyFill="1" applyBorder="1" applyAlignment="1">
      <alignment horizontal="center" vertical="center"/>
    </xf>
    <xf numFmtId="0" fontId="57" fillId="3" borderId="0" xfId="0" applyFont="1" applyFill="1" applyBorder="1" applyAlignment="1" applyProtection="1">
      <alignment vertical="center"/>
      <protection locked="0"/>
    </xf>
    <xf numFmtId="0" fontId="26" fillId="8" borderId="30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26" fillId="8" borderId="31" xfId="0" applyFont="1" applyFill="1" applyBorder="1" applyAlignment="1" applyProtection="1">
      <alignment vertical="center"/>
      <protection locked="0"/>
    </xf>
    <xf numFmtId="0" fontId="25" fillId="3" borderId="0" xfId="0" applyFont="1" applyFill="1" applyBorder="1" applyAlignment="1" applyProtection="1">
      <alignment vertical="center"/>
      <protection locked="0"/>
    </xf>
    <xf numFmtId="1" fontId="3" fillId="3" borderId="1" xfId="0" applyNumberFormat="1" applyFont="1" applyFill="1" applyBorder="1" applyAlignment="1" applyProtection="1">
      <alignment horizontal="right" vertical="center"/>
      <protection locked="0"/>
    </xf>
    <xf numFmtId="3" fontId="3" fillId="3" borderId="1" xfId="0" applyNumberFormat="1" applyFont="1" applyFill="1" applyBorder="1" applyAlignment="1" applyProtection="1">
      <alignment horizontal="right" vertical="center"/>
      <protection locked="0"/>
    </xf>
    <xf numFmtId="14" fontId="3" fillId="3" borderId="0" xfId="0" applyNumberFormat="1" applyFont="1" applyFill="1" applyAlignment="1" applyProtection="1">
      <alignment vertical="center"/>
      <protection locked="0"/>
    </xf>
    <xf numFmtId="0" fontId="14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/>
    </xf>
    <xf numFmtId="0" fontId="10" fillId="3" borderId="0" xfId="0" applyFont="1" applyFill="1" applyProtection="1"/>
    <xf numFmtId="0" fontId="28" fillId="3" borderId="0" xfId="0" quotePrefix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</xf>
    <xf numFmtId="0" fontId="10" fillId="3" borderId="3" xfId="4" applyNumberFormat="1" applyFont="1" applyFill="1" applyBorder="1" applyAlignment="1" applyProtection="1">
      <alignment horizontal="left" vertical="center"/>
    </xf>
    <xf numFmtId="164" fontId="10" fillId="3" borderId="15" xfId="0" applyNumberFormat="1" applyFont="1" applyFill="1" applyBorder="1" applyAlignment="1" applyProtection="1">
      <alignment horizontal="center" vertical="center"/>
    </xf>
    <xf numFmtId="164" fontId="10" fillId="3" borderId="13" xfId="0" applyNumberFormat="1" applyFont="1" applyFill="1" applyBorder="1" applyAlignment="1" applyProtection="1">
      <alignment horizontal="center" vertical="center"/>
    </xf>
    <xf numFmtId="1" fontId="10" fillId="3" borderId="3" xfId="0" applyNumberFormat="1" applyFont="1" applyFill="1" applyBorder="1" applyAlignment="1" applyProtection="1">
      <alignment horizontal="center" vertical="center"/>
    </xf>
    <xf numFmtId="164" fontId="10" fillId="3" borderId="1" xfId="0" applyNumberFormat="1" applyFont="1" applyFill="1" applyBorder="1" applyAlignment="1" applyProtection="1">
      <alignment horizontal="center"/>
    </xf>
    <xf numFmtId="1" fontId="10" fillId="3" borderId="0" xfId="0" applyNumberFormat="1" applyFont="1" applyFill="1" applyBorder="1" applyAlignment="1" applyProtection="1">
      <alignment horizontal="right"/>
    </xf>
    <xf numFmtId="1" fontId="10" fillId="3" borderId="0" xfId="0" applyNumberFormat="1" applyFont="1" applyFill="1" applyAlignment="1" applyProtection="1"/>
    <xf numFmtId="164" fontId="10" fillId="3" borderId="0" xfId="0" applyNumberFormat="1" applyFont="1" applyFill="1" applyAlignment="1" applyProtection="1"/>
    <xf numFmtId="164" fontId="3" fillId="3" borderId="0" xfId="0" applyNumberFormat="1" applyFont="1" applyFill="1" applyAlignment="1" applyProtection="1">
      <alignment vertical="center"/>
    </xf>
    <xf numFmtId="0" fontId="57" fillId="3" borderId="0" xfId="0" applyFont="1" applyFill="1" applyProtection="1">
      <protection locked="0"/>
    </xf>
    <xf numFmtId="0" fontId="57" fillId="3" borderId="0" xfId="0" applyFont="1" applyFill="1" applyBorder="1" applyAlignment="1" applyProtection="1">
      <alignment horizontal="left"/>
      <protection locked="0"/>
    </xf>
    <xf numFmtId="0" fontId="57" fillId="3" borderId="0" xfId="0" applyFont="1" applyFill="1" applyBorder="1" applyAlignment="1" applyProtection="1">
      <alignment horizontal="center"/>
      <protection locked="0"/>
    </xf>
    <xf numFmtId="2" fontId="57" fillId="3" borderId="0" xfId="0" applyNumberFormat="1" applyFont="1" applyFill="1" applyBorder="1" applyAlignment="1" applyProtection="1">
      <alignment horizontal="center"/>
      <protection locked="0"/>
    </xf>
    <xf numFmtId="1" fontId="57" fillId="3" borderId="0" xfId="0" applyNumberFormat="1" applyFont="1" applyFill="1" applyProtection="1">
      <protection locked="0"/>
    </xf>
    <xf numFmtId="0" fontId="57" fillId="2" borderId="0" xfId="0" applyFont="1" applyFill="1" applyBorder="1" applyProtection="1">
      <protection locked="0"/>
    </xf>
    <xf numFmtId="0" fontId="57" fillId="2" borderId="0" xfId="0" applyFont="1" applyFill="1" applyBorder="1" applyAlignment="1" applyProtection="1">
      <alignment horizontal="left"/>
      <protection locked="0"/>
    </xf>
    <xf numFmtId="0" fontId="60" fillId="0" borderId="0" xfId="0" applyFont="1" applyAlignment="1" applyProtection="1">
      <alignment vertical="center"/>
      <protection locked="0"/>
    </xf>
    <xf numFmtId="0" fontId="72" fillId="3" borderId="0" xfId="0" applyFont="1" applyFill="1" applyAlignment="1" applyProtection="1">
      <alignment vertical="center"/>
      <protection hidden="1"/>
    </xf>
    <xf numFmtId="0" fontId="72" fillId="3" borderId="0" xfId="0" applyFont="1" applyFill="1" applyAlignment="1" applyProtection="1">
      <alignment vertical="center"/>
      <protection locked="0"/>
    </xf>
    <xf numFmtId="0" fontId="57" fillId="3" borderId="0" xfId="0" quotePrefix="1" applyFont="1" applyFill="1" applyAlignment="1" applyProtection="1">
      <alignment vertical="center"/>
      <protection locked="0"/>
    </xf>
    <xf numFmtId="0" fontId="59" fillId="3" borderId="0" xfId="0" applyFont="1" applyFill="1" applyAlignment="1" applyProtection="1">
      <alignment vertical="center"/>
      <protection locked="0"/>
    </xf>
    <xf numFmtId="0" fontId="73" fillId="3" borderId="0" xfId="0" applyFont="1" applyFill="1" applyAlignment="1" applyProtection="1">
      <alignment vertical="center"/>
      <protection locked="0"/>
    </xf>
    <xf numFmtId="167" fontId="57" fillId="3" borderId="0" xfId="0" applyNumberFormat="1" applyFont="1" applyFill="1" applyBorder="1" applyAlignment="1" applyProtection="1">
      <alignment vertical="center"/>
      <protection hidden="1"/>
    </xf>
    <xf numFmtId="0" fontId="57" fillId="3" borderId="0" xfId="0" applyFont="1" applyFill="1" applyBorder="1" applyAlignment="1" applyProtection="1">
      <alignment horizontal="right" vertical="center"/>
      <protection locked="0"/>
    </xf>
    <xf numFmtId="0" fontId="73" fillId="3" borderId="0" xfId="0" quotePrefix="1" applyFont="1" applyFill="1" applyBorder="1" applyAlignment="1" applyProtection="1">
      <alignment horizontal="center" vertical="center"/>
      <protection hidden="1"/>
    </xf>
    <xf numFmtId="164" fontId="75" fillId="3" borderId="0" xfId="0" applyNumberFormat="1" applyFont="1" applyFill="1" applyBorder="1" applyAlignment="1" applyProtection="1">
      <alignment horizontal="left"/>
    </xf>
    <xf numFmtId="164" fontId="74" fillId="3" borderId="0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vertical="center"/>
      <protection locked="0"/>
    </xf>
    <xf numFmtId="171" fontId="3" fillId="3" borderId="12" xfId="0" applyNumberFormat="1" applyFont="1" applyFill="1" applyBorder="1" applyAlignment="1" applyProtection="1">
      <alignment horizontal="left" vertical="center"/>
      <protection locked="0"/>
    </xf>
    <xf numFmtId="0" fontId="67" fillId="3" borderId="0" xfId="0" applyFont="1" applyFill="1" applyAlignment="1" applyProtection="1">
      <alignment vertical="center"/>
      <protection locked="0"/>
    </xf>
    <xf numFmtId="164" fontId="3" fillId="2" borderId="1" xfId="0" applyNumberFormat="1" applyFont="1" applyFill="1" applyBorder="1" applyProtection="1"/>
    <xf numFmtId="0" fontId="3" fillId="3" borderId="1" xfId="0" applyFont="1" applyFill="1" applyBorder="1" applyAlignment="1" applyProtection="1">
      <alignment vertical="center"/>
    </xf>
    <xf numFmtId="0" fontId="77" fillId="0" borderId="1" xfId="0" applyFont="1" applyBorder="1" applyProtection="1"/>
    <xf numFmtId="174" fontId="10" fillId="3" borderId="0" xfId="0" applyNumberFormat="1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 vertical="center"/>
    </xf>
    <xf numFmtId="0" fontId="10" fillId="3" borderId="1" xfId="1" applyFont="1" applyFill="1" applyBorder="1" applyAlignment="1" applyProtection="1">
      <alignment horizontal="center" vertical="center" wrapText="1"/>
    </xf>
    <xf numFmtId="0" fontId="44" fillId="3" borderId="0" xfId="0" applyFont="1" applyFill="1" applyAlignment="1" applyProtection="1">
      <alignment vertical="center"/>
      <protection locked="0"/>
    </xf>
    <xf numFmtId="0" fontId="81" fillId="3" borderId="0" xfId="0" applyFont="1" applyFill="1" applyAlignment="1" applyProtection="1">
      <alignment vertical="center" wrapText="1"/>
      <protection locked="0"/>
    </xf>
    <xf numFmtId="0" fontId="44" fillId="3" borderId="0" xfId="0" applyFont="1" applyFill="1" applyAlignment="1" applyProtection="1">
      <alignment vertical="center"/>
    </xf>
    <xf numFmtId="0" fontId="84" fillId="3" borderId="0" xfId="0" applyFont="1" applyFill="1" applyAlignment="1" applyProtection="1">
      <alignment horizontal="right" vertical="center"/>
    </xf>
    <xf numFmtId="0" fontId="10" fillId="3" borderId="3" xfId="0" applyFont="1" applyFill="1" applyBorder="1" applyAlignment="1" applyProtection="1">
      <alignment vertical="center"/>
    </xf>
    <xf numFmtId="0" fontId="10" fillId="3" borderId="15" xfId="0" applyFont="1" applyFill="1" applyBorder="1" applyAlignment="1" applyProtection="1">
      <alignment vertical="center"/>
    </xf>
    <xf numFmtId="164" fontId="10" fillId="3" borderId="15" xfId="0" quotePrefix="1" applyNumberFormat="1" applyFont="1" applyFill="1" applyBorder="1" applyAlignment="1" applyProtection="1">
      <alignment horizontal="right" vertical="center" wrapText="1"/>
    </xf>
    <xf numFmtId="0" fontId="10" fillId="3" borderId="13" xfId="0" applyFont="1" applyFill="1" applyBorder="1" applyAlignment="1" applyProtection="1">
      <alignment horizontal="left" vertical="center" wrapText="1"/>
    </xf>
    <xf numFmtId="0" fontId="44" fillId="4" borderId="1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vertical="center"/>
    </xf>
    <xf numFmtId="167" fontId="10" fillId="3" borderId="15" xfId="0" quotePrefix="1" applyNumberFormat="1" applyFont="1" applyFill="1" applyBorder="1" applyAlignment="1" applyProtection="1">
      <alignment horizontal="right" vertical="center" wrapText="1"/>
    </xf>
    <xf numFmtId="2" fontId="54" fillId="4" borderId="1" xfId="0" applyNumberFormat="1" applyFont="1" applyFill="1" applyBorder="1" applyAlignment="1" applyProtection="1">
      <alignment horizontal="right"/>
      <protection hidden="1"/>
    </xf>
    <xf numFmtId="2" fontId="53" fillId="4" borderId="1" xfId="0" applyNumberFormat="1" applyFont="1" applyFill="1" applyBorder="1" applyAlignment="1" applyProtection="1">
      <alignment horizontal="right"/>
      <protection hidden="1"/>
    </xf>
    <xf numFmtId="0" fontId="10" fillId="3" borderId="11" xfId="4" applyNumberFormat="1" applyFont="1" applyFill="1" applyBorder="1" applyAlignment="1" applyProtection="1">
      <alignment horizontal="left" vertical="center"/>
    </xf>
    <xf numFmtId="164" fontId="10" fillId="3" borderId="11" xfId="0" applyNumberFormat="1" applyFont="1" applyFill="1" applyBorder="1" applyAlignment="1" applyProtection="1">
      <alignment horizontal="center" vertical="center"/>
    </xf>
    <xf numFmtId="1" fontId="10" fillId="3" borderId="11" xfId="0" applyNumberFormat="1" applyFont="1" applyFill="1" applyBorder="1" applyAlignment="1" applyProtection="1">
      <alignment horizontal="center" vertical="center"/>
    </xf>
    <xf numFmtId="164" fontId="67" fillId="3" borderId="11" xfId="0" applyNumberFormat="1" applyFont="1" applyFill="1" applyBorder="1" applyAlignment="1" applyProtection="1">
      <alignment horizontal="center"/>
    </xf>
    <xf numFmtId="164" fontId="10" fillId="3" borderId="11" xfId="0" applyNumberFormat="1" applyFont="1" applyFill="1" applyBorder="1" applyAlignment="1" applyProtection="1">
      <alignment horizontal="center"/>
    </xf>
    <xf numFmtId="170" fontId="10" fillId="3" borderId="0" xfId="4" applyNumberFormat="1" applyFont="1" applyFill="1" applyBorder="1" applyAlignment="1" applyProtection="1">
      <alignment horizontal="center" vertical="center"/>
    </xf>
    <xf numFmtId="0" fontId="10" fillId="3" borderId="0" xfId="4" applyNumberFormat="1" applyFont="1" applyFill="1" applyBorder="1" applyAlignment="1" applyProtection="1">
      <alignment horizontal="left" vertical="center"/>
    </xf>
    <xf numFmtId="164" fontId="10" fillId="3" borderId="0" xfId="0" applyNumberFormat="1" applyFont="1" applyFill="1" applyBorder="1" applyAlignment="1" applyProtection="1">
      <alignment horizontal="center" vertical="center"/>
    </xf>
    <xf numFmtId="1" fontId="10" fillId="3" borderId="0" xfId="0" applyNumberFormat="1" applyFont="1" applyFill="1" applyBorder="1" applyAlignment="1" applyProtection="1">
      <alignment horizontal="center" vertical="center"/>
    </xf>
    <xf numFmtId="164" fontId="67" fillId="3" borderId="0" xfId="0" applyNumberFormat="1" applyFont="1" applyFill="1" applyBorder="1" applyAlignment="1" applyProtection="1">
      <alignment horizontal="center"/>
    </xf>
    <xf numFmtId="164" fontId="10" fillId="3" borderId="0" xfId="0" applyNumberFormat="1" applyFont="1" applyFill="1" applyBorder="1" applyAlignment="1" applyProtection="1">
      <alignment horizontal="center"/>
    </xf>
    <xf numFmtId="164" fontId="10" fillId="3" borderId="1" xfId="4" applyNumberFormat="1" applyFont="1" applyFill="1" applyBorder="1" applyAlignment="1" applyProtection="1">
      <alignment horizontal="center" vertical="center"/>
    </xf>
    <xf numFmtId="164" fontId="81" fillId="0" borderId="1" xfId="4" applyNumberFormat="1" applyFont="1" applyFill="1" applyBorder="1" applyAlignment="1" applyProtection="1">
      <alignment horizontal="right" vertical="center"/>
    </xf>
    <xf numFmtId="0" fontId="5" fillId="0" borderId="0" xfId="0" applyFont="1" applyAlignment="1" applyProtection="1">
      <alignment horizontal="right"/>
      <protection locked="0"/>
    </xf>
    <xf numFmtId="170" fontId="10" fillId="3" borderId="11" xfId="4" applyNumberFormat="1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left"/>
      <protection hidden="1"/>
    </xf>
    <xf numFmtId="0" fontId="59" fillId="3" borderId="0" xfId="0" applyFont="1" applyFill="1" applyAlignment="1" applyProtection="1">
      <protection locked="0"/>
    </xf>
    <xf numFmtId="0" fontId="57" fillId="3" borderId="0" xfId="0" applyFont="1" applyFill="1" applyAlignment="1" applyProtection="1">
      <protection locked="0"/>
    </xf>
    <xf numFmtId="0" fontId="57" fillId="3" borderId="0" xfId="0" applyFont="1" applyFill="1" applyAlignment="1" applyProtection="1">
      <protection hidden="1"/>
    </xf>
    <xf numFmtId="0" fontId="73" fillId="3" borderId="0" xfId="0" applyFont="1" applyFill="1" applyAlignment="1" applyProtection="1">
      <protection locked="0"/>
    </xf>
    <xf numFmtId="0" fontId="6" fillId="3" borderId="0" xfId="0" applyFont="1" applyFill="1"/>
    <xf numFmtId="0" fontId="3" fillId="3" borderId="0" xfId="0" applyFont="1" applyFill="1" applyBorder="1" applyAlignment="1" applyProtection="1">
      <alignment vertical="center"/>
      <protection hidden="1"/>
    </xf>
    <xf numFmtId="164" fontId="3" fillId="3" borderId="0" xfId="0" applyNumberFormat="1" applyFont="1" applyFill="1" applyBorder="1" applyAlignment="1" applyProtection="1">
      <alignment vertical="center"/>
      <protection hidden="1"/>
    </xf>
    <xf numFmtId="164" fontId="3" fillId="3" borderId="0" xfId="0" applyNumberFormat="1" applyFont="1" applyFill="1" applyBorder="1" applyAlignment="1" applyProtection="1">
      <alignment vertical="center"/>
      <protection locked="0"/>
    </xf>
    <xf numFmtId="0" fontId="60" fillId="3" borderId="0" xfId="0" applyFont="1" applyFill="1" applyAlignment="1" applyProtection="1">
      <alignment vertical="center"/>
    </xf>
    <xf numFmtId="0" fontId="60" fillId="3" borderId="3" xfId="0" applyFont="1" applyFill="1" applyBorder="1" applyAlignment="1" applyProtection="1">
      <alignment vertical="center"/>
    </xf>
    <xf numFmtId="0" fontId="60" fillId="3" borderId="15" xfId="0" applyFont="1" applyFill="1" applyBorder="1" applyAlignment="1" applyProtection="1">
      <alignment vertical="center"/>
    </xf>
    <xf numFmtId="164" fontId="60" fillId="3" borderId="15" xfId="0" quotePrefix="1" applyNumberFormat="1" applyFont="1" applyFill="1" applyBorder="1" applyAlignment="1" applyProtection="1">
      <alignment horizontal="right" vertical="center" wrapText="1"/>
    </xf>
    <xf numFmtId="0" fontId="60" fillId="3" borderId="13" xfId="0" applyFont="1" applyFill="1" applyBorder="1" applyAlignment="1" applyProtection="1">
      <alignment horizontal="left" vertical="center" wrapText="1"/>
    </xf>
    <xf numFmtId="167" fontId="60" fillId="3" borderId="15" xfId="0" quotePrefix="1" applyNumberFormat="1" applyFont="1" applyFill="1" applyBorder="1" applyAlignment="1" applyProtection="1">
      <alignment horizontal="right" vertical="center" wrapText="1"/>
    </xf>
    <xf numFmtId="0" fontId="60" fillId="3" borderId="13" xfId="0" applyFont="1" applyFill="1" applyBorder="1" applyAlignment="1" applyProtection="1">
      <alignment horizontal="left" vertical="center"/>
    </xf>
    <xf numFmtId="2" fontId="21" fillId="0" borderId="1" xfId="0" applyNumberFormat="1" applyFont="1" applyBorder="1" applyAlignment="1" applyProtection="1">
      <alignment horizontal="right"/>
      <protection hidden="1"/>
    </xf>
    <xf numFmtId="164" fontId="21" fillId="0" borderId="1" xfId="0" applyNumberFormat="1" applyFont="1" applyBorder="1" applyAlignment="1" applyProtection="1">
      <alignment horizontal="right"/>
      <protection hidden="1"/>
    </xf>
    <xf numFmtId="0" fontId="57" fillId="3" borderId="0" xfId="0" applyFont="1" applyFill="1" applyAlignment="1" applyProtection="1">
      <alignment vertical="center"/>
    </xf>
    <xf numFmtId="0" fontId="59" fillId="3" borderId="0" xfId="0" applyFont="1" applyFill="1" applyAlignment="1" applyProtection="1">
      <alignment horizontal="center" vertical="center"/>
    </xf>
    <xf numFmtId="0" fontId="60" fillId="3" borderId="0" xfId="4" applyFont="1" applyFill="1" applyAlignment="1" applyProtection="1">
      <alignment vertical="center"/>
    </xf>
    <xf numFmtId="0" fontId="60" fillId="3" borderId="0" xfId="4" applyFont="1" applyFill="1" applyAlignment="1" applyProtection="1">
      <alignment horizontal="right" vertical="center"/>
    </xf>
    <xf numFmtId="0" fontId="60" fillId="3" borderId="28" xfId="4" applyFont="1" applyFill="1" applyBorder="1" applyAlignment="1" applyProtection="1">
      <alignment horizontal="left" vertical="center"/>
    </xf>
    <xf numFmtId="0" fontId="57" fillId="3" borderId="28" xfId="0" applyFont="1" applyFill="1" applyBorder="1" applyAlignment="1" applyProtection="1">
      <alignment vertical="center"/>
    </xf>
    <xf numFmtId="0" fontId="57" fillId="3" borderId="0" xfId="0" applyFont="1" applyFill="1" applyBorder="1" applyAlignment="1" applyProtection="1">
      <alignment vertical="center"/>
    </xf>
    <xf numFmtId="0" fontId="60" fillId="3" borderId="29" xfId="4" applyFont="1" applyFill="1" applyBorder="1" applyAlignment="1" applyProtection="1">
      <alignment horizontal="left" vertical="center"/>
    </xf>
    <xf numFmtId="0" fontId="57" fillId="3" borderId="29" xfId="0" applyFont="1" applyFill="1" applyBorder="1" applyAlignment="1" applyProtection="1">
      <alignment vertical="center"/>
    </xf>
    <xf numFmtId="0" fontId="60" fillId="3" borderId="29" xfId="4" quotePrefix="1" applyFont="1" applyFill="1" applyBorder="1" applyAlignment="1" applyProtection="1">
      <alignment horizontal="left" vertical="center"/>
    </xf>
    <xf numFmtId="0" fontId="57" fillId="3" borderId="0" xfId="0" applyFont="1" applyFill="1" applyAlignment="1" applyProtection="1">
      <alignment horizontal="left" vertical="center"/>
    </xf>
    <xf numFmtId="0" fontId="60" fillId="3" borderId="0" xfId="4" applyFont="1" applyFill="1" applyProtection="1"/>
    <xf numFmtId="0" fontId="57" fillId="3" borderId="0" xfId="0" applyFont="1" applyFill="1" applyBorder="1" applyAlignment="1" applyProtection="1">
      <alignment horizontal="left" vertical="center"/>
    </xf>
    <xf numFmtId="174" fontId="57" fillId="3" borderId="0" xfId="0" applyNumberFormat="1" applyFont="1" applyFill="1" applyBorder="1" applyAlignment="1" applyProtection="1">
      <alignment horizontal="left" vertical="center"/>
    </xf>
    <xf numFmtId="166" fontId="57" fillId="3" borderId="0" xfId="0" applyNumberFormat="1" applyFont="1" applyFill="1" applyAlignment="1" applyProtection="1">
      <alignment horizontal="left" vertical="center"/>
    </xf>
    <xf numFmtId="0" fontId="57" fillId="3" borderId="0" xfId="0" applyFont="1" applyFill="1" applyAlignment="1" applyProtection="1">
      <alignment horizontal="right" vertical="center"/>
    </xf>
    <xf numFmtId="164" fontId="57" fillId="3" borderId="0" xfId="0" applyNumberFormat="1" applyFont="1" applyFill="1" applyBorder="1" applyAlignment="1" applyProtection="1">
      <alignment horizontal="left" vertical="center"/>
    </xf>
    <xf numFmtId="0" fontId="57" fillId="3" borderId="7" xfId="0" applyFont="1" applyFill="1" applyBorder="1" applyAlignment="1" applyProtection="1">
      <alignment vertical="center"/>
    </xf>
    <xf numFmtId="0" fontId="29" fillId="3" borderId="0" xfId="0" applyFont="1" applyFill="1" applyBorder="1" applyAlignment="1" applyProtection="1">
      <alignment horizontal="center" vertical="center"/>
    </xf>
    <xf numFmtId="0" fontId="57" fillId="3" borderId="1" xfId="0" applyFont="1" applyFill="1" applyBorder="1" applyAlignment="1" applyProtection="1">
      <alignment vertical="center"/>
    </xf>
    <xf numFmtId="164" fontId="57" fillId="3" borderId="0" xfId="0" applyNumberFormat="1" applyFont="1" applyFill="1" applyBorder="1" applyAlignment="1" applyProtection="1">
      <alignment horizontal="center" vertical="center"/>
    </xf>
    <xf numFmtId="164" fontId="3" fillId="3" borderId="0" xfId="0" applyNumberFormat="1" applyFont="1" applyFill="1" applyAlignment="1" applyProtection="1">
      <alignment horizontal="center" vertical="center"/>
    </xf>
    <xf numFmtId="0" fontId="82" fillId="3" borderId="1" xfId="0" applyFont="1" applyFill="1" applyBorder="1" applyAlignment="1" applyProtection="1">
      <alignment horizontal="center" vertical="center" wrapText="1"/>
    </xf>
    <xf numFmtId="0" fontId="83" fillId="3" borderId="1" xfId="0" applyFont="1" applyFill="1" applyBorder="1" applyAlignment="1" applyProtection="1">
      <alignment horizontal="center" vertical="center"/>
    </xf>
    <xf numFmtId="1" fontId="57" fillId="3" borderId="0" xfId="0" applyNumberFormat="1" applyFont="1" applyFill="1" applyBorder="1" applyAlignment="1" applyProtection="1">
      <alignment horizontal="center" vertical="center"/>
    </xf>
    <xf numFmtId="0" fontId="57" fillId="3" borderId="0" xfId="0" applyFont="1" applyFill="1" applyAlignment="1" applyProtection="1">
      <alignment horizontal="center" vertical="center"/>
    </xf>
    <xf numFmtId="0" fontId="94" fillId="3" borderId="1" xfId="0" applyFont="1" applyFill="1" applyBorder="1" applyAlignment="1" applyProtection="1">
      <alignment horizontal="center" vertical="center" wrapText="1"/>
    </xf>
    <xf numFmtId="164" fontId="60" fillId="3" borderId="0" xfId="0" applyNumberFormat="1" applyFont="1" applyFill="1" applyBorder="1" applyAlignment="1" applyProtection="1">
      <alignment horizontal="left" vertical="center"/>
    </xf>
    <xf numFmtId="0" fontId="57" fillId="3" borderId="2" xfId="0" applyFont="1" applyFill="1" applyBorder="1" applyAlignment="1" applyProtection="1">
      <alignment vertical="center"/>
    </xf>
    <xf numFmtId="0" fontId="60" fillId="3" borderId="6" xfId="0" applyNumberFormat="1" applyFont="1" applyFill="1" applyBorder="1" applyAlignment="1" applyProtection="1">
      <alignment horizontal="center"/>
    </xf>
    <xf numFmtId="170" fontId="60" fillId="3" borderId="0" xfId="4" applyNumberFormat="1" applyFont="1" applyFill="1" applyBorder="1" applyAlignment="1" applyProtection="1">
      <alignment horizontal="center" vertical="center"/>
    </xf>
    <xf numFmtId="0" fontId="60" fillId="3" borderId="14" xfId="0" applyNumberFormat="1" applyFont="1" applyFill="1" applyBorder="1" applyAlignment="1" applyProtection="1">
      <alignment horizontal="center"/>
    </xf>
    <xf numFmtId="169" fontId="60" fillId="3" borderId="0" xfId="4" quotePrefix="1" applyNumberFormat="1" applyFont="1" applyFill="1" applyBorder="1" applyAlignment="1" applyProtection="1">
      <alignment horizontal="center" vertical="center"/>
    </xf>
    <xf numFmtId="0" fontId="60" fillId="3" borderId="0" xfId="0" applyNumberFormat="1" applyFont="1" applyFill="1" applyBorder="1" applyAlignment="1" applyProtection="1">
      <alignment vertical="center"/>
    </xf>
    <xf numFmtId="0" fontId="7" fillId="3" borderId="0" xfId="0" applyNumberFormat="1" applyFont="1" applyFill="1" applyBorder="1" applyAlignment="1" applyProtection="1">
      <alignment horizontal="center" vertical="center"/>
    </xf>
    <xf numFmtId="0" fontId="65" fillId="3" borderId="0" xfId="0" applyNumberFormat="1" applyFont="1" applyFill="1" applyBorder="1" applyAlignment="1" applyProtection="1">
      <alignment horizontal="center" vertical="center"/>
    </xf>
    <xf numFmtId="0" fontId="60" fillId="3" borderId="9" xfId="0" applyNumberFormat="1" applyFont="1" applyFill="1" applyBorder="1" applyAlignment="1" applyProtection="1">
      <alignment horizontal="center"/>
    </xf>
    <xf numFmtId="0" fontId="29" fillId="3" borderId="0" xfId="0" applyFont="1" applyFill="1" applyBorder="1" applyAlignment="1" applyProtection="1">
      <alignment vertical="center" wrapText="1"/>
    </xf>
    <xf numFmtId="0" fontId="64" fillId="3" borderId="0" xfId="0" applyFont="1" applyFill="1" applyAlignment="1" applyProtection="1">
      <alignment vertical="center"/>
    </xf>
    <xf numFmtId="0" fontId="60" fillId="3" borderId="0" xfId="0" applyFont="1" applyFill="1" applyAlignment="1" applyProtection="1">
      <alignment horizontal="center" vertical="center"/>
    </xf>
    <xf numFmtId="0" fontId="60" fillId="3" borderId="0" xfId="0" applyFont="1" applyFill="1" applyAlignment="1" applyProtection="1">
      <alignment horizontal="right" vertical="center" wrapText="1"/>
    </xf>
    <xf numFmtId="1" fontId="60" fillId="0" borderId="0" xfId="0" applyNumberFormat="1" applyFont="1" applyBorder="1" applyAlignment="1" applyProtection="1">
      <alignment horizontal="left"/>
    </xf>
    <xf numFmtId="0" fontId="61" fillId="3" borderId="0" xfId="0" applyFont="1" applyFill="1" applyAlignment="1" applyProtection="1">
      <alignment horizontal="right" vertical="center" wrapText="1"/>
    </xf>
    <xf numFmtId="0" fontId="71" fillId="3" borderId="0" xfId="0" applyFont="1" applyFill="1" applyAlignment="1" applyProtection="1">
      <alignment vertical="center"/>
    </xf>
    <xf numFmtId="0" fontId="57" fillId="3" borderId="5" xfId="0" applyFont="1" applyFill="1" applyBorder="1" applyAlignment="1" applyProtection="1">
      <alignment vertical="center"/>
    </xf>
    <xf numFmtId="0" fontId="60" fillId="0" borderId="0" xfId="0" applyFont="1" applyBorder="1" applyAlignment="1" applyProtection="1">
      <alignment horizontal="left"/>
    </xf>
    <xf numFmtId="0" fontId="57" fillId="3" borderId="10" xfId="0" applyFont="1" applyFill="1" applyBorder="1" applyAlignment="1" applyProtection="1">
      <alignment vertical="center"/>
    </xf>
    <xf numFmtId="0" fontId="67" fillId="3" borderId="0" xfId="0" applyFont="1" applyFill="1" applyAlignment="1" applyProtection="1">
      <alignment vertical="center"/>
    </xf>
    <xf numFmtId="0" fontId="25" fillId="3" borderId="0" xfId="0" applyFont="1" applyFill="1" applyAlignment="1" applyProtection="1">
      <alignment horizontal="center" vertical="center"/>
    </xf>
    <xf numFmtId="0" fontId="10" fillId="3" borderId="0" xfId="4" applyFont="1" applyFill="1" applyProtection="1"/>
    <xf numFmtId="0" fontId="10" fillId="3" borderId="0" xfId="4" applyFont="1" applyFill="1" applyAlignment="1" applyProtection="1">
      <alignment horizontal="right"/>
    </xf>
    <xf numFmtId="0" fontId="76" fillId="3" borderId="0" xfId="0" applyFont="1" applyFill="1" applyAlignment="1" applyProtection="1">
      <alignment horizontal="right" vertical="center"/>
    </xf>
    <xf numFmtId="0" fontId="67" fillId="3" borderId="0" xfId="0" applyFont="1" applyFill="1" applyAlignment="1" applyProtection="1">
      <alignment horizontal="left" vertical="center"/>
    </xf>
    <xf numFmtId="0" fontId="27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166" fontId="67" fillId="3" borderId="0" xfId="0" applyNumberFormat="1" applyFont="1" applyFill="1" applyAlignment="1" applyProtection="1">
      <alignment horizontal="left" vertical="center"/>
    </xf>
    <xf numFmtId="0" fontId="19" fillId="3" borderId="0" xfId="0" applyFont="1" applyFill="1" applyBorder="1" applyAlignment="1" applyProtection="1">
      <alignment horizontal="center" vertical="center"/>
    </xf>
    <xf numFmtId="0" fontId="19" fillId="3" borderId="0" xfId="0" applyFont="1" applyFill="1" applyBorder="1" applyAlignment="1" applyProtection="1">
      <alignment horizontal="center" vertical="center" wrapText="1"/>
    </xf>
    <xf numFmtId="164" fontId="19" fillId="3" borderId="0" xfId="0" applyNumberFormat="1" applyFont="1" applyFill="1" applyBorder="1" applyAlignment="1" applyProtection="1">
      <alignment horizontal="center" vertical="center"/>
    </xf>
    <xf numFmtId="165" fontId="19" fillId="3" borderId="0" xfId="0" applyNumberFormat="1" applyFont="1" applyFill="1" applyBorder="1" applyAlignment="1" applyProtection="1">
      <alignment horizontal="center" vertical="center"/>
    </xf>
    <xf numFmtId="2" fontId="15" fillId="3" borderId="0" xfId="3" applyNumberFormat="1" applyFont="1" applyFill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/>
    </xf>
    <xf numFmtId="0" fontId="11" fillId="0" borderId="0" xfId="0" applyFont="1" applyProtection="1"/>
    <xf numFmtId="0" fontId="81" fillId="3" borderId="0" xfId="0" applyFont="1" applyFill="1" applyAlignment="1" applyProtection="1">
      <alignment vertical="center" wrapText="1"/>
    </xf>
    <xf numFmtId="176" fontId="44" fillId="3" borderId="0" xfId="0" applyNumberFormat="1" applyFont="1" applyFill="1" applyAlignment="1" applyProtection="1">
      <alignment vertical="center" wrapText="1"/>
    </xf>
    <xf numFmtId="177" fontId="44" fillId="3" borderId="0" xfId="0" applyNumberFormat="1" applyFont="1" applyFill="1" applyAlignment="1" applyProtection="1">
      <alignment vertical="center" wrapText="1"/>
    </xf>
    <xf numFmtId="179" fontId="44" fillId="3" borderId="0" xfId="0" applyNumberFormat="1" applyFont="1" applyFill="1" applyAlignment="1" applyProtection="1">
      <alignment vertical="center" wrapText="1"/>
    </xf>
    <xf numFmtId="0" fontId="10" fillId="3" borderId="0" xfId="0" applyFont="1" applyFill="1" applyBorder="1" applyAlignment="1" applyProtection="1">
      <alignment horizontal="left" vertical="center" wrapText="1"/>
    </xf>
    <xf numFmtId="175" fontId="67" fillId="3" borderId="0" xfId="0" applyNumberFormat="1" applyFont="1" applyFill="1" applyBorder="1" applyAlignment="1" applyProtection="1">
      <alignment horizontal="center" vertical="center"/>
    </xf>
    <xf numFmtId="0" fontId="27" fillId="3" borderId="0" xfId="0" applyFont="1" applyFill="1" applyBorder="1" applyAlignment="1" applyProtection="1">
      <alignment vertical="center"/>
    </xf>
    <xf numFmtId="0" fontId="27" fillId="3" borderId="2" xfId="0" applyFont="1" applyFill="1" applyBorder="1" applyAlignment="1" applyProtection="1">
      <alignment vertical="center"/>
    </xf>
    <xf numFmtId="0" fontId="27" fillId="3" borderId="3" xfId="0" applyFont="1" applyFill="1" applyBorder="1" applyAlignment="1" applyProtection="1">
      <alignment horizontal="center" vertical="center"/>
    </xf>
    <xf numFmtId="0" fontId="10" fillId="3" borderId="3" xfId="4" applyNumberFormat="1" applyFont="1" applyFill="1" applyBorder="1" applyAlignment="1" applyProtection="1">
      <alignment horizontal="left"/>
    </xf>
    <xf numFmtId="0" fontId="10" fillId="3" borderId="13" xfId="4" applyNumberFormat="1" applyFont="1" applyFill="1" applyBorder="1" applyAlignment="1" applyProtection="1">
      <alignment horizontal="left"/>
    </xf>
    <xf numFmtId="0" fontId="10" fillId="3" borderId="3" xfId="0" applyNumberFormat="1" applyFont="1" applyFill="1" applyBorder="1" applyAlignment="1" applyProtection="1">
      <alignment horizontal="center" vertical="center"/>
    </xf>
    <xf numFmtId="0" fontId="10" fillId="3" borderId="13" xfId="0" applyNumberFormat="1" applyFont="1" applyFill="1" applyBorder="1" applyAlignment="1" applyProtection="1">
      <alignment horizontal="left"/>
    </xf>
    <xf numFmtId="0" fontId="10" fillId="3" borderId="3" xfId="0" applyNumberFormat="1" applyFont="1" applyFill="1" applyBorder="1" applyAlignment="1" applyProtection="1">
      <alignment horizontal="left"/>
    </xf>
    <xf numFmtId="0" fontId="67" fillId="3" borderId="1" xfId="0" applyNumberFormat="1" applyFont="1" applyFill="1" applyBorder="1" applyAlignment="1" applyProtection="1">
      <alignment horizontal="right" vertical="center"/>
    </xf>
    <xf numFmtId="0" fontId="57" fillId="3" borderId="11" xfId="0" applyFont="1" applyFill="1" applyBorder="1" applyAlignment="1" applyProtection="1">
      <alignment vertical="center"/>
    </xf>
    <xf numFmtId="0" fontId="10" fillId="3" borderId="0" xfId="0" applyNumberFormat="1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vertical="center"/>
    </xf>
    <xf numFmtId="0" fontId="10" fillId="3" borderId="11" xfId="4" applyNumberFormat="1" applyFont="1" applyFill="1" applyBorder="1" applyAlignment="1" applyProtection="1">
      <alignment horizontal="left"/>
    </xf>
    <xf numFmtId="0" fontId="3" fillId="3" borderId="0" xfId="0" applyFont="1" applyFill="1" applyBorder="1" applyAlignment="1" applyProtection="1">
      <alignment horizontal="right" vertical="center"/>
    </xf>
    <xf numFmtId="0" fontId="10" fillId="3" borderId="0" xfId="4" applyNumberFormat="1" applyFont="1" applyFill="1" applyBorder="1" applyAlignment="1" applyProtection="1">
      <alignment horizontal="left"/>
    </xf>
    <xf numFmtId="0" fontId="10" fillId="3" borderId="0" xfId="0" applyNumberFormat="1" applyFont="1" applyFill="1" applyBorder="1" applyAlignment="1" applyProtection="1">
      <alignment horizontal="left" vertical="center"/>
    </xf>
    <xf numFmtId="0" fontId="11" fillId="3" borderId="0" xfId="0" applyNumberFormat="1" applyFont="1" applyFill="1" applyBorder="1" applyAlignment="1" applyProtection="1">
      <alignment horizontal="center" vertical="center"/>
    </xf>
    <xf numFmtId="0" fontId="27" fillId="3" borderId="0" xfId="0" applyFont="1" applyFill="1" applyAlignment="1" applyProtection="1">
      <alignment vertical="center"/>
    </xf>
    <xf numFmtId="1" fontId="11" fillId="3" borderId="4" xfId="0" applyNumberFormat="1" applyFont="1" applyFill="1" applyBorder="1" applyAlignment="1" applyProtection="1"/>
    <xf numFmtId="1" fontId="11" fillId="3" borderId="9" xfId="0" applyNumberFormat="1" applyFont="1" applyFill="1" applyBorder="1" applyAlignment="1" applyProtection="1"/>
    <xf numFmtId="1" fontId="43" fillId="3" borderId="0" xfId="0" applyNumberFormat="1" applyFont="1" applyFill="1" applyAlignment="1" applyProtection="1">
      <alignment horizontal="left"/>
    </xf>
    <xf numFmtId="164" fontId="34" fillId="3" borderId="0" xfId="0" applyNumberFormat="1" applyFont="1" applyFill="1" applyAlignment="1" applyProtection="1">
      <alignment horizontal="right"/>
    </xf>
    <xf numFmtId="1" fontId="34" fillId="3" borderId="0" xfId="0" applyNumberFormat="1" applyFont="1" applyFill="1" applyAlignment="1" applyProtection="1"/>
    <xf numFmtId="1" fontId="35" fillId="3" borderId="16" xfId="0" applyNumberFormat="1" applyFont="1" applyFill="1" applyBorder="1" applyAlignment="1" applyProtection="1">
      <alignment horizontal="center" wrapText="1"/>
    </xf>
    <xf numFmtId="1" fontId="11" fillId="3" borderId="16" xfId="0" applyNumberFormat="1" applyFont="1" applyFill="1" applyBorder="1" applyAlignment="1" applyProtection="1">
      <alignment horizontal="center" wrapText="1"/>
    </xf>
    <xf numFmtId="1" fontId="11" fillId="3" borderId="0" xfId="0" applyNumberFormat="1" applyFont="1" applyFill="1" applyAlignment="1" applyProtection="1"/>
    <xf numFmtId="1" fontId="10" fillId="3" borderId="0" xfId="0" applyNumberFormat="1" applyFont="1" applyFill="1" applyBorder="1" applyAlignment="1" applyProtection="1"/>
    <xf numFmtId="1" fontId="10" fillId="3" borderId="16" xfId="0" applyNumberFormat="1" applyFont="1" applyFill="1" applyBorder="1" applyAlignment="1" applyProtection="1">
      <alignment horizontal="left" wrapText="1"/>
    </xf>
    <xf numFmtId="1" fontId="10" fillId="3" borderId="16" xfId="0" applyNumberFormat="1" applyFont="1" applyFill="1" applyBorder="1" applyAlignment="1" applyProtection="1">
      <alignment horizontal="center"/>
    </xf>
    <xf numFmtId="1" fontId="10" fillId="3" borderId="16" xfId="0" applyNumberFormat="1" applyFont="1" applyFill="1" applyBorder="1" applyAlignment="1" applyProtection="1">
      <alignment horizontal="center" wrapText="1"/>
    </xf>
    <xf numFmtId="165" fontId="10" fillId="3" borderId="16" xfId="0" applyNumberFormat="1" applyFont="1" applyFill="1" applyBorder="1" applyAlignment="1" applyProtection="1">
      <alignment horizontal="right" wrapText="1"/>
    </xf>
    <xf numFmtId="1" fontId="10" fillId="3" borderId="16" xfId="0" applyNumberFormat="1" applyFont="1" applyFill="1" applyBorder="1" applyAlignment="1" applyProtection="1">
      <alignment horizontal="right" wrapText="1"/>
    </xf>
    <xf numFmtId="168" fontId="10" fillId="3" borderId="16" xfId="0" applyNumberFormat="1" applyFont="1" applyFill="1" applyBorder="1" applyAlignment="1" applyProtection="1">
      <alignment horizontal="right" wrapText="1"/>
    </xf>
    <xf numFmtId="1" fontId="11" fillId="3" borderId="0" xfId="0" applyNumberFormat="1" applyFont="1" applyFill="1" applyBorder="1" applyAlignment="1" applyProtection="1">
      <alignment horizontal="center" vertical="top" wrapText="1"/>
    </xf>
    <xf numFmtId="1" fontId="10" fillId="3" borderId="16" xfId="0" applyNumberFormat="1" applyFont="1" applyFill="1" applyBorder="1" applyAlignment="1" applyProtection="1">
      <alignment horizontal="left"/>
    </xf>
    <xf numFmtId="165" fontId="10" fillId="3" borderId="0" xfId="0" applyNumberFormat="1" applyFont="1" applyFill="1" applyBorder="1" applyProtection="1"/>
    <xf numFmtId="1" fontId="10" fillId="3" borderId="17" xfId="0" applyNumberFormat="1" applyFont="1" applyFill="1" applyBorder="1" applyAlignment="1" applyProtection="1">
      <alignment horizontal="left" wrapText="1"/>
    </xf>
    <xf numFmtId="168" fontId="38" fillId="3" borderId="16" xfId="0" applyNumberFormat="1" applyFont="1" applyFill="1" applyBorder="1" applyAlignment="1" applyProtection="1">
      <alignment horizontal="right" wrapText="1"/>
    </xf>
    <xf numFmtId="1" fontId="10" fillId="3" borderId="0" xfId="0" applyNumberFormat="1" applyFont="1" applyFill="1" applyBorder="1" applyAlignment="1" applyProtection="1">
      <alignment horizontal="left" wrapText="1"/>
    </xf>
    <xf numFmtId="164" fontId="38" fillId="3" borderId="16" xfId="0" applyNumberFormat="1" applyFont="1" applyFill="1" applyBorder="1" applyAlignment="1" applyProtection="1">
      <alignment horizontal="right" wrapText="1"/>
    </xf>
    <xf numFmtId="1" fontId="38" fillId="3" borderId="0" xfId="0" applyNumberFormat="1" applyFont="1" applyFill="1" applyBorder="1" applyAlignment="1" applyProtection="1">
      <alignment horizontal="left" wrapText="1"/>
    </xf>
    <xf numFmtId="173" fontId="38" fillId="3" borderId="0" xfId="0" applyNumberFormat="1" applyFont="1" applyFill="1" applyBorder="1" applyAlignment="1" applyProtection="1">
      <alignment horizontal="right" wrapText="1"/>
    </xf>
    <xf numFmtId="168" fontId="10" fillId="3" borderId="0" xfId="0" applyNumberFormat="1" applyFont="1" applyFill="1" applyBorder="1" applyAlignment="1" applyProtection="1">
      <alignment horizontal="right" wrapText="1"/>
    </xf>
    <xf numFmtId="168" fontId="38" fillId="3" borderId="0" xfId="0" applyNumberFormat="1" applyFont="1" applyFill="1" applyBorder="1" applyAlignment="1" applyProtection="1">
      <alignment horizontal="right" wrapText="1"/>
    </xf>
    <xf numFmtId="1" fontId="11" fillId="3" borderId="3" xfId="0" applyNumberFormat="1" applyFont="1" applyFill="1" applyBorder="1" applyAlignment="1" applyProtection="1">
      <alignment horizontal="right" wrapText="1"/>
    </xf>
    <xf numFmtId="1" fontId="11" fillId="3" borderId="13" xfId="0" applyNumberFormat="1" applyFont="1" applyFill="1" applyBorder="1" applyAlignment="1" applyProtection="1">
      <alignment horizontal="left" wrapText="1"/>
    </xf>
    <xf numFmtId="1" fontId="43" fillId="3" borderId="0" xfId="0" applyNumberFormat="1" applyFont="1" applyFill="1" applyBorder="1" applyAlignment="1" applyProtection="1">
      <alignment horizontal="left" wrapText="1"/>
    </xf>
    <xf numFmtId="165" fontId="10" fillId="3" borderId="0" xfId="0" applyNumberFormat="1" applyFont="1" applyFill="1" applyBorder="1" applyAlignment="1" applyProtection="1"/>
    <xf numFmtId="1" fontId="10" fillId="3" borderId="0" xfId="0" applyNumberFormat="1" applyFont="1" applyFill="1" applyBorder="1" applyProtection="1"/>
    <xf numFmtId="2" fontId="10" fillId="3" borderId="0" xfId="0" applyNumberFormat="1" applyFont="1" applyFill="1" applyBorder="1" applyAlignment="1" applyProtection="1"/>
    <xf numFmtId="167" fontId="10" fillId="3" borderId="0" xfId="0" applyNumberFormat="1" applyFont="1" applyFill="1" applyBorder="1" applyAlignment="1" applyProtection="1"/>
    <xf numFmtId="168" fontId="10" fillId="3" borderId="16" xfId="0" applyNumberFormat="1" applyFont="1" applyFill="1" applyBorder="1" applyAlignment="1" applyProtection="1"/>
    <xf numFmtId="165" fontId="38" fillId="3" borderId="16" xfId="0" applyNumberFormat="1" applyFont="1" applyFill="1" applyBorder="1" applyAlignment="1" applyProtection="1">
      <alignment horizontal="right" wrapText="1"/>
    </xf>
    <xf numFmtId="167" fontId="10" fillId="3" borderId="16" xfId="0" applyNumberFormat="1" applyFont="1" applyFill="1" applyBorder="1" applyAlignment="1" applyProtection="1">
      <alignment horizontal="right" wrapText="1"/>
    </xf>
    <xf numFmtId="167" fontId="10" fillId="3" borderId="1" xfId="0" applyNumberFormat="1" applyFont="1" applyFill="1" applyBorder="1" applyProtection="1"/>
    <xf numFmtId="173" fontId="10" fillId="3" borderId="0" xfId="0" applyNumberFormat="1" applyFont="1" applyFill="1" applyAlignment="1" applyProtection="1"/>
    <xf numFmtId="1" fontId="3" fillId="3" borderId="0" xfId="0" applyNumberFormat="1" applyFont="1" applyFill="1" applyAlignment="1" applyProtection="1">
      <alignment vertical="center"/>
      <protection locked="0"/>
    </xf>
    <xf numFmtId="0" fontId="26" fillId="3" borderId="0" xfId="0" applyFont="1" applyFill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7" fillId="2" borderId="0" xfId="0" applyFont="1" applyFill="1" applyAlignment="1" applyProtection="1">
      <alignment horizontal="center" vertical="center"/>
    </xf>
    <xf numFmtId="0" fontId="45" fillId="0" borderId="0" xfId="0" applyFont="1" applyAlignment="1" applyProtection="1">
      <alignment horizontal="right" vertical="center"/>
    </xf>
    <xf numFmtId="0" fontId="45" fillId="0" borderId="0" xfId="0" applyFont="1" applyAlignment="1" applyProtection="1">
      <alignment horizontal="center" vertical="center"/>
    </xf>
    <xf numFmtId="0" fontId="27" fillId="0" borderId="0" xfId="0" applyFont="1" applyAlignment="1" applyProtection="1">
      <alignment horizontal="left" vertical="center"/>
    </xf>
    <xf numFmtId="0" fontId="27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57" fillId="0" borderId="0" xfId="0" applyFont="1" applyAlignment="1" applyProtection="1">
      <alignment horizontal="center" vertical="center"/>
    </xf>
    <xf numFmtId="0" fontId="28" fillId="3" borderId="0" xfId="0" quotePrefix="1" applyFont="1" applyFill="1" applyBorder="1" applyAlignment="1" applyProtection="1">
      <alignment horizontal="center" vertical="center"/>
    </xf>
    <xf numFmtId="0" fontId="44" fillId="3" borderId="0" xfId="0" applyFont="1" applyFill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right"/>
    </xf>
    <xf numFmtId="0" fontId="10" fillId="3" borderId="0" xfId="0" applyFont="1" applyFill="1" applyBorder="1" applyAlignment="1" applyProtection="1">
      <alignment vertical="center"/>
    </xf>
    <xf numFmtId="164" fontId="3" fillId="3" borderId="0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 vertical="center"/>
    </xf>
    <xf numFmtId="0" fontId="76" fillId="3" borderId="0" xfId="0" applyFont="1" applyFill="1" applyAlignment="1" applyProtection="1">
      <alignment horizontal="center" vertical="center"/>
    </xf>
    <xf numFmtId="0" fontId="3" fillId="10" borderId="1" xfId="0" applyFont="1" applyFill="1" applyBorder="1" applyAlignment="1" applyProtection="1">
      <alignment horizontal="center" vertical="center"/>
    </xf>
    <xf numFmtId="0" fontId="3" fillId="3" borderId="8" xfId="0" applyFont="1" applyFill="1" applyBorder="1" applyAlignment="1" applyProtection="1">
      <alignment vertical="center"/>
    </xf>
    <xf numFmtId="0" fontId="3" fillId="3" borderId="13" xfId="0" applyFont="1" applyFill="1" applyBorder="1" applyAlignment="1" applyProtection="1">
      <alignment vertical="center"/>
    </xf>
    <xf numFmtId="0" fontId="10" fillId="3" borderId="0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Protection="1"/>
    <xf numFmtId="180" fontId="6" fillId="3" borderId="1" xfId="0" applyNumberFormat="1" applyFont="1" applyFill="1" applyBorder="1" applyAlignment="1" applyProtection="1">
      <alignment horizontal="center" vertical="center"/>
    </xf>
    <xf numFmtId="0" fontId="6" fillId="0" borderId="1" xfId="4" applyNumberFormat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right" vertical="center"/>
    </xf>
    <xf numFmtId="0" fontId="57" fillId="3" borderId="15" xfId="0" applyFont="1" applyFill="1" applyBorder="1" applyAlignment="1" applyProtection="1">
      <alignment vertical="center"/>
    </xf>
    <xf numFmtId="0" fontId="11" fillId="3" borderId="1" xfId="0" applyNumberFormat="1" applyFont="1" applyFill="1" applyBorder="1" applyAlignment="1" applyProtection="1">
      <alignment horizontal="center" vertical="center"/>
    </xf>
    <xf numFmtId="0" fontId="6" fillId="0" borderId="1" xfId="4" applyNumberFormat="1" applyFont="1" applyBorder="1" applyAlignment="1" applyProtection="1">
      <alignment horizontal="center" vertical="center"/>
    </xf>
    <xf numFmtId="0" fontId="45" fillId="0" borderId="11" xfId="0" applyFont="1" applyBorder="1" applyAlignment="1" applyProtection="1">
      <alignment horizontal="right" vertical="center"/>
    </xf>
    <xf numFmtId="0" fontId="27" fillId="0" borderId="1" xfId="0" applyFont="1" applyBorder="1" applyAlignment="1" applyProtection="1">
      <alignment horizontal="center" vertical="top" wrapText="1"/>
    </xf>
    <xf numFmtId="0" fontId="27" fillId="0" borderId="12" xfId="0" applyFont="1" applyBorder="1" applyAlignment="1" applyProtection="1">
      <alignment horizontal="center" vertical="top"/>
    </xf>
    <xf numFmtId="0" fontId="3" fillId="0" borderId="4" xfId="0" quotePrefix="1" applyFont="1" applyFill="1" applyBorder="1" applyAlignment="1" applyProtection="1">
      <alignment vertical="center"/>
    </xf>
    <xf numFmtId="167" fontId="46" fillId="0" borderId="12" xfId="0" applyNumberFormat="1" applyFont="1" applyBorder="1" applyAlignment="1" applyProtection="1">
      <alignment vertical="center"/>
    </xf>
    <xf numFmtId="0" fontId="67" fillId="0" borderId="0" xfId="0" applyFont="1" applyAlignment="1" applyProtection="1">
      <alignment vertical="center"/>
    </xf>
    <xf numFmtId="0" fontId="26" fillId="3" borderId="0" xfId="0" applyFont="1" applyFill="1" applyAlignment="1" applyProtection="1"/>
    <xf numFmtId="0" fontId="14" fillId="0" borderId="0" xfId="0" applyFont="1" applyProtection="1"/>
    <xf numFmtId="0" fontId="3" fillId="0" borderId="0" xfId="0" applyFont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57" fillId="2" borderId="0" xfId="0" applyFont="1" applyFill="1" applyProtection="1"/>
    <xf numFmtId="0" fontId="57" fillId="0" borderId="0" xfId="0" applyFont="1" applyProtection="1"/>
    <xf numFmtId="0" fontId="57" fillId="2" borderId="0" xfId="0" applyFont="1" applyFill="1" applyAlignment="1" applyProtection="1"/>
    <xf numFmtId="0" fontId="14" fillId="3" borderId="0" xfId="0" applyFont="1" applyFill="1" applyProtection="1"/>
    <xf numFmtId="0" fontId="64" fillId="0" borderId="0" xfId="0" applyFont="1" applyAlignment="1" applyProtection="1">
      <alignment horizontal="left"/>
    </xf>
    <xf numFmtId="0" fontId="64" fillId="0" borderId="0" xfId="0" applyFont="1" applyProtection="1"/>
    <xf numFmtId="0" fontId="27" fillId="0" borderId="0" xfId="0" applyFont="1" applyProtection="1"/>
    <xf numFmtId="0" fontId="57" fillId="0" borderId="0" xfId="0" applyFont="1" applyAlignment="1" applyProtection="1">
      <alignment horizontal="left"/>
    </xf>
    <xf numFmtId="0" fontId="64" fillId="3" borderId="0" xfId="0" applyFont="1" applyFill="1" applyAlignment="1" applyProtection="1">
      <alignment horizontal="left" vertical="center"/>
    </xf>
    <xf numFmtId="0" fontId="60" fillId="3" borderId="0" xfId="0" applyFont="1" applyFill="1" applyBorder="1" applyAlignment="1" applyProtection="1">
      <alignment vertical="center" wrapText="1"/>
    </xf>
    <xf numFmtId="0" fontId="64" fillId="3" borderId="0" xfId="0" applyFont="1" applyFill="1" applyBorder="1" applyAlignment="1" applyProtection="1">
      <alignment vertical="center"/>
    </xf>
    <xf numFmtId="0" fontId="64" fillId="3" borderId="2" xfId="0" applyFont="1" applyFill="1" applyBorder="1" applyAlignment="1" applyProtection="1">
      <alignment vertical="center"/>
    </xf>
    <xf numFmtId="0" fontId="60" fillId="3" borderId="3" xfId="4" applyNumberFormat="1" applyFont="1" applyFill="1" applyBorder="1" applyAlignment="1" applyProtection="1">
      <alignment horizontal="left"/>
    </xf>
    <xf numFmtId="164" fontId="60" fillId="3" borderId="15" xfId="0" applyNumberFormat="1" applyFont="1" applyFill="1" applyBorder="1" applyAlignment="1" applyProtection="1">
      <alignment horizontal="center"/>
    </xf>
    <xf numFmtId="164" fontId="60" fillId="3" borderId="13" xfId="0" applyNumberFormat="1" applyFont="1" applyFill="1" applyBorder="1" applyAlignment="1" applyProtection="1">
      <alignment horizontal="center"/>
    </xf>
    <xf numFmtId="1" fontId="60" fillId="3" borderId="1" xfId="0" applyNumberFormat="1" applyFont="1" applyFill="1" applyBorder="1" applyAlignment="1" applyProtection="1">
      <alignment horizontal="center"/>
    </xf>
    <xf numFmtId="164" fontId="60" fillId="3" borderId="3" xfId="4" applyNumberFormat="1" applyFont="1" applyFill="1" applyBorder="1" applyAlignment="1" applyProtection="1">
      <alignment horizontal="center"/>
    </xf>
    <xf numFmtId="2" fontId="57" fillId="3" borderId="0" xfId="0" applyNumberFormat="1" applyFont="1" applyFill="1" applyBorder="1" applyAlignment="1" applyProtection="1">
      <alignment horizontal="right" vertical="center"/>
    </xf>
    <xf numFmtId="0" fontId="3" fillId="2" borderId="0" xfId="0" applyFont="1" applyFill="1" applyProtection="1"/>
    <xf numFmtId="0" fontId="57" fillId="3" borderId="6" xfId="0" applyFont="1" applyFill="1" applyBorder="1" applyAlignment="1" applyProtection="1">
      <alignment vertical="center"/>
    </xf>
    <xf numFmtId="0" fontId="57" fillId="3" borderId="14" xfId="0" applyFont="1" applyFill="1" applyBorder="1" applyAlignment="1" applyProtection="1">
      <alignment vertical="center"/>
    </xf>
    <xf numFmtId="164" fontId="57" fillId="0" borderId="1" xfId="0" applyNumberFormat="1" applyFont="1" applyBorder="1" applyAlignment="1" applyProtection="1">
      <alignment horizontal="center"/>
    </xf>
    <xf numFmtId="0" fontId="57" fillId="2" borderId="0" xfId="0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14" fillId="0" borderId="0" xfId="0" applyFont="1" applyAlignment="1" applyProtection="1"/>
    <xf numFmtId="0" fontId="10" fillId="3" borderId="0" xfId="1" applyFont="1" applyFill="1" applyAlignment="1" applyProtection="1">
      <alignment vertical="center"/>
    </xf>
    <xf numFmtId="0" fontId="11" fillId="3" borderId="0" xfId="1" applyFont="1" applyFill="1" applyAlignment="1" applyProtection="1">
      <alignment vertical="center"/>
    </xf>
    <xf numFmtId="0" fontId="60" fillId="3" borderId="0" xfId="1" applyFont="1" applyFill="1" applyAlignment="1" applyProtection="1">
      <alignment vertical="center"/>
    </xf>
    <xf numFmtId="0" fontId="60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right"/>
    </xf>
    <xf numFmtId="0" fontId="67" fillId="0" borderId="0" xfId="0" applyFont="1" applyProtection="1"/>
    <xf numFmtId="0" fontId="89" fillId="2" borderId="0" xfId="0" applyFont="1" applyFill="1" applyAlignment="1" applyProtection="1">
      <alignment horizontal="left"/>
    </xf>
    <xf numFmtId="0" fontId="67" fillId="2" borderId="0" xfId="0" applyFont="1" applyFill="1" applyAlignment="1" applyProtection="1">
      <alignment horizontal="left"/>
    </xf>
    <xf numFmtId="0" fontId="10" fillId="3" borderId="0" xfId="0" applyFont="1" applyFill="1" applyAlignment="1" applyProtection="1">
      <alignment vertical="center"/>
    </xf>
    <xf numFmtId="0" fontId="14" fillId="0" borderId="0" xfId="0" applyFont="1" applyAlignment="1" applyProtection="1">
      <alignment horizontal="left"/>
    </xf>
    <xf numFmtId="164" fontId="3" fillId="3" borderId="0" xfId="0" applyNumberFormat="1" applyFont="1" applyFill="1" applyBorder="1" applyAlignment="1" applyProtection="1">
      <alignment horizontal="center"/>
      <protection locked="0"/>
    </xf>
    <xf numFmtId="164" fontId="67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21" fillId="0" borderId="0" xfId="0" applyFont="1" applyBorder="1" applyAlignment="1" applyProtection="1">
      <alignment horizontal="left"/>
    </xf>
    <xf numFmtId="1" fontId="4" fillId="0" borderId="1" xfId="0" applyNumberFormat="1" applyFont="1" applyBorder="1" applyAlignment="1" applyProtection="1">
      <alignment horizontal="left"/>
    </xf>
    <xf numFmtId="0" fontId="0" fillId="0" borderId="0" xfId="0" applyBorder="1" applyProtection="1"/>
    <xf numFmtId="0" fontId="93" fillId="0" borderId="0" xfId="0" applyFont="1" applyProtection="1"/>
    <xf numFmtId="1" fontId="93" fillId="0" borderId="0" xfId="0" applyNumberFormat="1" applyFont="1" applyBorder="1" applyAlignment="1" applyProtection="1">
      <alignment horizontal="left"/>
    </xf>
    <xf numFmtId="1" fontId="4" fillId="0" borderId="0" xfId="0" applyNumberFormat="1" applyFont="1" applyBorder="1" applyAlignment="1" applyProtection="1">
      <alignment horizontal="left"/>
    </xf>
    <xf numFmtId="0" fontId="93" fillId="0" borderId="0" xfId="0" applyFont="1" applyBorder="1" applyAlignment="1" applyProtection="1">
      <alignment horizontal="left"/>
    </xf>
    <xf numFmtId="0" fontId="21" fillId="0" borderId="0" xfId="0" applyFont="1" applyProtection="1"/>
    <xf numFmtId="0" fontId="22" fillId="0" borderId="1" xfId="0" applyFont="1" applyBorder="1" applyAlignment="1" applyProtection="1">
      <alignment horizontal="center"/>
    </xf>
    <xf numFmtId="1" fontId="8" fillId="7" borderId="1" xfId="0" applyNumberFormat="1" applyFont="1" applyFill="1" applyBorder="1" applyAlignment="1" applyProtection="1">
      <alignment horizontal="center"/>
    </xf>
    <xf numFmtId="1" fontId="8" fillId="0" borderId="1" xfId="0" applyNumberFormat="1" applyFont="1" applyBorder="1" applyAlignment="1" applyProtection="1">
      <alignment horizontal="center"/>
    </xf>
    <xf numFmtId="1" fontId="8" fillId="3" borderId="1" xfId="0" applyNumberFormat="1" applyFont="1" applyFill="1" applyBorder="1" applyAlignment="1" applyProtection="1">
      <alignment vertical="center"/>
    </xf>
    <xf numFmtId="1" fontId="6" fillId="0" borderId="1" xfId="0" applyNumberFormat="1" applyFont="1" applyBorder="1" applyAlignment="1" applyProtection="1">
      <alignment horizontal="center"/>
    </xf>
    <xf numFmtId="0" fontId="6" fillId="0" borderId="0" xfId="0" applyFont="1" applyProtection="1"/>
    <xf numFmtId="0" fontId="21" fillId="0" borderId="1" xfId="0" applyFont="1" applyBorder="1" applyProtection="1"/>
    <xf numFmtId="0" fontId="0" fillId="0" borderId="0" xfId="0" quotePrefix="1" applyProtection="1"/>
    <xf numFmtId="0" fontId="22" fillId="0" borderId="0" xfId="0" applyFont="1" applyProtection="1"/>
    <xf numFmtId="167" fontId="21" fillId="0" borderId="1" xfId="0" applyNumberFormat="1" applyFont="1" applyBorder="1" applyProtection="1"/>
    <xf numFmtId="2" fontId="21" fillId="0" borderId="1" xfId="0" applyNumberFormat="1" applyFont="1" applyBorder="1" applyProtection="1"/>
    <xf numFmtId="0" fontId="33" fillId="0" borderId="0" xfId="0" applyFont="1" applyProtection="1"/>
    <xf numFmtId="0" fontId="31" fillId="4" borderId="1" xfId="0" applyFont="1" applyFill="1" applyBorder="1" applyAlignment="1" applyProtection="1">
      <alignment horizontal="center"/>
    </xf>
    <xf numFmtId="0" fontId="3" fillId="4" borderId="12" xfId="0" applyFont="1" applyFill="1" applyBorder="1" applyAlignment="1" applyProtection="1">
      <alignment horizontal="left" vertical="top" wrapText="1"/>
    </xf>
    <xf numFmtId="0" fontId="87" fillId="4" borderId="1" xfId="0" quotePrefix="1" applyFont="1" applyFill="1" applyBorder="1" applyAlignment="1" applyProtection="1">
      <alignment horizontal="left" vertical="center"/>
    </xf>
    <xf numFmtId="0" fontId="3" fillId="4" borderId="3" xfId="0" applyFont="1" applyFill="1" applyBorder="1" applyAlignment="1" applyProtection="1">
      <alignment horizontal="left" vertical="top"/>
    </xf>
    <xf numFmtId="0" fontId="29" fillId="4" borderId="0" xfId="0" applyFont="1" applyFill="1" applyProtection="1"/>
    <xf numFmtId="0" fontId="29" fillId="6" borderId="0" xfId="0" applyFont="1" applyFill="1" applyProtection="1"/>
    <xf numFmtId="0" fontId="10" fillId="3" borderId="1" xfId="0" applyFont="1" applyFill="1" applyBorder="1" applyAlignment="1" applyProtection="1">
      <alignment vertical="center"/>
    </xf>
    <xf numFmtId="1" fontId="29" fillId="4" borderId="0" xfId="0" applyNumberFormat="1" applyFont="1" applyFill="1" applyProtection="1"/>
    <xf numFmtId="0" fontId="3" fillId="3" borderId="1" xfId="0" applyFont="1" applyFill="1" applyBorder="1" applyProtection="1"/>
    <xf numFmtId="1" fontId="29" fillId="3" borderId="0" xfId="0" applyNumberFormat="1" applyFont="1" applyFill="1" applyProtection="1"/>
    <xf numFmtId="0" fontId="29" fillId="3" borderId="0" xfId="0" applyFont="1" applyFill="1" applyProtection="1"/>
    <xf numFmtId="0" fontId="33" fillId="4" borderId="1" xfId="0" applyFont="1" applyFill="1" applyBorder="1" applyProtection="1"/>
    <xf numFmtId="0" fontId="29" fillId="4" borderId="1" xfId="0" applyFont="1" applyFill="1" applyBorder="1" applyProtection="1"/>
    <xf numFmtId="0" fontId="44" fillId="0" borderId="0" xfId="0" applyFont="1" applyProtection="1"/>
    <xf numFmtId="0" fontId="29" fillId="4" borderId="0" xfId="0" applyFont="1" applyFill="1" applyBorder="1" applyProtection="1"/>
    <xf numFmtId="1" fontId="29" fillId="4" borderId="0" xfId="0" applyNumberFormat="1" applyFont="1" applyFill="1" applyBorder="1" applyProtection="1"/>
    <xf numFmtId="0" fontId="29" fillId="3" borderId="0" xfId="0" applyFont="1" applyFill="1" applyBorder="1" applyProtection="1"/>
    <xf numFmtId="1" fontId="29" fillId="3" borderId="0" xfId="0" applyNumberFormat="1" applyFont="1" applyFill="1" applyBorder="1" applyProtection="1"/>
    <xf numFmtId="0" fontId="29" fillId="0" borderId="0" xfId="0" quotePrefix="1" applyFont="1" applyProtection="1"/>
    <xf numFmtId="0" fontId="24" fillId="3" borderId="0" xfId="0" applyFont="1" applyFill="1" applyAlignment="1" applyProtection="1">
      <alignment vertical="center"/>
    </xf>
    <xf numFmtId="0" fontId="30" fillId="4" borderId="0" xfId="0" applyFont="1" applyFill="1" applyAlignment="1" applyProtection="1">
      <alignment vertical="center"/>
    </xf>
    <xf numFmtId="0" fontId="3" fillId="4" borderId="0" xfId="0" applyFont="1" applyFill="1" applyBorder="1" applyAlignment="1" applyProtection="1">
      <alignment vertical="top"/>
    </xf>
    <xf numFmtId="0" fontId="25" fillId="4" borderId="0" xfId="0" applyFont="1" applyFill="1" applyAlignment="1" applyProtection="1">
      <alignment vertical="center"/>
    </xf>
    <xf numFmtId="0" fontId="3" fillId="4" borderId="0" xfId="0" applyFont="1" applyFill="1" applyAlignment="1" applyProtection="1">
      <alignment vertical="center"/>
    </xf>
    <xf numFmtId="0" fontId="68" fillId="3" borderId="0" xfId="0" applyFont="1" applyFill="1" applyBorder="1" applyAlignment="1" applyProtection="1">
      <alignment vertical="top"/>
    </xf>
    <xf numFmtId="0" fontId="67" fillId="3" borderId="0" xfId="0" applyFont="1" applyFill="1" applyBorder="1" applyAlignment="1" applyProtection="1">
      <alignment horizontal="left" vertical="top"/>
    </xf>
    <xf numFmtId="0" fontId="29" fillId="0" borderId="1" xfId="0" applyFont="1" applyBorder="1" applyAlignment="1" applyProtection="1">
      <alignment horizontal="center"/>
    </xf>
    <xf numFmtId="0" fontId="19" fillId="3" borderId="1" xfId="0" applyFont="1" applyFill="1" applyBorder="1" applyAlignment="1" applyProtection="1">
      <alignment vertical="center"/>
    </xf>
    <xf numFmtId="164" fontId="76" fillId="3" borderId="1" xfId="0" applyNumberFormat="1" applyFont="1" applyFill="1" applyBorder="1" applyAlignment="1" applyProtection="1">
      <alignment horizontal="center" vertical="center"/>
    </xf>
    <xf numFmtId="0" fontId="45" fillId="3" borderId="0" xfId="0" applyFont="1" applyFill="1" applyAlignment="1" applyProtection="1">
      <alignment horizontal="right" vertical="center"/>
      <protection locked="0"/>
    </xf>
    <xf numFmtId="1" fontId="10" fillId="3" borderId="1" xfId="0" applyNumberFormat="1" applyFont="1" applyFill="1" applyBorder="1" applyAlignment="1" applyProtection="1">
      <alignment horizontal="center"/>
    </xf>
    <xf numFmtId="1" fontId="60" fillId="3" borderId="1" xfId="4" applyNumberFormat="1" applyFont="1" applyFill="1" applyBorder="1" applyAlignment="1" applyProtection="1">
      <alignment horizontal="center"/>
    </xf>
    <xf numFmtId="0" fontId="7" fillId="0" borderId="1" xfId="0" applyFont="1" applyBorder="1" applyAlignment="1" applyProtection="1">
      <alignment horizontal="center" vertical="center"/>
    </xf>
    <xf numFmtId="0" fontId="6" fillId="0" borderId="13" xfId="4" applyNumberFormat="1" applyBorder="1" applyAlignment="1" applyProtection="1">
      <alignment horizontal="center" vertical="center"/>
    </xf>
    <xf numFmtId="180" fontId="44" fillId="3" borderId="1" xfId="0" applyNumberFormat="1" applyFont="1" applyFill="1" applyBorder="1" applyAlignment="1" applyProtection="1">
      <alignment horizontal="center" vertical="center"/>
    </xf>
    <xf numFmtId="0" fontId="95" fillId="3" borderId="1" xfId="0" applyFont="1" applyFill="1" applyBorder="1" applyAlignment="1" applyProtection="1">
      <alignment horizontal="center" vertical="center"/>
    </xf>
    <xf numFmtId="0" fontId="70" fillId="3" borderId="1" xfId="0" applyNumberFormat="1" applyFont="1" applyFill="1" applyBorder="1" applyAlignment="1" applyProtection="1">
      <alignment horizontal="center" vertical="center"/>
    </xf>
    <xf numFmtId="0" fontId="44" fillId="0" borderId="0" xfId="1" applyFont="1" applyAlignment="1">
      <alignment vertical="center"/>
    </xf>
    <xf numFmtId="0" fontId="3" fillId="2" borderId="0" xfId="0" applyFont="1" applyFill="1" applyAlignment="1" applyProtection="1">
      <alignment vertical="center"/>
    </xf>
    <xf numFmtId="0" fontId="60" fillId="0" borderId="1" xfId="1" applyFont="1" applyBorder="1" applyAlignment="1">
      <alignment vertical="center"/>
    </xf>
    <xf numFmtId="0" fontId="57" fillId="3" borderId="3" xfId="0" applyFont="1" applyFill="1" applyBorder="1" applyAlignment="1" applyProtection="1">
      <alignment vertical="center"/>
    </xf>
    <xf numFmtId="164" fontId="57" fillId="3" borderId="13" xfId="0" applyNumberFormat="1" applyFont="1" applyFill="1" applyBorder="1" applyAlignment="1" applyProtection="1">
      <alignment horizontal="center" vertical="center"/>
    </xf>
    <xf numFmtId="1" fontId="8" fillId="7" borderId="1" xfId="0" applyNumberFormat="1" applyFont="1" applyFill="1" applyBorder="1" applyAlignment="1" applyProtection="1">
      <alignment horizontal="center"/>
      <protection hidden="1"/>
    </xf>
    <xf numFmtId="1" fontId="8" fillId="0" borderId="1" xfId="0" applyNumberFormat="1" applyFont="1" applyBorder="1" applyAlignment="1" applyProtection="1">
      <alignment horizontal="center"/>
      <protection hidden="1"/>
    </xf>
    <xf numFmtId="1" fontId="8" fillId="3" borderId="1" xfId="0" applyNumberFormat="1" applyFont="1" applyFill="1" applyBorder="1" applyAlignment="1" applyProtection="1">
      <alignment vertical="center"/>
      <protection hidden="1"/>
    </xf>
    <xf numFmtId="0" fontId="85" fillId="7" borderId="21" xfId="4" applyFont="1" applyFill="1" applyBorder="1" applyAlignment="1">
      <alignment vertical="center"/>
    </xf>
    <xf numFmtId="0" fontId="86" fillId="0" borderId="22" xfId="0" applyFont="1" applyBorder="1" applyAlignment="1">
      <alignment horizontal="center" vertical="center"/>
    </xf>
    <xf numFmtId="0" fontId="42" fillId="6" borderId="22" xfId="0" applyFont="1" applyFill="1" applyBorder="1" applyAlignment="1">
      <alignment horizontal="center" vertical="center"/>
    </xf>
    <xf numFmtId="0" fontId="87" fillId="3" borderId="32" xfId="0" applyFont="1" applyFill="1" applyBorder="1" applyAlignment="1" applyProtection="1">
      <alignment vertical="top" wrapText="1"/>
      <protection locked="0"/>
    </xf>
    <xf numFmtId="0" fontId="6" fillId="7" borderId="21" xfId="4" applyFill="1" applyBorder="1" applyAlignment="1">
      <alignment vertical="center"/>
    </xf>
    <xf numFmtId="2" fontId="0" fillId="0" borderId="22" xfId="0" applyNumberFormat="1" applyBorder="1" applyAlignment="1">
      <alignment horizontal="center" vertical="center"/>
    </xf>
    <xf numFmtId="0" fontId="87" fillId="3" borderId="33" xfId="0" applyFont="1" applyFill="1" applyBorder="1" applyAlignment="1" applyProtection="1">
      <alignment vertical="top" wrapText="1"/>
      <protection locked="0"/>
    </xf>
    <xf numFmtId="0" fontId="0" fillId="0" borderId="0" xfId="0" quotePrefix="1"/>
    <xf numFmtId="0" fontId="0" fillId="7" borderId="21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54" fillId="11" borderId="34" xfId="0" applyFont="1" applyFill="1" applyBorder="1" applyAlignment="1">
      <alignment vertical="center"/>
    </xf>
    <xf numFmtId="2" fontId="54" fillId="11" borderId="15" xfId="0" applyNumberFormat="1" applyFont="1" applyFill="1" applyBorder="1" applyAlignment="1">
      <alignment horizontal="center" vertical="center"/>
    </xf>
    <xf numFmtId="1" fontId="55" fillId="0" borderId="1" xfId="0" applyNumberFormat="1" applyFont="1" applyBorder="1" applyAlignment="1" applyProtection="1">
      <alignment horizontal="left"/>
      <protection hidden="1"/>
    </xf>
    <xf numFmtId="0" fontId="0" fillId="0" borderId="34" xfId="0" applyBorder="1" applyAlignment="1">
      <alignment vertical="center"/>
    </xf>
    <xf numFmtId="2" fontId="0" fillId="0" borderId="15" xfId="0" applyNumberForma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6" fillId="0" borderId="0" xfId="0" quotePrefix="1" applyFont="1"/>
    <xf numFmtId="0" fontId="85" fillId="7" borderId="1" xfId="4" applyFont="1" applyFill="1" applyBorder="1" applyAlignment="1">
      <alignment vertical="center"/>
    </xf>
    <xf numFmtId="0" fontId="86" fillId="0" borderId="1" xfId="0" applyFont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6" fillId="7" borderId="1" xfId="4" applyFill="1" applyBorder="1" applyAlignment="1">
      <alignment vertical="center"/>
    </xf>
    <xf numFmtId="0" fontId="87" fillId="3" borderId="15" xfId="0" applyFont="1" applyFill="1" applyBorder="1" applyProtection="1">
      <protection locked="0"/>
    </xf>
    <xf numFmtId="2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41" fillId="7" borderId="21" xfId="4" applyFont="1" applyFill="1" applyBorder="1" applyAlignment="1">
      <alignment vertical="center"/>
    </xf>
    <xf numFmtId="0" fontId="29" fillId="0" borderId="0" xfId="0" applyFont="1"/>
    <xf numFmtId="0" fontId="96" fillId="0" borderId="0" xfId="0" applyFont="1"/>
    <xf numFmtId="0" fontId="3" fillId="3" borderId="8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67" fillId="3" borderId="12" xfId="0" applyFont="1" applyFill="1" applyBorder="1" applyAlignment="1">
      <alignment vertical="center"/>
    </xf>
    <xf numFmtId="0" fontId="3" fillId="0" borderId="12" xfId="0" applyFont="1" applyBorder="1"/>
    <xf numFmtId="0" fontId="3" fillId="0" borderId="4" xfId="0" applyFont="1" applyBorder="1"/>
    <xf numFmtId="0" fontId="7" fillId="0" borderId="0" xfId="0" applyFont="1" applyAlignment="1">
      <alignment horizontal="center"/>
    </xf>
    <xf numFmtId="0" fontId="76" fillId="3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3" fillId="6" borderId="1" xfId="0" applyFont="1" applyFill="1" applyBorder="1"/>
    <xf numFmtId="0" fontId="6" fillId="4" borderId="0" xfId="0" applyFont="1" applyFill="1"/>
    <xf numFmtId="0" fontId="97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0" fillId="5" borderId="1" xfId="0" applyFont="1" applyFill="1" applyBorder="1" applyAlignment="1" applyProtection="1">
      <alignment vertical="center" wrapText="1"/>
      <protection locked="0"/>
    </xf>
    <xf numFmtId="0" fontId="60" fillId="5" borderId="1" xfId="0" applyFont="1" applyFill="1" applyBorder="1" applyAlignment="1" applyProtection="1">
      <alignment vertical="center"/>
      <protection locked="0"/>
    </xf>
    <xf numFmtId="0" fontId="60" fillId="6" borderId="1" xfId="0" applyFont="1" applyFill="1" applyBorder="1" applyAlignment="1" applyProtection="1">
      <alignment vertical="center"/>
      <protection locked="0"/>
    </xf>
    <xf numFmtId="0" fontId="97" fillId="0" borderId="1" xfId="0" applyFont="1" applyBorder="1"/>
    <xf numFmtId="0" fontId="27" fillId="3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wrapText="1"/>
    </xf>
    <xf numFmtId="0" fontId="0" fillId="3" borderId="0" xfId="0" applyFill="1"/>
    <xf numFmtId="0" fontId="98" fillId="3" borderId="0" xfId="0" applyFont="1" applyFill="1"/>
    <xf numFmtId="0" fontId="97" fillId="3" borderId="30" xfId="0" applyFont="1" applyFill="1" applyBorder="1"/>
    <xf numFmtId="0" fontId="6" fillId="3" borderId="35" xfId="0" applyFont="1" applyFill="1" applyBorder="1"/>
    <xf numFmtId="0" fontId="6" fillId="5" borderId="35" xfId="0" applyFont="1" applyFill="1" applyBorder="1"/>
    <xf numFmtId="181" fontId="6" fillId="5" borderId="35" xfId="0" applyNumberFormat="1" applyFont="1" applyFill="1" applyBorder="1" applyAlignment="1">
      <alignment horizontal="center"/>
    </xf>
    <xf numFmtId="0" fontId="0" fillId="5" borderId="35" xfId="0" applyFill="1" applyBorder="1"/>
    <xf numFmtId="0" fontId="6" fillId="5" borderId="36" xfId="0" applyFont="1" applyFill="1" applyBorder="1" applyAlignment="1">
      <alignment horizontal="left"/>
    </xf>
    <xf numFmtId="0" fontId="99" fillId="3" borderId="37" xfId="0" applyFont="1" applyFill="1" applyBorder="1" applyAlignment="1">
      <alignment horizontal="left"/>
    </xf>
    <xf numFmtId="0" fontId="6" fillId="3" borderId="38" xfId="0" applyFont="1" applyFill="1" applyBorder="1"/>
    <xf numFmtId="0" fontId="6" fillId="5" borderId="38" xfId="0" applyFont="1" applyFill="1" applyBorder="1" applyAlignment="1">
      <alignment horizontal="left"/>
    </xf>
    <xf numFmtId="0" fontId="0" fillId="5" borderId="38" xfId="0" applyFill="1" applyBorder="1"/>
    <xf numFmtId="0" fontId="0" fillId="5" borderId="39" xfId="0" applyFill="1" applyBorder="1"/>
    <xf numFmtId="0" fontId="97" fillId="3" borderId="30" xfId="0" applyFont="1" applyFill="1" applyBorder="1" applyAlignment="1">
      <alignment vertical="center"/>
    </xf>
    <xf numFmtId="0" fontId="0" fillId="3" borderId="35" xfId="0" applyFill="1" applyBorder="1"/>
    <xf numFmtId="0" fontId="99" fillId="3" borderId="31" xfId="0" applyFont="1" applyFill="1" applyBorder="1"/>
    <xf numFmtId="0" fontId="0" fillId="5" borderId="0" xfId="0" applyFill="1"/>
    <xf numFmtId="0" fontId="6" fillId="5" borderId="40" xfId="0" applyFont="1" applyFill="1" applyBorder="1" applyAlignment="1">
      <alignment horizontal="left"/>
    </xf>
    <xf numFmtId="0" fontId="99" fillId="3" borderId="37" xfId="0" applyFont="1" applyFill="1" applyBorder="1"/>
    <xf numFmtId="0" fontId="0" fillId="3" borderId="38" xfId="0" applyFill="1" applyBorder="1"/>
    <xf numFmtId="0" fontId="6" fillId="5" borderId="39" xfId="0" applyFont="1" applyFill="1" applyBorder="1" applyAlignment="1">
      <alignment horizontal="left"/>
    </xf>
    <xf numFmtId="0" fontId="76" fillId="3" borderId="30" xfId="0" applyFont="1" applyFill="1" applyBorder="1" applyAlignment="1">
      <alignment vertical="center"/>
    </xf>
    <xf numFmtId="0" fontId="0" fillId="0" borderId="35" xfId="0" applyBorder="1"/>
    <xf numFmtId="0" fontId="6" fillId="6" borderId="35" xfId="0" applyFont="1" applyFill="1" applyBorder="1"/>
    <xf numFmtId="181" fontId="6" fillId="6" borderId="35" xfId="0" applyNumberFormat="1" applyFont="1" applyFill="1" applyBorder="1" applyAlignment="1">
      <alignment horizontal="center"/>
    </xf>
    <xf numFmtId="0" fontId="0" fillId="6" borderId="35" xfId="0" applyFill="1" applyBorder="1"/>
    <xf numFmtId="0" fontId="6" fillId="6" borderId="36" xfId="0" applyFont="1" applyFill="1" applyBorder="1" applyAlignment="1">
      <alignment horizontal="left"/>
    </xf>
    <xf numFmtId="0" fontId="0" fillId="0" borderId="31" xfId="0" applyBorder="1"/>
    <xf numFmtId="0" fontId="0" fillId="6" borderId="0" xfId="0" applyFill="1"/>
    <xf numFmtId="0" fontId="6" fillId="6" borderId="40" xfId="0" applyFont="1" applyFill="1" applyBorder="1" applyAlignment="1">
      <alignment horizontal="left"/>
    </xf>
    <xf numFmtId="0" fontId="0" fillId="0" borderId="37" xfId="0" applyBorder="1"/>
    <xf numFmtId="0" fontId="0" fillId="0" borderId="38" xfId="0" applyBorder="1"/>
    <xf numFmtId="0" fontId="0" fillId="6" borderId="38" xfId="0" applyFill="1" applyBorder="1"/>
    <xf numFmtId="0" fontId="6" fillId="6" borderId="39" xfId="0" applyFont="1" applyFill="1" applyBorder="1" applyAlignment="1">
      <alignment horizontal="left"/>
    </xf>
    <xf numFmtId="0" fontId="6" fillId="5" borderId="0" xfId="0" applyFont="1" applyFill="1"/>
    <xf numFmtId="0" fontId="0" fillId="0" borderId="39" xfId="0" applyBorder="1"/>
    <xf numFmtId="0" fontId="99" fillId="3" borderId="31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0" fillId="5" borderId="40" xfId="0" applyFill="1" applyBorder="1"/>
    <xf numFmtId="0" fontId="7" fillId="0" borderId="41" xfId="0" applyFont="1" applyBorder="1"/>
    <xf numFmtId="0" fontId="0" fillId="0" borderId="42" xfId="0" applyBorder="1"/>
    <xf numFmtId="0" fontId="0" fillId="0" borderId="43" xfId="0" applyBorder="1"/>
    <xf numFmtId="0" fontId="7" fillId="0" borderId="44" xfId="0" applyFont="1" applyBorder="1" applyAlignment="1">
      <alignment horizontal="center"/>
    </xf>
    <xf numFmtId="0" fontId="0" fillId="3" borderId="42" xfId="0" applyFill="1" applyBorder="1"/>
    <xf numFmtId="182" fontId="6" fillId="5" borderId="42" xfId="0" applyNumberFormat="1" applyFont="1" applyFill="1" applyBorder="1" applyAlignment="1">
      <alignment horizontal="center"/>
    </xf>
    <xf numFmtId="181" fontId="6" fillId="5" borderId="45" xfId="0" applyNumberFormat="1" applyFont="1" applyFill="1" applyBorder="1" applyAlignment="1">
      <alignment horizontal="center"/>
    </xf>
    <xf numFmtId="0" fontId="100" fillId="0" borderId="0" xfId="0" applyFont="1"/>
    <xf numFmtId="0" fontId="10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0" fillId="2" borderId="0" xfId="0" applyFont="1" applyFill="1" applyAlignment="1">
      <alignment vertical="center"/>
    </xf>
    <xf numFmtId="0" fontId="6" fillId="0" borderId="1" xfId="0" applyFont="1" applyBorder="1" applyAlignment="1">
      <alignment horizontal="left"/>
    </xf>
    <xf numFmtId="0" fontId="10" fillId="3" borderId="1" xfId="0" applyFont="1" applyFill="1" applyBorder="1" applyAlignment="1">
      <alignment vertical="center"/>
    </xf>
    <xf numFmtId="0" fontId="0" fillId="0" borderId="15" xfId="0" applyBorder="1"/>
    <xf numFmtId="0" fontId="0" fillId="0" borderId="13" xfId="0" applyBorder="1"/>
    <xf numFmtId="0" fontId="10" fillId="3" borderId="13" xfId="0" applyFont="1" applyFill="1" applyBorder="1" applyAlignment="1">
      <alignment horizontal="center" vertical="center"/>
    </xf>
    <xf numFmtId="0" fontId="101" fillId="0" borderId="0" xfId="0" applyFont="1"/>
    <xf numFmtId="0" fontId="1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/>
      <protection hidden="1"/>
    </xf>
    <xf numFmtId="0" fontId="10" fillId="3" borderId="8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 applyProtection="1">
      <alignment horizontal="left"/>
      <protection hidden="1"/>
    </xf>
    <xf numFmtId="0" fontId="2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/>
    </xf>
    <xf numFmtId="0" fontId="27" fillId="3" borderId="46" xfId="0" applyFont="1" applyFill="1" applyBorder="1" applyAlignment="1">
      <alignment horizontal="center" vertical="center"/>
    </xf>
    <xf numFmtId="0" fontId="0" fillId="0" borderId="45" xfId="0" applyBorder="1"/>
    <xf numFmtId="182" fontId="7" fillId="0" borderId="42" xfId="0" applyNumberFormat="1" applyFont="1" applyBorder="1"/>
    <xf numFmtId="183" fontId="7" fillId="0" borderId="45" xfId="0" applyNumberFormat="1" applyFont="1" applyBorder="1"/>
    <xf numFmtId="0" fontId="3" fillId="3" borderId="0" xfId="0" applyFont="1" applyFill="1" applyAlignment="1">
      <alignment vertical="center"/>
    </xf>
    <xf numFmtId="0" fontId="44" fillId="3" borderId="0" xfId="0" applyFont="1" applyFill="1" applyAlignment="1">
      <alignment vertical="center"/>
    </xf>
    <xf numFmtId="0" fontId="10" fillId="3" borderId="1" xfId="0" quotePrefix="1" applyFont="1" applyFill="1" applyBorder="1" applyAlignment="1">
      <alignment horizontal="center" vertical="center"/>
    </xf>
    <xf numFmtId="0" fontId="62" fillId="3" borderId="0" xfId="0" applyFont="1" applyFill="1" applyAlignment="1" applyProtection="1">
      <alignment vertical="center"/>
    </xf>
    <xf numFmtId="0" fontId="27" fillId="2" borderId="0" xfId="0" applyFont="1" applyFill="1" applyBorder="1" applyAlignment="1" applyProtection="1">
      <alignment horizontal="left" vertical="center"/>
      <protection locked="0"/>
    </xf>
    <xf numFmtId="0" fontId="27" fillId="2" borderId="0" xfId="0" applyFont="1" applyFill="1" applyBorder="1" applyAlignment="1" applyProtection="1">
      <alignment horizontal="center" vertical="center"/>
      <protection locked="0"/>
    </xf>
    <xf numFmtId="0" fontId="45" fillId="0" borderId="0" xfId="0" applyFont="1" applyAlignment="1" applyProtection="1">
      <alignment horizontal="right" vertical="center"/>
      <protection locked="0"/>
    </xf>
    <xf numFmtId="0" fontId="10" fillId="3" borderId="0" xfId="0" applyFont="1" applyFill="1" applyBorder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left"/>
      <protection locked="0"/>
    </xf>
    <xf numFmtId="0" fontId="43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Border="1" applyAlignment="1" applyProtection="1">
      <alignment vertical="center"/>
      <protection locked="0"/>
    </xf>
    <xf numFmtId="0" fontId="45" fillId="2" borderId="0" xfId="0" applyFont="1" applyFill="1" applyAlignment="1" applyProtection="1">
      <alignment horizontal="right" vertical="center"/>
      <protection locked="0"/>
    </xf>
    <xf numFmtId="0" fontId="64" fillId="2" borderId="0" xfId="0" applyFont="1" applyFill="1" applyBorder="1" applyAlignment="1" applyProtection="1">
      <alignment horizontal="center"/>
      <protection locked="0"/>
    </xf>
    <xf numFmtId="2" fontId="57" fillId="2" borderId="0" xfId="0" applyNumberFormat="1" applyFont="1" applyFill="1" applyBorder="1" applyAlignment="1" applyProtection="1">
      <alignment horizontal="center"/>
      <protection locked="0"/>
    </xf>
    <xf numFmtId="0" fontId="57" fillId="0" borderId="0" xfId="0" applyFont="1" applyProtection="1">
      <protection locked="0"/>
    </xf>
    <xf numFmtId="0" fontId="60" fillId="3" borderId="0" xfId="0" applyFont="1" applyFill="1" applyBorder="1" applyAlignment="1" applyProtection="1">
      <alignment vertical="center"/>
      <protection locked="0"/>
    </xf>
    <xf numFmtId="0" fontId="64" fillId="2" borderId="0" xfId="0" applyFont="1" applyFill="1" applyAlignment="1" applyProtection="1">
      <alignment horizontal="left"/>
      <protection locked="0"/>
    </xf>
    <xf numFmtId="0" fontId="57" fillId="2" borderId="0" xfId="0" applyFont="1" applyFill="1" applyProtection="1">
      <protection locked="0"/>
    </xf>
    <xf numFmtId="0" fontId="71" fillId="2" borderId="0" xfId="0" applyFont="1" applyFill="1" applyProtection="1">
      <protection locked="0"/>
    </xf>
    <xf numFmtId="0" fontId="64" fillId="2" borderId="0" xfId="0" applyFont="1" applyFill="1" applyProtection="1">
      <protection locked="0"/>
    </xf>
    <xf numFmtId="0" fontId="64" fillId="2" borderId="0" xfId="0" applyFont="1" applyFill="1" applyBorder="1" applyProtection="1">
      <protection locked="0"/>
    </xf>
    <xf numFmtId="0" fontId="57" fillId="2" borderId="0" xfId="0" applyFont="1" applyFill="1" applyAlignment="1" applyProtection="1">
      <protection locked="0"/>
    </xf>
    <xf numFmtId="0" fontId="60" fillId="3" borderId="0" xfId="0" applyFont="1" applyFill="1" applyBorder="1" applyAlignment="1" applyProtection="1">
      <alignment horizontal="center" vertical="center"/>
      <protection locked="0"/>
    </xf>
    <xf numFmtId="0" fontId="63" fillId="3" borderId="0" xfId="1" applyFont="1" applyFill="1" applyAlignment="1" applyProtection="1">
      <alignment vertical="center"/>
      <protection locked="0"/>
    </xf>
    <xf numFmtId="0" fontId="60" fillId="3" borderId="0" xfId="1" applyFont="1" applyFill="1" applyAlignment="1" applyProtection="1">
      <alignment vertical="center"/>
      <protection locked="0"/>
    </xf>
    <xf numFmtId="1" fontId="57" fillId="3" borderId="1" xfId="0" applyNumberFormat="1" applyFont="1" applyFill="1" applyBorder="1" applyAlignment="1" applyProtection="1">
      <alignment horizontal="center"/>
    </xf>
    <xf numFmtId="1" fontId="3" fillId="3" borderId="1" xfId="0" applyNumberFormat="1" applyFont="1" applyFill="1" applyBorder="1" applyAlignment="1" applyProtection="1">
      <alignment horizontal="center"/>
    </xf>
    <xf numFmtId="1" fontId="57" fillId="2" borderId="1" xfId="0" applyNumberFormat="1" applyFont="1" applyFill="1" applyBorder="1" applyAlignment="1" applyProtection="1">
      <alignment horizontal="center"/>
    </xf>
    <xf numFmtId="0" fontId="57" fillId="3" borderId="12" xfId="0" applyFont="1" applyFill="1" applyBorder="1" applyAlignment="1" applyProtection="1">
      <alignment vertical="center"/>
    </xf>
    <xf numFmtId="0" fontId="7" fillId="0" borderId="12" xfId="0" applyFont="1" applyBorder="1" applyAlignment="1" applyProtection="1">
      <alignment horizontal="center" vertical="center"/>
    </xf>
    <xf numFmtId="0" fontId="6" fillId="0" borderId="12" xfId="4" applyNumberFormat="1" applyBorder="1" applyAlignment="1" applyProtection="1">
      <alignment horizontal="center" vertical="center"/>
    </xf>
    <xf numFmtId="184" fontId="2" fillId="0" borderId="1" xfId="2" applyNumberFormat="1" applyFont="1" applyFill="1" applyBorder="1" applyAlignment="1" applyProtection="1">
      <alignment horizontal="center" vertical="center"/>
    </xf>
    <xf numFmtId="185" fontId="6" fillId="0" borderId="1" xfId="0" applyNumberFormat="1" applyFont="1" applyBorder="1" applyAlignment="1">
      <alignment horizontal="center" vertical="center"/>
    </xf>
    <xf numFmtId="185" fontId="29" fillId="0" borderId="1" xfId="0" applyNumberFormat="1" applyFont="1" applyBorder="1" applyAlignment="1">
      <alignment horizontal="center" vertical="center"/>
    </xf>
    <xf numFmtId="0" fontId="62" fillId="3" borderId="0" xfId="0" applyFont="1" applyFill="1" applyAlignment="1" applyProtection="1">
      <alignment horizontal="center" vertical="center"/>
    </xf>
    <xf numFmtId="0" fontId="60" fillId="3" borderId="12" xfId="4" applyNumberFormat="1" applyFont="1" applyFill="1" applyBorder="1" applyAlignment="1" applyProtection="1">
      <alignment horizontal="left" vertical="center"/>
    </xf>
    <xf numFmtId="0" fontId="60" fillId="3" borderId="8" xfId="4" applyNumberFormat="1" applyFont="1" applyFill="1" applyBorder="1" applyAlignment="1" applyProtection="1">
      <alignment horizontal="left" vertical="center"/>
    </xf>
    <xf numFmtId="164" fontId="57" fillId="3" borderId="1" xfId="0" applyNumberFormat="1" applyFont="1" applyFill="1" applyBorder="1" applyAlignment="1" applyProtection="1">
      <alignment horizontal="center" vertical="center"/>
    </xf>
    <xf numFmtId="0" fontId="58" fillId="3" borderId="1" xfId="0" applyNumberFormat="1" applyFont="1" applyFill="1" applyBorder="1" applyAlignment="1" applyProtection="1">
      <alignment horizontal="center" vertical="center"/>
    </xf>
    <xf numFmtId="0" fontId="60" fillId="3" borderId="1" xfId="0" applyNumberFormat="1" applyFont="1" applyFill="1" applyBorder="1" applyAlignment="1" applyProtection="1">
      <alignment horizontal="center" vertical="center"/>
    </xf>
    <xf numFmtId="0" fontId="29" fillId="3" borderId="0" xfId="0" applyFont="1" applyFill="1" applyBorder="1" applyAlignment="1" applyProtection="1">
      <alignment horizontal="center" vertical="center" wrapText="1"/>
    </xf>
    <xf numFmtId="0" fontId="60" fillId="3" borderId="0" xfId="0" applyFont="1" applyFill="1" applyAlignment="1" applyProtection="1">
      <alignment horizontal="left" vertical="center"/>
    </xf>
    <xf numFmtId="0" fontId="57" fillId="3" borderId="3" xfId="0" applyFont="1" applyFill="1" applyBorder="1" applyAlignment="1" applyProtection="1">
      <alignment horizontal="center" vertical="center"/>
    </xf>
    <xf numFmtId="0" fontId="60" fillId="3" borderId="0" xfId="0" applyNumberFormat="1" applyFont="1" applyFill="1" applyBorder="1" applyAlignment="1">
      <alignment horizontal="center" vertical="center"/>
    </xf>
    <xf numFmtId="0" fontId="63" fillId="3" borderId="0" xfId="0" applyNumberFormat="1" applyFont="1" applyFill="1" applyBorder="1" applyAlignment="1">
      <alignment horizontal="center" vertical="center"/>
    </xf>
    <xf numFmtId="0" fontId="60" fillId="3" borderId="4" xfId="0" applyNumberFormat="1" applyFont="1" applyFill="1" applyBorder="1" applyAlignment="1" applyProtection="1">
      <alignment horizontal="left" vertical="center"/>
    </xf>
    <xf numFmtId="0" fontId="60" fillId="3" borderId="5" xfId="0" applyNumberFormat="1" applyFont="1" applyFill="1" applyBorder="1" applyAlignment="1" applyProtection="1">
      <alignment horizontal="center"/>
    </xf>
    <xf numFmtId="0" fontId="60" fillId="3" borderId="10" xfId="0" applyNumberFormat="1" applyFont="1" applyFill="1" applyBorder="1" applyAlignment="1" applyProtection="1">
      <alignment horizontal="center"/>
    </xf>
    <xf numFmtId="0" fontId="60" fillId="3" borderId="7" xfId="0" applyNumberFormat="1" applyFont="1" applyFill="1" applyBorder="1" applyAlignment="1" applyProtection="1">
      <alignment horizontal="center"/>
    </xf>
    <xf numFmtId="0" fontId="57" fillId="3" borderId="0" xfId="0" applyFont="1" applyFill="1" applyBorder="1" applyAlignment="1" applyProtection="1">
      <alignment horizontal="center" vertical="center" wrapText="1"/>
    </xf>
    <xf numFmtId="0" fontId="60" fillId="3" borderId="1" xfId="0" applyFont="1" applyFill="1" applyBorder="1" applyAlignment="1" applyProtection="1">
      <alignment horizontal="center" vertical="center" wrapText="1"/>
    </xf>
    <xf numFmtId="0" fontId="57" fillId="3" borderId="1" xfId="0" applyFont="1" applyFill="1" applyBorder="1" applyAlignment="1" applyProtection="1">
      <alignment horizontal="center" vertical="center"/>
    </xf>
    <xf numFmtId="0" fontId="84" fillId="3" borderId="1" xfId="0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0" fillId="3" borderId="13" xfId="0" applyFont="1" applyFill="1" applyBorder="1" applyAlignment="1" applyProtection="1">
      <alignment horizontal="center" vertical="center" wrapText="1"/>
    </xf>
    <xf numFmtId="0" fontId="10" fillId="3" borderId="15" xfId="0" applyFont="1" applyFill="1" applyBorder="1" applyAlignment="1" applyProtection="1">
      <alignment horizontal="center" vertical="center" wrapText="1"/>
    </xf>
    <xf numFmtId="167" fontId="3" fillId="3" borderId="1" xfId="0" applyNumberFormat="1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10" xfId="0" applyFont="1" applyFill="1" applyBorder="1" applyAlignment="1" applyProtection="1">
      <alignment horizontal="center" vertical="center"/>
    </xf>
    <xf numFmtId="0" fontId="10" fillId="3" borderId="13" xfId="0" applyFont="1" applyFill="1" applyBorder="1" applyAlignment="1" applyProtection="1">
      <alignment horizontal="left" vertical="center"/>
    </xf>
    <xf numFmtId="0" fontId="10" fillId="3" borderId="1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1" fontId="38" fillId="3" borderId="19" xfId="0" applyNumberFormat="1" applyFont="1" applyFill="1" applyBorder="1" applyAlignment="1" applyProtection="1">
      <alignment horizontal="left" wrapText="1"/>
    </xf>
    <xf numFmtId="1" fontId="38" fillId="3" borderId="20" xfId="0" applyNumberFormat="1" applyFont="1" applyFill="1" applyBorder="1" applyAlignment="1" applyProtection="1">
      <alignment horizontal="left" wrapText="1"/>
    </xf>
    <xf numFmtId="1" fontId="38" fillId="3" borderId="18" xfId="0" applyNumberFormat="1" applyFont="1" applyFill="1" applyBorder="1" applyAlignment="1" applyProtection="1">
      <alignment horizontal="left" wrapText="1"/>
    </xf>
    <xf numFmtId="0" fontId="27" fillId="2" borderId="0" xfId="0" applyFont="1" applyFill="1" applyAlignment="1" applyProtection="1">
      <alignment horizontal="left" vertical="center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60" fillId="3" borderId="0" xfId="0" applyFont="1" applyFill="1" applyBorder="1" applyAlignment="1" applyProtection="1">
      <alignment horizontal="center" vertical="center" wrapText="1"/>
    </xf>
    <xf numFmtId="0" fontId="57" fillId="2" borderId="0" xfId="0" applyFont="1" applyFill="1" applyAlignment="1" applyProtection="1">
      <alignment horizontal="left"/>
      <protection locked="0"/>
    </xf>
    <xf numFmtId="0" fontId="64" fillId="2" borderId="0" xfId="0" applyFont="1" applyFill="1" applyBorder="1" applyAlignment="1" applyProtection="1">
      <alignment horizontal="left"/>
      <protection locked="0"/>
    </xf>
    <xf numFmtId="0" fontId="57" fillId="2" borderId="0" xfId="0" applyFont="1" applyFill="1" applyBorder="1" applyAlignment="1" applyProtection="1">
      <alignment horizontal="center"/>
      <protection locked="0"/>
    </xf>
    <xf numFmtId="0" fontId="57" fillId="2" borderId="0" xfId="0" applyFont="1" applyFill="1" applyAlignment="1" applyProtection="1">
      <alignment horizontal="left"/>
    </xf>
    <xf numFmtId="0" fontId="64" fillId="2" borderId="0" xfId="0" applyFont="1" applyFill="1" applyAlignment="1" applyProtection="1">
      <alignment horizontal="left"/>
    </xf>
    <xf numFmtId="0" fontId="57" fillId="3" borderId="12" xfId="0" applyFont="1" applyFill="1" applyBorder="1" applyAlignment="1" applyProtection="1">
      <alignment horizontal="center" vertical="center"/>
    </xf>
    <xf numFmtId="0" fontId="57" fillId="3" borderId="0" xfId="0" applyFont="1" applyFill="1" applyBorder="1" applyAlignment="1" applyProtection="1">
      <alignment horizontal="center" vertical="center"/>
    </xf>
    <xf numFmtId="0" fontId="57" fillId="2" borderId="0" xfId="0" applyFont="1" applyFill="1" applyAlignment="1" applyProtection="1">
      <alignment horizontal="left"/>
    </xf>
    <xf numFmtId="0" fontId="3" fillId="3" borderId="0" xfId="0" quotePrefix="1" applyFont="1" applyFill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164" fontId="3" fillId="3" borderId="0" xfId="0" applyNumberFormat="1" applyFont="1" applyFill="1" applyBorder="1" applyAlignment="1" applyProtection="1">
      <alignment vertical="center"/>
    </xf>
    <xf numFmtId="167" fontId="3" fillId="3" borderId="0" xfId="0" applyNumberFormat="1" applyFont="1" applyFill="1" applyBorder="1" applyAlignment="1" applyProtection="1">
      <alignment vertical="center"/>
    </xf>
    <xf numFmtId="2" fontId="3" fillId="3" borderId="0" xfId="0" applyNumberFormat="1" applyFont="1" applyFill="1" applyBorder="1" applyAlignment="1" applyProtection="1">
      <alignment vertical="center"/>
    </xf>
    <xf numFmtId="2" fontId="3" fillId="3" borderId="0" xfId="0" applyNumberFormat="1" applyFont="1" applyFill="1" applyBorder="1" applyAlignment="1" applyProtection="1">
      <alignment vertical="center"/>
      <protection locked="0"/>
    </xf>
    <xf numFmtId="167" fontId="3" fillId="3" borderId="0" xfId="0" applyNumberFormat="1" applyFont="1" applyFill="1" applyBorder="1" applyAlignment="1" applyProtection="1">
      <alignment vertical="center"/>
      <protection locked="0"/>
    </xf>
    <xf numFmtId="0" fontId="3" fillId="3" borderId="0" xfId="0" applyFont="1" applyFill="1" applyBorder="1" applyAlignment="1" applyProtection="1">
      <alignment horizontal="right" vertical="center"/>
      <protection locked="0"/>
    </xf>
    <xf numFmtId="0" fontId="3" fillId="3" borderId="3" xfId="0" applyFont="1" applyFill="1" applyBorder="1" applyAlignment="1" applyProtection="1">
      <alignment vertical="center"/>
    </xf>
    <xf numFmtId="0" fontId="3" fillId="3" borderId="15" xfId="0" applyFont="1" applyFill="1" applyBorder="1" applyAlignment="1" applyProtection="1">
      <alignment vertical="center"/>
    </xf>
    <xf numFmtId="0" fontId="3" fillId="3" borderId="0" xfId="0" applyFont="1" applyFill="1" applyBorder="1" applyAlignment="1" applyProtection="1">
      <alignment horizontal="center" vertical="center" wrapText="1"/>
    </xf>
    <xf numFmtId="164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vertical="center"/>
    </xf>
    <xf numFmtId="0" fontId="3" fillId="3" borderId="2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 wrapText="1"/>
    </xf>
    <xf numFmtId="175" fontId="3" fillId="3" borderId="0" xfId="0" applyNumberFormat="1" applyFont="1" applyFill="1" applyBorder="1" applyAlignment="1" applyProtection="1">
      <alignment horizontal="center" vertical="center"/>
    </xf>
    <xf numFmtId="167" fontId="3" fillId="3" borderId="0" xfId="0" applyNumberFormat="1" applyFont="1" applyFill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3" borderId="12" xfId="0" applyFont="1" applyFill="1" applyBorder="1" applyAlignment="1" applyProtection="1">
      <alignment vertical="center"/>
      <protection locked="0"/>
    </xf>
    <xf numFmtId="0" fontId="3" fillId="3" borderId="14" xfId="0" applyFont="1" applyFill="1" applyBorder="1" applyAlignment="1" applyProtection="1">
      <alignment vertical="center"/>
      <protection locked="0"/>
    </xf>
    <xf numFmtId="167" fontId="3" fillId="3" borderId="1" xfId="4" applyNumberFormat="1" applyFont="1" applyFill="1" applyBorder="1" applyAlignment="1" applyProtection="1">
      <alignment horizontal="center"/>
    </xf>
    <xf numFmtId="171" fontId="3" fillId="3" borderId="12" xfId="0" applyNumberFormat="1" applyFont="1" applyFill="1" applyBorder="1" applyAlignment="1" applyProtection="1">
      <alignment horizontal="center" vertical="center"/>
      <protection locked="0"/>
    </xf>
    <xf numFmtId="1" fontId="3" fillId="3" borderId="0" xfId="0" applyNumberFormat="1" applyFont="1" applyFill="1" applyAlignment="1" applyProtection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3" fillId="3" borderId="9" xfId="0" applyFont="1" applyFill="1" applyBorder="1" applyAlignment="1" applyProtection="1">
      <alignment vertical="center"/>
      <protection locked="0"/>
    </xf>
    <xf numFmtId="164" fontId="3" fillId="3" borderId="1" xfId="0" applyNumberFormat="1" applyFont="1" applyFill="1" applyBorder="1" applyAlignment="1" applyProtection="1">
      <alignment horizontal="center" vertical="center"/>
    </xf>
    <xf numFmtId="164" fontId="3" fillId="3" borderId="1" xfId="4" applyNumberFormat="1" applyFont="1" applyFill="1" applyBorder="1" applyAlignment="1" applyProtection="1">
      <alignment horizontal="center"/>
    </xf>
    <xf numFmtId="171" fontId="3" fillId="3" borderId="0" xfId="0" applyNumberFormat="1" applyFont="1" applyFill="1" applyBorder="1" applyAlignment="1" applyProtection="1">
      <alignment horizontal="center" vertical="center"/>
      <protection locked="0"/>
    </xf>
    <xf numFmtId="167" fontId="3" fillId="3" borderId="3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3" borderId="12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3" borderId="14" xfId="0" applyFont="1" applyFill="1" applyBorder="1" applyAlignment="1" applyProtection="1">
      <alignment vertical="center"/>
    </xf>
    <xf numFmtId="164" fontId="3" fillId="3" borderId="4" xfId="0" applyNumberFormat="1" applyFont="1" applyFill="1" applyBorder="1" applyAlignment="1" applyProtection="1">
      <alignment vertical="center"/>
    </xf>
    <xf numFmtId="0" fontId="3" fillId="3" borderId="9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3" fillId="2" borderId="11" xfId="0" applyFont="1" applyFill="1" applyBorder="1" applyAlignment="1" applyProtection="1">
      <alignment vertical="center"/>
    </xf>
    <xf numFmtId="2" fontId="3" fillId="2" borderId="0" xfId="0" applyNumberFormat="1" applyFont="1" applyFill="1" applyBorder="1" applyAlignment="1" applyProtection="1">
      <alignment horizontal="center" vertical="center"/>
    </xf>
    <xf numFmtId="2" fontId="3" fillId="2" borderId="11" xfId="0" applyNumberFormat="1" applyFont="1" applyFill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2" fontId="3" fillId="2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 applyProtection="1">
      <alignment horizontal="left" vertical="center"/>
      <protection locked="0"/>
    </xf>
    <xf numFmtId="2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 wrapText="1"/>
    </xf>
    <xf numFmtId="0" fontId="3" fillId="2" borderId="0" xfId="0" applyFont="1" applyFill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15" xfId="0" applyFont="1" applyBorder="1" applyAlignment="1" applyProtection="1">
      <alignment vertical="center"/>
    </xf>
    <xf numFmtId="14" fontId="3" fillId="0" borderId="1" xfId="2" applyNumberFormat="1" applyFont="1" applyFill="1" applyBorder="1" applyAlignment="1" applyProtection="1">
      <alignment vertical="center"/>
    </xf>
    <xf numFmtId="0" fontId="3" fillId="0" borderId="3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164" fontId="3" fillId="0" borderId="0" xfId="0" applyNumberFormat="1" applyFont="1" applyAlignment="1" applyProtection="1">
      <alignment vertical="center"/>
    </xf>
    <xf numFmtId="0" fontId="3" fillId="0" borderId="0" xfId="0" applyFont="1" applyProtection="1"/>
    <xf numFmtId="0" fontId="3" fillId="0" borderId="0" xfId="0" applyFont="1" applyFill="1" applyProtection="1"/>
    <xf numFmtId="0" fontId="3" fillId="2" borderId="0" xfId="0" applyFont="1" applyFill="1" applyAlignment="1" applyProtection="1">
      <alignment horizontal="left"/>
    </xf>
    <xf numFmtId="0" fontId="3" fillId="3" borderId="0" xfId="0" applyFont="1" applyFill="1" applyProtection="1"/>
    <xf numFmtId="0" fontId="3" fillId="2" borderId="0" xfId="0" applyFont="1" applyFill="1" applyAlignment="1" applyProtection="1"/>
    <xf numFmtId="164" fontId="3" fillId="3" borderId="0" xfId="0" applyNumberFormat="1" applyFont="1" applyFill="1" applyBorder="1" applyAlignment="1" applyProtection="1">
      <alignment horizontal="left" vertical="center" wrapText="1"/>
    </xf>
    <xf numFmtId="164" fontId="3" fillId="3" borderId="0" xfId="0" applyNumberFormat="1" applyFont="1" applyFill="1" applyBorder="1" applyAlignment="1" applyProtection="1">
      <alignment horizontal="right" vertical="center"/>
    </xf>
    <xf numFmtId="0" fontId="3" fillId="2" borderId="0" xfId="0" applyFont="1" applyFill="1" applyBorder="1" applyAlignment="1" applyProtection="1"/>
    <xf numFmtId="0" fontId="3" fillId="2" borderId="11" xfId="0" applyFont="1" applyFill="1" applyBorder="1" applyAlignment="1" applyProtection="1"/>
    <xf numFmtId="2" fontId="3" fillId="2" borderId="11" xfId="0" applyNumberFormat="1" applyFont="1" applyFill="1" applyBorder="1" applyAlignment="1" applyProtection="1">
      <alignment horizontal="center"/>
    </xf>
    <xf numFmtId="0" fontId="3" fillId="0" borderId="11" xfId="0" applyFont="1" applyBorder="1" applyProtection="1"/>
    <xf numFmtId="2" fontId="3" fillId="2" borderId="0" xfId="0" applyNumberFormat="1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>
      <protection locked="0"/>
    </xf>
    <xf numFmtId="0" fontId="3" fillId="3" borderId="0" xfId="0" applyFont="1" applyFill="1" applyProtection="1">
      <protection locked="0"/>
    </xf>
    <xf numFmtId="0" fontId="3" fillId="2" borderId="0" xfId="0" applyFont="1" applyFill="1" applyAlignment="1" applyProtection="1">
      <alignment vertical="top" wrapText="1"/>
    </xf>
    <xf numFmtId="0" fontId="3" fillId="0" borderId="0" xfId="0" applyFont="1" applyAlignment="1" applyProtection="1"/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Protection="1"/>
    <xf numFmtId="164" fontId="3" fillId="0" borderId="0" xfId="0" applyNumberFormat="1" applyFont="1" applyProtection="1"/>
    <xf numFmtId="164" fontId="20" fillId="5" borderId="1" xfId="3" applyNumberFormat="1" applyFont="1" applyFill="1" applyBorder="1" applyAlignment="1">
      <alignment horizontal="center" vertical="center" wrapText="1"/>
    </xf>
    <xf numFmtId="164" fontId="20" fillId="0" borderId="1" xfId="3" applyNumberFormat="1" applyFont="1" applyBorder="1" applyAlignment="1">
      <alignment horizontal="right" vertical="center"/>
    </xf>
    <xf numFmtId="0" fontId="21" fillId="6" borderId="0" xfId="0" applyFont="1" applyFill="1"/>
    <xf numFmtId="164" fontId="21" fillId="5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right"/>
    </xf>
    <xf numFmtId="164" fontId="21" fillId="0" borderId="1" xfId="0" applyNumberFormat="1" applyFont="1" applyBorder="1" applyAlignment="1">
      <alignment horizontal="right"/>
    </xf>
    <xf numFmtId="0" fontId="21" fillId="0" borderId="1" xfId="0" applyFont="1" applyFill="1" applyBorder="1" applyAlignment="1">
      <alignment horizontal="left"/>
    </xf>
    <xf numFmtId="0" fontId="58" fillId="3" borderId="1" xfId="0" applyNumberFormat="1" applyFont="1" applyFill="1" applyBorder="1" applyAlignment="1" applyProtection="1">
      <alignment horizontal="center" vertical="center"/>
    </xf>
    <xf numFmtId="1" fontId="31" fillId="12" borderId="0" xfId="0" applyNumberFormat="1" applyFont="1" applyFill="1" applyProtection="1">
      <protection hidden="1"/>
    </xf>
    <xf numFmtId="1" fontId="0" fillId="12" borderId="0" xfId="0" applyNumberFormat="1" applyFill="1" applyProtection="1">
      <protection hidden="1"/>
    </xf>
    <xf numFmtId="1" fontId="17" fillId="12" borderId="1" xfId="0" applyNumberFormat="1" applyFont="1" applyFill="1" applyBorder="1" applyAlignment="1" applyProtection="1">
      <alignment horizontal="center"/>
      <protection hidden="1"/>
    </xf>
    <xf numFmtId="1" fontId="16" fillId="12" borderId="1" xfId="0" applyNumberFormat="1" applyFont="1" applyFill="1" applyBorder="1" applyAlignment="1" applyProtection="1">
      <alignment horizontal="center"/>
      <protection hidden="1"/>
    </xf>
    <xf numFmtId="1" fontId="51" fillId="12" borderId="1" xfId="0" applyNumberFormat="1" applyFont="1" applyFill="1" applyBorder="1" applyAlignment="1" applyProtection="1">
      <alignment horizontal="center"/>
      <protection hidden="1"/>
    </xf>
    <xf numFmtId="164" fontId="6" fillId="12" borderId="1" xfId="0" applyNumberFormat="1" applyFont="1" applyFill="1" applyBorder="1" applyAlignment="1" applyProtection="1">
      <alignment horizontal="right"/>
      <protection hidden="1"/>
    </xf>
    <xf numFmtId="1" fontId="51" fillId="12" borderId="2" xfId="0" applyNumberFormat="1" applyFont="1" applyFill="1" applyBorder="1" applyAlignment="1" applyProtection="1">
      <alignment vertical="center"/>
      <protection hidden="1"/>
    </xf>
    <xf numFmtId="1" fontId="4" fillId="12" borderId="2" xfId="0" quotePrefix="1" applyNumberFormat="1" applyFont="1" applyFill="1" applyBorder="1" applyAlignment="1" applyProtection="1">
      <alignment horizontal="left" vertical="center"/>
      <protection hidden="1"/>
    </xf>
    <xf numFmtId="1" fontId="4" fillId="12" borderId="0" xfId="0" quotePrefix="1" applyNumberFormat="1" applyFont="1" applyFill="1" applyAlignment="1" applyProtection="1">
      <alignment horizontal="left" vertical="center"/>
      <protection hidden="1"/>
    </xf>
    <xf numFmtId="1" fontId="31" fillId="12" borderId="0" xfId="0" applyNumberFormat="1" applyFont="1" applyFill="1" applyAlignment="1" applyProtection="1">
      <alignment horizontal="center"/>
      <protection hidden="1"/>
    </xf>
    <xf numFmtId="164" fontId="0" fillId="12" borderId="0" xfId="0" applyNumberFormat="1" applyFill="1" applyProtection="1">
      <protection hidden="1"/>
    </xf>
    <xf numFmtId="1" fontId="31" fillId="12" borderId="1" xfId="0" applyNumberFormat="1" applyFont="1" applyFill="1" applyBorder="1" applyAlignment="1" applyProtection="1">
      <alignment horizontal="center"/>
      <protection hidden="1"/>
    </xf>
    <xf numFmtId="164" fontId="0" fillId="12" borderId="1" xfId="0" applyNumberFormat="1" applyFill="1" applyBorder="1" applyProtection="1">
      <protection hidden="1"/>
    </xf>
    <xf numFmtId="164" fontId="0" fillId="12" borderId="13" xfId="0" applyNumberFormat="1" applyFill="1" applyBorder="1" applyProtection="1">
      <protection hidden="1"/>
    </xf>
    <xf numFmtId="1" fontId="31" fillId="12" borderId="11" xfId="0" applyNumberFormat="1" applyFont="1" applyFill="1" applyBorder="1" applyProtection="1">
      <protection hidden="1"/>
    </xf>
    <xf numFmtId="1" fontId="0" fillId="12" borderId="11" xfId="0" applyNumberFormat="1" applyFill="1" applyBorder="1" applyProtection="1">
      <protection hidden="1"/>
    </xf>
    <xf numFmtId="164" fontId="4" fillId="12" borderId="1" xfId="0" applyNumberFormat="1" applyFont="1" applyFill="1" applyBorder="1" applyAlignment="1" applyProtection="1">
      <alignment horizontal="right"/>
      <protection hidden="1"/>
    </xf>
    <xf numFmtId="1" fontId="51" fillId="12" borderId="1" xfId="0" quotePrefix="1" applyNumberFormat="1" applyFont="1" applyFill="1" applyBorder="1" applyAlignment="1" applyProtection="1">
      <alignment horizontal="center"/>
      <protection hidden="1"/>
    </xf>
    <xf numFmtId="1" fontId="4" fillId="12" borderId="1" xfId="0" quotePrefix="1" applyNumberFormat="1" applyFont="1" applyFill="1" applyBorder="1" applyAlignment="1" applyProtection="1">
      <alignment horizontal="center"/>
      <protection hidden="1"/>
    </xf>
    <xf numFmtId="164" fontId="4" fillId="12" borderId="1" xfId="0" quotePrefix="1" applyNumberFormat="1" applyFont="1" applyFill="1" applyBorder="1" applyAlignment="1" applyProtection="1">
      <alignment horizontal="right"/>
      <protection hidden="1"/>
    </xf>
    <xf numFmtId="164" fontId="0" fillId="13" borderId="0" xfId="0" applyNumberFormat="1" applyFill="1" applyProtection="1">
      <protection hidden="1"/>
    </xf>
    <xf numFmtId="1" fontId="0" fillId="13" borderId="0" xfId="0" applyNumberFormat="1" applyFill="1" applyProtection="1">
      <protection hidden="1"/>
    </xf>
    <xf numFmtId="1" fontId="4" fillId="13" borderId="7" xfId="0" applyNumberFormat="1" applyFont="1" applyFill="1" applyBorder="1" applyAlignment="1" applyProtection="1">
      <alignment horizontal="center" vertical="center"/>
      <protection hidden="1"/>
    </xf>
    <xf numFmtId="1" fontId="17" fillId="13" borderId="1" xfId="0" applyNumberFormat="1" applyFont="1" applyFill="1" applyBorder="1" applyAlignment="1" applyProtection="1">
      <alignment horizontal="center"/>
      <protection hidden="1"/>
    </xf>
    <xf numFmtId="1" fontId="16" fillId="13" borderId="1" xfId="0" applyNumberFormat="1" applyFont="1" applyFill="1" applyBorder="1" applyAlignment="1" applyProtection="1">
      <alignment horizontal="center"/>
      <protection hidden="1"/>
    </xf>
    <xf numFmtId="164" fontId="54" fillId="13" borderId="1" xfId="0" applyNumberFormat="1" applyFont="1" applyFill="1" applyBorder="1" applyAlignment="1" applyProtection="1">
      <alignment horizontal="right"/>
      <protection hidden="1"/>
    </xf>
    <xf numFmtId="164" fontId="6" fillId="13" borderId="1" xfId="0" applyNumberFormat="1" applyFont="1" applyFill="1" applyBorder="1" applyAlignment="1" applyProtection="1">
      <alignment horizontal="right"/>
      <protection hidden="1"/>
    </xf>
    <xf numFmtId="164" fontId="6" fillId="13" borderId="15" xfId="0" applyNumberFormat="1" applyFont="1" applyFill="1" applyBorder="1" applyAlignment="1" applyProtection="1">
      <alignment horizontal="right"/>
      <protection hidden="1"/>
    </xf>
    <xf numFmtId="164" fontId="4" fillId="13" borderId="15" xfId="0" applyNumberFormat="1" applyFont="1" applyFill="1" applyBorder="1" applyAlignment="1" applyProtection="1">
      <alignment horizontal="right"/>
      <protection hidden="1"/>
    </xf>
    <xf numFmtId="164" fontId="55" fillId="13" borderId="15" xfId="0" applyNumberFormat="1" applyFont="1" applyFill="1" applyBorder="1" applyAlignment="1" applyProtection="1">
      <alignment horizontal="right"/>
      <protection hidden="1"/>
    </xf>
    <xf numFmtId="1" fontId="4" fillId="13" borderId="1" xfId="0" quotePrefix="1" applyNumberFormat="1" applyFont="1" applyFill="1" applyBorder="1" applyAlignment="1" applyProtection="1">
      <alignment horizontal="center"/>
      <protection hidden="1"/>
    </xf>
    <xf numFmtId="1" fontId="4" fillId="13" borderId="0" xfId="0" quotePrefix="1" applyNumberFormat="1" applyFont="1" applyFill="1" applyAlignment="1" applyProtection="1">
      <alignment horizontal="left" vertical="center"/>
      <protection hidden="1"/>
    </xf>
    <xf numFmtId="2" fontId="6" fillId="0" borderId="1" xfId="0" applyNumberFormat="1" applyFont="1" applyBorder="1" applyAlignment="1" applyProtection="1">
      <alignment horizontal="left"/>
      <protection hidden="1"/>
    </xf>
    <xf numFmtId="0" fontId="29" fillId="0" borderId="1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64" fontId="31" fillId="13" borderId="1" xfId="0" applyNumberFormat="1" applyFont="1" applyFill="1" applyBorder="1" applyAlignment="1" applyProtection="1">
      <alignment horizontal="right"/>
      <protection hidden="1"/>
    </xf>
    <xf numFmtId="167" fontId="3" fillId="3" borderId="1" xfId="0" applyNumberFormat="1" applyFont="1" applyFill="1" applyBorder="1" applyAlignment="1" applyProtection="1">
      <alignment horizontal="center" vertical="center"/>
    </xf>
    <xf numFmtId="1" fontId="8" fillId="12" borderId="1" xfId="0" applyNumberFormat="1" applyFont="1" applyFill="1" applyBorder="1" applyAlignment="1" applyProtection="1">
      <alignment horizontal="center"/>
      <protection hidden="1"/>
    </xf>
    <xf numFmtId="1" fontId="8" fillId="6" borderId="1" xfId="0" applyNumberFormat="1" applyFont="1" applyFill="1" applyBorder="1" applyAlignment="1" applyProtection="1">
      <alignment vertical="center"/>
      <protection hidden="1"/>
    </xf>
    <xf numFmtId="2" fontId="86" fillId="0" borderId="22" xfId="0" applyNumberFormat="1" applyFont="1" applyBorder="1" applyAlignment="1">
      <alignment horizontal="center" vertical="center"/>
    </xf>
    <xf numFmtId="2" fontId="86" fillId="12" borderId="22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 applyProtection="1">
      <alignment horizontal="left"/>
      <protection hidden="1"/>
    </xf>
    <xf numFmtId="0" fontId="29" fillId="3" borderId="34" xfId="0" applyFont="1" applyFill="1" applyBorder="1" applyAlignment="1">
      <alignment vertical="center"/>
    </xf>
    <xf numFmtId="2" fontId="29" fillId="3" borderId="15" xfId="0" applyNumberFormat="1" applyFont="1" applyFill="1" applyBorder="1" applyAlignment="1">
      <alignment horizontal="center" vertical="center"/>
    </xf>
    <xf numFmtId="0" fontId="0" fillId="0" borderId="47" xfId="0" applyBorder="1"/>
    <xf numFmtId="1" fontId="55" fillId="10" borderId="1" xfId="0" applyNumberFormat="1" applyFont="1" applyFill="1" applyBorder="1" applyAlignment="1" applyProtection="1">
      <alignment horizontal="left"/>
      <protection hidden="1"/>
    </xf>
    <xf numFmtId="2" fontId="0" fillId="12" borderId="15" xfId="0" applyNumberFormat="1" applyFill="1" applyBorder="1" applyAlignment="1">
      <alignment horizontal="center" vertical="center"/>
    </xf>
    <xf numFmtId="0" fontId="96" fillId="11" borderId="34" xfId="0" applyFont="1" applyFill="1" applyBorder="1" applyAlignment="1">
      <alignment vertical="center"/>
    </xf>
    <xf numFmtId="2" fontId="96" fillId="11" borderId="15" xfId="0" applyNumberFormat="1" applyFont="1" applyFill="1" applyBorder="1" applyAlignment="1">
      <alignment horizontal="center" vertical="center"/>
    </xf>
    <xf numFmtId="0" fontId="109" fillId="6" borderId="1" xfId="0" applyFont="1" applyFill="1" applyBorder="1" applyAlignment="1">
      <alignment horizontal="center" vertical="center"/>
    </xf>
    <xf numFmtId="0" fontId="110" fillId="3" borderId="15" xfId="0" applyFont="1" applyFill="1" applyBorder="1" applyProtection="1">
      <protection locked="0"/>
    </xf>
    <xf numFmtId="1" fontId="111" fillId="10" borderId="1" xfId="0" applyNumberFormat="1" applyFont="1" applyFill="1" applyBorder="1" applyAlignment="1" applyProtection="1">
      <alignment horizontal="left"/>
      <protection hidden="1"/>
    </xf>
    <xf numFmtId="2" fontId="0" fillId="12" borderId="0" xfId="0" applyNumberFormat="1" applyFill="1"/>
    <xf numFmtId="1" fontId="112" fillId="10" borderId="1" xfId="0" applyNumberFormat="1" applyFont="1" applyFill="1" applyBorder="1" applyAlignment="1" applyProtection="1">
      <alignment horizontal="left"/>
      <protection hidden="1"/>
    </xf>
    <xf numFmtId="0" fontId="88" fillId="6" borderId="1" xfId="0" applyFont="1" applyFill="1" applyBorder="1" applyAlignment="1">
      <alignment horizontal="center" vertical="center"/>
    </xf>
    <xf numFmtId="0" fontId="54" fillId="11" borderId="48" xfId="0" applyFont="1" applyFill="1" applyBorder="1" applyAlignment="1">
      <alignment vertical="center"/>
    </xf>
    <xf numFmtId="2" fontId="54" fillId="11" borderId="1" xfId="0" applyNumberFormat="1" applyFont="1" applyFill="1" applyBorder="1"/>
    <xf numFmtId="0" fontId="0" fillId="6" borderId="1" xfId="0" applyFill="1" applyBorder="1"/>
    <xf numFmtId="0" fontId="0" fillId="0" borderId="1" xfId="0" applyBorder="1"/>
    <xf numFmtId="167" fontId="21" fillId="0" borderId="1" xfId="0" applyNumberFormat="1" applyFont="1" applyBorder="1" applyProtection="1">
      <protection hidden="1"/>
    </xf>
    <xf numFmtId="186" fontId="21" fillId="0" borderId="11" xfId="0" applyNumberFormat="1" applyFont="1" applyBorder="1" applyProtection="1">
      <protection hidden="1"/>
    </xf>
    <xf numFmtId="0" fontId="42" fillId="10" borderId="22" xfId="0" applyFont="1" applyFill="1" applyBorder="1" applyAlignment="1">
      <alignment horizontal="center" vertical="center"/>
    </xf>
    <xf numFmtId="0" fontId="96" fillId="11" borderId="25" xfId="0" applyFont="1" applyFill="1" applyBorder="1" applyAlignment="1">
      <alignment vertical="center"/>
    </xf>
    <xf numFmtId="167" fontId="54" fillId="11" borderId="26" xfId="0" applyNumberFormat="1" applyFont="1" applyFill="1" applyBorder="1" applyAlignment="1">
      <alignment horizontal="center" vertical="center"/>
    </xf>
    <xf numFmtId="0" fontId="88" fillId="10" borderId="22" xfId="0" applyFont="1" applyFill="1" applyBorder="1" applyAlignment="1">
      <alignment horizontal="center" vertical="center"/>
    </xf>
    <xf numFmtId="0" fontId="0" fillId="7" borderId="0" xfId="0" applyFill="1"/>
    <xf numFmtId="0" fontId="0" fillId="10" borderId="0" xfId="0" applyFill="1"/>
    <xf numFmtId="167" fontId="0" fillId="0" borderId="22" xfId="0" applyNumberFormat="1" applyBorder="1" applyAlignment="1">
      <alignment horizontal="center" vertical="center"/>
    </xf>
    <xf numFmtId="167" fontId="0" fillId="0" borderId="27" xfId="0" applyNumberFormat="1" applyBorder="1" applyAlignment="1">
      <alignment horizontal="center" vertical="center"/>
    </xf>
    <xf numFmtId="167" fontId="54" fillId="0" borderId="26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96" fillId="7" borderId="21" xfId="0" applyFont="1" applyFill="1" applyBorder="1" applyAlignment="1">
      <alignment vertical="center"/>
    </xf>
    <xf numFmtId="0" fontId="88" fillId="0" borderId="22" xfId="0" applyFont="1" applyBorder="1" applyAlignment="1">
      <alignment horizontal="center" vertical="center"/>
    </xf>
    <xf numFmtId="0" fontId="88" fillId="10" borderId="1" xfId="0" applyFont="1" applyFill="1" applyBorder="1" applyAlignment="1">
      <alignment horizontal="center" vertical="center"/>
    </xf>
    <xf numFmtId="167" fontId="0" fillId="0" borderId="26" xfId="0" applyNumberFormat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vertical="center"/>
    </xf>
    <xf numFmtId="2" fontId="31" fillId="3" borderId="1" xfId="0" applyNumberFormat="1" applyFont="1" applyFill="1" applyBorder="1" applyAlignment="1">
      <alignment horizontal="center" vertical="center"/>
    </xf>
    <xf numFmtId="0" fontId="109" fillId="10" borderId="1" xfId="0" applyFont="1" applyFill="1" applyBorder="1" applyAlignment="1">
      <alignment horizontal="center" vertical="center"/>
    </xf>
    <xf numFmtId="0" fontId="42" fillId="8" borderId="1" xfId="0" applyFont="1" applyFill="1" applyBorder="1" applyAlignment="1">
      <alignment horizontal="center" vertical="center"/>
    </xf>
    <xf numFmtId="0" fontId="109" fillId="3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 applyProtection="1">
      <alignment horizontal="right"/>
      <protection hidden="1"/>
    </xf>
    <xf numFmtId="0" fontId="41" fillId="7" borderId="1" xfId="4" applyFont="1" applyFill="1" applyBorder="1" applyAlignment="1">
      <alignment vertical="center"/>
    </xf>
    <xf numFmtId="0" fontId="96" fillId="11" borderId="0" xfId="0" applyFont="1" applyFill="1" applyAlignment="1">
      <alignment vertical="center"/>
    </xf>
    <xf numFmtId="167" fontId="96" fillId="11" borderId="0" xfId="0" applyNumberFormat="1" applyFont="1" applyFill="1" applyAlignment="1">
      <alignment horizontal="right" vertical="center"/>
    </xf>
    <xf numFmtId="0" fontId="88" fillId="0" borderId="0" xfId="0" applyFont="1" applyAlignment="1">
      <alignment horizontal="center" vertical="center"/>
    </xf>
    <xf numFmtId="0" fontId="0" fillId="7" borderId="23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4" fillId="0" borderId="5" xfId="0" applyNumberFormat="1" applyFont="1" applyBorder="1" applyAlignment="1" applyProtection="1">
      <alignment horizontal="left"/>
      <protection hidden="1"/>
    </xf>
    <xf numFmtId="0" fontId="0" fillId="7" borderId="1" xfId="0" applyFill="1" applyBorder="1"/>
    <xf numFmtId="164" fontId="0" fillId="0" borderId="1" xfId="0" applyNumberFormat="1" applyBorder="1" applyAlignment="1">
      <alignment horizontal="right" vertical="center"/>
    </xf>
    <xf numFmtId="0" fontId="42" fillId="0" borderId="1" xfId="0" applyFont="1" applyBorder="1" applyAlignment="1">
      <alignment horizontal="center" vertical="center"/>
    </xf>
    <xf numFmtId="0" fontId="96" fillId="0" borderId="1" xfId="0" applyFont="1" applyBorder="1"/>
    <xf numFmtId="1" fontId="4" fillId="0" borderId="10" xfId="0" applyNumberFormat="1" applyFont="1" applyBorder="1" applyAlignment="1" applyProtection="1">
      <alignment horizontal="left"/>
      <protection hidden="1"/>
    </xf>
    <xf numFmtId="0" fontId="88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right" vertical="center"/>
    </xf>
    <xf numFmtId="1" fontId="4" fillId="0" borderId="7" xfId="0" applyNumberFormat="1" applyFont="1" applyBorder="1" applyAlignment="1" applyProtection="1">
      <alignment horizontal="left"/>
      <protection hidden="1"/>
    </xf>
    <xf numFmtId="167" fontId="0" fillId="0" borderId="0" xfId="0" applyNumberFormat="1" applyAlignment="1">
      <alignment horizontal="right" vertical="center"/>
    </xf>
    <xf numFmtId="167" fontId="0" fillId="0" borderId="24" xfId="0" applyNumberFormat="1" applyBorder="1" applyAlignment="1">
      <alignment horizontal="right" vertical="center"/>
    </xf>
    <xf numFmtId="0" fontId="96" fillId="10" borderId="0" xfId="0" applyFont="1" applyFill="1"/>
    <xf numFmtId="0" fontId="109" fillId="10" borderId="22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right" vertical="center"/>
    </xf>
    <xf numFmtId="167" fontId="8" fillId="0" borderId="1" xfId="0" applyNumberFormat="1" applyFont="1" applyBorder="1" applyAlignment="1" applyProtection="1">
      <alignment horizontal="right"/>
      <protection hidden="1"/>
    </xf>
    <xf numFmtId="167" fontId="6" fillId="0" borderId="1" xfId="0" applyNumberFormat="1" applyFont="1" applyBorder="1" applyAlignment="1">
      <alignment horizontal="right" vertical="center"/>
    </xf>
    <xf numFmtId="167" fontId="31" fillId="0" borderId="1" xfId="0" applyNumberFormat="1" applyFont="1" applyBorder="1" applyAlignment="1">
      <alignment horizontal="right" vertical="center"/>
    </xf>
    <xf numFmtId="0" fontId="29" fillId="7" borderId="1" xfId="0" applyFont="1" applyFill="1" applyBorder="1"/>
    <xf numFmtId="167" fontId="29" fillId="3" borderId="1" xfId="0" applyNumberFormat="1" applyFont="1" applyFill="1" applyBorder="1" applyAlignment="1">
      <alignment horizontal="right"/>
    </xf>
    <xf numFmtId="0" fontId="54" fillId="7" borderId="1" xfId="0" applyFont="1" applyFill="1" applyBorder="1"/>
    <xf numFmtId="167" fontId="54" fillId="11" borderId="1" xfId="0" applyNumberFormat="1" applyFont="1" applyFill="1" applyBorder="1" applyAlignment="1">
      <alignment horizontal="right"/>
    </xf>
    <xf numFmtId="0" fontId="0" fillId="10" borderId="1" xfId="0" applyFill="1" applyBorder="1"/>
    <xf numFmtId="0" fontId="54" fillId="7" borderId="0" xfId="0" applyFont="1" applyFill="1"/>
    <xf numFmtId="167" fontId="54" fillId="3" borderId="0" xfId="0" applyNumberFormat="1" applyFont="1" applyFill="1" applyAlignment="1">
      <alignment horizontal="right"/>
    </xf>
    <xf numFmtId="1" fontId="55" fillId="3" borderId="7" xfId="0" applyNumberFormat="1" applyFont="1" applyFill="1" applyBorder="1" applyAlignment="1" applyProtection="1">
      <alignment horizontal="left"/>
      <protection hidden="1"/>
    </xf>
    <xf numFmtId="1" fontId="55" fillId="3" borderId="1" xfId="0" applyNumberFormat="1" applyFont="1" applyFill="1" applyBorder="1" applyAlignment="1" applyProtection="1">
      <alignment horizontal="left"/>
      <protection hidden="1"/>
    </xf>
    <xf numFmtId="167" fontId="6" fillId="10" borderId="22" xfId="0" applyNumberFormat="1" applyFont="1" applyFill="1" applyBorder="1" applyAlignment="1">
      <alignment horizontal="right" vertical="center"/>
    </xf>
    <xf numFmtId="167" fontId="0" fillId="0" borderId="0" xfId="0" applyNumberFormat="1" applyAlignment="1">
      <alignment horizontal="right"/>
    </xf>
    <xf numFmtId="0" fontId="29" fillId="7" borderId="1" xfId="0" applyFont="1" applyFill="1" applyBorder="1" applyAlignment="1">
      <alignment vertical="center"/>
    </xf>
    <xf numFmtId="167" fontId="29" fillId="0" borderId="1" xfId="0" applyNumberFormat="1" applyFont="1" applyBorder="1" applyAlignment="1">
      <alignment horizontal="right" vertical="center"/>
    </xf>
    <xf numFmtId="0" fontId="109" fillId="0" borderId="1" xfId="0" applyFont="1" applyBorder="1" applyAlignment="1">
      <alignment horizontal="center" vertical="center"/>
    </xf>
    <xf numFmtId="167" fontId="29" fillId="0" borderId="1" xfId="0" applyNumberFormat="1" applyFont="1" applyBorder="1" applyAlignment="1">
      <alignment horizontal="right"/>
    </xf>
    <xf numFmtId="0" fontId="29" fillId="0" borderId="1" xfId="0" applyFont="1" applyBorder="1"/>
    <xf numFmtId="0" fontId="6" fillId="7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167" fontId="0" fillId="0" borderId="1" xfId="0" applyNumberFormat="1" applyBorder="1" applyAlignment="1">
      <alignment horizontal="right"/>
    </xf>
    <xf numFmtId="0" fontId="6" fillId="0" borderId="1" xfId="0" applyFont="1" applyBorder="1"/>
    <xf numFmtId="0" fontId="6" fillId="7" borderId="0" xfId="0" applyFont="1" applyFill="1" applyAlignment="1">
      <alignment vertical="center"/>
    </xf>
    <xf numFmtId="167" fontId="6" fillId="0" borderId="0" xfId="0" applyNumberFormat="1" applyFont="1" applyAlignment="1">
      <alignment horizontal="right"/>
    </xf>
    <xf numFmtId="1" fontId="4" fillId="10" borderId="0" xfId="0" applyNumberFormat="1" applyFont="1" applyFill="1" applyAlignment="1" applyProtection="1">
      <alignment horizontal="left"/>
      <protection hidden="1"/>
    </xf>
    <xf numFmtId="167" fontId="29" fillId="0" borderId="0" xfId="0" applyNumberFormat="1" applyFont="1" applyAlignment="1">
      <alignment horizontal="right"/>
    </xf>
    <xf numFmtId="0" fontId="29" fillId="7" borderId="11" xfId="0" applyFont="1" applyFill="1" applyBorder="1"/>
    <xf numFmtId="167" fontId="6" fillId="10" borderId="11" xfId="0" applyNumberFormat="1" applyFont="1" applyFill="1" applyBorder="1" applyAlignment="1">
      <alignment horizontal="right" vertical="center"/>
    </xf>
    <xf numFmtId="0" fontId="0" fillId="0" borderId="11" xfId="0" applyBorder="1"/>
    <xf numFmtId="1" fontId="4" fillId="10" borderId="6" xfId="0" applyNumberFormat="1" applyFont="1" applyFill="1" applyBorder="1" applyAlignment="1" applyProtection="1">
      <alignment horizontal="left"/>
      <protection hidden="1"/>
    </xf>
    <xf numFmtId="167" fontId="96" fillId="10" borderId="0" xfId="0" applyNumberFormat="1" applyFont="1" applyFill="1" applyAlignment="1">
      <alignment horizontal="right" vertical="center"/>
    </xf>
    <xf numFmtId="1" fontId="111" fillId="10" borderId="14" xfId="0" applyNumberFormat="1" applyFont="1" applyFill="1" applyBorder="1" applyAlignment="1" applyProtection="1">
      <alignment horizontal="left"/>
      <protection hidden="1"/>
    </xf>
    <xf numFmtId="1" fontId="4" fillId="0" borderId="14" xfId="0" applyNumberFormat="1" applyFont="1" applyBorder="1" applyAlignment="1" applyProtection="1">
      <alignment horizontal="left"/>
      <protection hidden="1"/>
    </xf>
    <xf numFmtId="0" fontId="0" fillId="7" borderId="2" xfId="0" applyFill="1" applyBorder="1"/>
    <xf numFmtId="167" fontId="0" fillId="0" borderId="2" xfId="0" applyNumberFormat="1" applyBorder="1" applyAlignment="1">
      <alignment horizontal="right"/>
    </xf>
    <xf numFmtId="0" fontId="0" fillId="0" borderId="2" xfId="0" applyBorder="1"/>
    <xf numFmtId="1" fontId="4" fillId="0" borderId="9" xfId="0" applyNumberFormat="1" applyFont="1" applyBorder="1" applyAlignment="1" applyProtection="1">
      <alignment horizontal="left"/>
      <protection hidden="1"/>
    </xf>
    <xf numFmtId="0" fontId="29" fillId="7" borderId="1" xfId="0" applyFont="1" applyFill="1" applyBorder="1" applyAlignment="1">
      <alignment horizontal="right"/>
    </xf>
    <xf numFmtId="0" fontId="54" fillId="10" borderId="1" xfId="0" applyFont="1" applyFill="1" applyBorder="1"/>
    <xf numFmtId="0" fontId="54" fillId="7" borderId="1" xfId="0" applyFont="1" applyFill="1" applyBorder="1" applyAlignment="1">
      <alignment vertical="center"/>
    </xf>
    <xf numFmtId="167" fontId="54" fillId="0" borderId="1" xfId="0" applyNumberFormat="1" applyFont="1" applyBorder="1" applyAlignment="1">
      <alignment horizontal="right"/>
    </xf>
    <xf numFmtId="0" fontId="21" fillId="0" borderId="11" xfId="0" applyFont="1" applyBorder="1" applyProtection="1"/>
    <xf numFmtId="0" fontId="84" fillId="3" borderId="1" xfId="0" applyFont="1" applyFill="1" applyBorder="1" applyAlignment="1">
      <alignment horizontal="right"/>
    </xf>
    <xf numFmtId="0" fontId="29" fillId="8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/>
    </xf>
    <xf numFmtId="0" fontId="62" fillId="3" borderId="1" xfId="0" applyFont="1" applyFill="1" applyBorder="1" applyAlignment="1" applyProtection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left" vertical="center" wrapText="1"/>
    </xf>
    <xf numFmtId="0" fontId="29" fillId="8" borderId="1" xfId="0" applyFont="1" applyFill="1" applyBorder="1" applyAlignment="1">
      <alignment horizontal="center" vertical="center"/>
    </xf>
    <xf numFmtId="0" fontId="29" fillId="1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vertical="center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14" fillId="3" borderId="0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14" fillId="3" borderId="15" xfId="0" applyFont="1" applyFill="1" applyBorder="1" applyAlignment="1" applyProtection="1">
      <alignment vertical="center"/>
      <protection locked="0"/>
    </xf>
    <xf numFmtId="164" fontId="14" fillId="3" borderId="1" xfId="0" applyNumberFormat="1" applyFont="1" applyFill="1" applyBorder="1" applyAlignment="1" applyProtection="1">
      <alignment vertical="center"/>
      <protection locked="0"/>
    </xf>
    <xf numFmtId="167" fontId="14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3" borderId="10" xfId="0" applyFont="1" applyFill="1" applyBorder="1" applyAlignment="1" applyProtection="1">
      <alignment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4" fillId="3" borderId="6" xfId="0" applyFont="1" applyFill="1" applyBorder="1" applyAlignment="1" applyProtection="1">
      <alignment vertical="center"/>
      <protection locked="0"/>
    </xf>
    <xf numFmtId="167" fontId="14" fillId="3" borderId="12" xfId="0" applyNumberFormat="1" applyFont="1" applyFill="1" applyBorder="1" applyAlignment="1" applyProtection="1">
      <alignment horizontal="center" vertical="center"/>
      <protection locked="0"/>
    </xf>
    <xf numFmtId="167" fontId="14" fillId="3" borderId="13" xfId="0" applyNumberFormat="1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167" fontId="14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Alignment="1" applyProtection="1">
      <alignment horizontal="center" vertical="center"/>
      <protection locked="0"/>
    </xf>
    <xf numFmtId="0" fontId="44" fillId="3" borderId="1" xfId="0" applyFont="1" applyFill="1" applyBorder="1" applyAlignment="1" applyProtection="1">
      <alignment vertical="center"/>
      <protection locked="0"/>
    </xf>
    <xf numFmtId="167" fontId="14" fillId="3" borderId="1" xfId="0" applyNumberFormat="1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right" vertical="center"/>
      <protection locked="0"/>
    </xf>
    <xf numFmtId="0" fontId="14" fillId="3" borderId="13" xfId="0" applyFont="1" applyFill="1" applyBorder="1" applyAlignment="1" applyProtection="1">
      <alignment horizontal="left" vertical="center"/>
      <protection locked="0"/>
    </xf>
    <xf numFmtId="0" fontId="3" fillId="3" borderId="13" xfId="0" applyFont="1" applyFill="1" applyBorder="1" applyAlignment="1" applyProtection="1">
      <alignment horizontal="left" vertical="center"/>
      <protection locked="0"/>
    </xf>
    <xf numFmtId="0" fontId="3" fillId="3" borderId="15" xfId="0" applyFont="1" applyFill="1" applyBorder="1" applyAlignment="1" applyProtection="1">
      <alignment horizontal="right" vertical="center"/>
      <protection locked="0"/>
    </xf>
    <xf numFmtId="1" fontId="11" fillId="3" borderId="1" xfId="0" applyNumberFormat="1" applyFont="1" applyFill="1" applyBorder="1" applyAlignment="1" applyProtection="1"/>
    <xf numFmtId="1" fontId="11" fillId="3" borderId="0" xfId="0" applyNumberFormat="1" applyFont="1" applyFill="1" applyBorder="1" applyAlignment="1" applyProtection="1"/>
    <xf numFmtId="1" fontId="11" fillId="3" borderId="0" xfId="0" applyNumberFormat="1" applyFont="1" applyFill="1" applyAlignment="1" applyProtection="1">
      <alignment horizontal="left"/>
    </xf>
    <xf numFmtId="167" fontId="3" fillId="3" borderId="1" xfId="0" applyNumberFormat="1" applyFont="1" applyFill="1" applyBorder="1" applyAlignment="1" applyProtection="1">
      <alignment vertical="center"/>
      <protection locked="0"/>
    </xf>
    <xf numFmtId="1" fontId="10" fillId="3" borderId="0" xfId="0" applyNumberFormat="1" applyFont="1" applyFill="1" applyAlignment="1" applyProtection="1">
      <alignment horizontal="center"/>
    </xf>
    <xf numFmtId="1" fontId="11" fillId="3" borderId="0" xfId="0" applyNumberFormat="1" applyFont="1" applyFill="1" applyAlignment="1" applyProtection="1">
      <alignment horizontal="center"/>
    </xf>
    <xf numFmtId="1" fontId="11" fillId="3" borderId="1" xfId="0" applyNumberFormat="1" applyFont="1" applyFill="1" applyBorder="1" applyAlignment="1" applyProtection="1">
      <alignment horizontal="left"/>
    </xf>
    <xf numFmtId="2" fontId="11" fillId="3" borderId="1" xfId="0" applyNumberFormat="1" applyFont="1" applyFill="1" applyBorder="1" applyAlignment="1" applyProtection="1"/>
    <xf numFmtId="2" fontId="34" fillId="3" borderId="0" xfId="0" applyNumberFormat="1" applyFont="1" applyFill="1" applyAlignment="1" applyProtection="1">
      <alignment horizontal="right"/>
    </xf>
    <xf numFmtId="167" fontId="11" fillId="3" borderId="0" xfId="0" applyNumberFormat="1" applyFont="1" applyFill="1" applyAlignment="1" applyProtection="1"/>
    <xf numFmtId="167" fontId="11" fillId="3" borderId="1" xfId="0" applyNumberFormat="1" applyFont="1" applyFill="1" applyBorder="1" applyAlignment="1" applyProtection="1"/>
    <xf numFmtId="1" fontId="10" fillId="3" borderId="0" xfId="0" applyNumberFormat="1" applyFont="1" applyFill="1" applyAlignment="1" applyProtection="1">
      <alignment horizontal="left"/>
    </xf>
    <xf numFmtId="165" fontId="10" fillId="3" borderId="0" xfId="0" applyNumberFormat="1" applyFont="1" applyFill="1" applyAlignment="1" applyProtection="1">
      <alignment horizontal="left"/>
    </xf>
    <xf numFmtId="2" fontId="14" fillId="3" borderId="13" xfId="0" applyNumberFormat="1" applyFont="1" applyFill="1" applyBorder="1" applyAlignment="1" applyProtection="1">
      <alignment horizontal="left" vertical="center"/>
      <protection locked="0"/>
    </xf>
    <xf numFmtId="0" fontId="19" fillId="0" borderId="15" xfId="0" applyFont="1" applyBorder="1" applyAlignment="1" applyProtection="1">
      <alignment vertical="center"/>
    </xf>
    <xf numFmtId="0" fontId="60" fillId="15" borderId="1" xfId="0" applyNumberFormat="1" applyFont="1" applyFill="1" applyBorder="1" applyAlignment="1" applyProtection="1">
      <alignment horizontal="center" vertical="center"/>
    </xf>
    <xf numFmtId="14" fontId="21" fillId="5" borderId="6" xfId="0" quotePrefix="1" applyNumberFormat="1" applyFont="1" applyFill="1" applyBorder="1" applyAlignment="1" applyProtection="1">
      <alignment horizontal="left" vertical="center"/>
      <protection hidden="1"/>
    </xf>
    <xf numFmtId="1" fontId="4" fillId="5" borderId="15" xfId="0" quotePrefix="1" applyNumberFormat="1" applyFont="1" applyFill="1" applyBorder="1" applyAlignment="1" applyProtection="1">
      <alignment horizontal="left" vertical="center"/>
      <protection hidden="1"/>
    </xf>
    <xf numFmtId="14" fontId="21" fillId="5" borderId="6" xfId="0" quotePrefix="1" applyNumberFormat="1" applyFont="1" applyFill="1" applyBorder="1" applyAlignment="1">
      <alignment horizontal="left" vertical="center"/>
    </xf>
    <xf numFmtId="14" fontId="21" fillId="4" borderId="6" xfId="0" quotePrefix="1" applyNumberFormat="1" applyFont="1" applyFill="1" applyBorder="1" applyAlignment="1" applyProtection="1">
      <alignment horizontal="left" vertical="center"/>
      <protection hidden="1"/>
    </xf>
    <xf numFmtId="14" fontId="21" fillId="4" borderId="1" xfId="0" quotePrefix="1" applyNumberFormat="1" applyFont="1" applyFill="1" applyBorder="1" applyAlignment="1" applyProtection="1">
      <alignment horizontal="left" vertical="center"/>
      <protection hidden="1"/>
    </xf>
    <xf numFmtId="14" fontId="21" fillId="6" borderId="6" xfId="0" quotePrefix="1" applyNumberFormat="1" applyFont="1" applyFill="1" applyBorder="1" applyAlignment="1">
      <alignment horizontal="left" vertical="center"/>
    </xf>
    <xf numFmtId="164" fontId="20" fillId="0" borderId="1" xfId="3" applyNumberFormat="1" applyFont="1" applyFill="1" applyBorder="1" applyAlignment="1">
      <alignment horizontal="right" vertical="center"/>
    </xf>
    <xf numFmtId="164" fontId="21" fillId="0" borderId="1" xfId="0" applyNumberFormat="1" applyFont="1" applyFill="1" applyBorder="1" applyAlignment="1">
      <alignment horizontal="right"/>
    </xf>
    <xf numFmtId="0" fontId="21" fillId="0" borderId="0" xfId="0" applyFont="1" applyFill="1" applyProtection="1">
      <protection hidden="1"/>
    </xf>
    <xf numFmtId="164" fontId="20" fillId="0" borderId="3" xfId="3" applyNumberFormat="1" applyFont="1" applyFill="1" applyBorder="1" applyAlignment="1">
      <alignment horizontal="right" vertical="center"/>
    </xf>
    <xf numFmtId="0" fontId="21" fillId="0" borderId="1" xfId="0" applyFont="1" applyFill="1" applyBorder="1" applyAlignment="1">
      <alignment horizontal="right"/>
    </xf>
    <xf numFmtId="164" fontId="4" fillId="0" borderId="1" xfId="0" quotePrefix="1" applyNumberFormat="1" applyFont="1" applyBorder="1" applyAlignment="1" applyProtection="1">
      <alignment horizontal="right"/>
      <protection hidden="1"/>
    </xf>
    <xf numFmtId="0" fontId="21" fillId="4" borderId="6" xfId="0" quotePrefix="1" applyFont="1" applyFill="1" applyBorder="1" applyAlignment="1" applyProtection="1">
      <alignment horizontal="left" vertical="center"/>
      <protection hidden="1"/>
    </xf>
    <xf numFmtId="0" fontId="29" fillId="0" borderId="1" xfId="0" applyFont="1" applyBorder="1" applyAlignment="1">
      <alignment horizontal="center" vertical="center"/>
    </xf>
    <xf numFmtId="0" fontId="6" fillId="0" borderId="0" xfId="4"/>
    <xf numFmtId="0" fontId="6" fillId="0" borderId="0" xfId="4" applyAlignment="1">
      <alignment wrapText="1"/>
    </xf>
    <xf numFmtId="0" fontId="119" fillId="0" borderId="0" xfId="4" applyFont="1" applyAlignment="1">
      <alignment horizontal="center" vertical="center" wrapText="1"/>
    </xf>
    <xf numFmtId="0" fontId="6" fillId="16" borderId="52" xfId="4" applyFill="1" applyBorder="1"/>
    <xf numFmtId="0" fontId="6" fillId="16" borderId="53" xfId="4" applyFill="1" applyBorder="1"/>
    <xf numFmtId="0" fontId="6" fillId="16" borderId="54" xfId="4" applyFill="1" applyBorder="1"/>
    <xf numFmtId="0" fontId="7" fillId="10" borderId="55" xfId="4" applyFont="1" applyFill="1" applyBorder="1" applyProtection="1">
      <protection locked="0"/>
    </xf>
    <xf numFmtId="0" fontId="7" fillId="10" borderId="16" xfId="4" applyFont="1" applyFill="1" applyBorder="1" applyProtection="1">
      <protection locked="0"/>
    </xf>
    <xf numFmtId="0" fontId="7" fillId="10" borderId="56" xfId="4" applyFont="1" applyFill="1" applyBorder="1" applyProtection="1">
      <protection locked="0"/>
    </xf>
    <xf numFmtId="0" fontId="121" fillId="0" borderId="3" xfId="4" applyFont="1" applyBorder="1" applyAlignment="1">
      <alignment horizontal="left" vertical="top" wrapText="1"/>
    </xf>
    <xf numFmtId="0" fontId="121" fillId="0" borderId="13" xfId="4" applyFont="1" applyBorder="1" applyAlignment="1">
      <alignment horizontal="left" vertical="top" wrapText="1"/>
    </xf>
    <xf numFmtId="0" fontId="6" fillId="0" borderId="0" xfId="4" applyAlignment="1">
      <alignment horizontal="left" vertical="top"/>
    </xf>
    <xf numFmtId="0" fontId="121" fillId="0" borderId="13" xfId="4" applyFont="1" applyBorder="1" applyAlignment="1">
      <alignment horizontal="left" vertical="top"/>
    </xf>
    <xf numFmtId="0" fontId="121" fillId="0" borderId="0" xfId="4" applyFont="1" applyAlignment="1">
      <alignment vertical="center" wrapText="1"/>
    </xf>
    <xf numFmtId="0" fontId="121" fillId="0" borderId="0" xfId="4" applyFont="1" applyAlignment="1">
      <alignment horizontal="center" vertical="center" wrapText="1"/>
    </xf>
    <xf numFmtId="0" fontId="123" fillId="0" borderId="0" xfId="4" applyFont="1"/>
    <xf numFmtId="1" fontId="121" fillId="0" borderId="0" xfId="4" quotePrefix="1" applyNumberFormat="1" applyFont="1" applyAlignment="1">
      <alignment horizontal="left"/>
    </xf>
    <xf numFmtId="0" fontId="121" fillId="0" borderId="0" xfId="4" applyFont="1"/>
    <xf numFmtId="1" fontId="120" fillId="0" borderId="0" xfId="4" quotePrefix="1" applyNumberFormat="1" applyFont="1"/>
    <xf numFmtId="164" fontId="121" fillId="0" borderId="0" xfId="4" quotePrefix="1" applyNumberFormat="1" applyFont="1" applyAlignment="1">
      <alignment horizontal="left"/>
    </xf>
    <xf numFmtId="0" fontId="6" fillId="0" borderId="0" xfId="4" applyAlignment="1">
      <alignment vertical="top" wrapText="1"/>
    </xf>
    <xf numFmtId="0" fontId="121" fillId="0" borderId="3" xfId="4" applyFont="1" applyBorder="1" applyAlignment="1">
      <alignment vertical="top"/>
    </xf>
    <xf numFmtId="0" fontId="121" fillId="0" borderId="13" xfId="4" applyFont="1" applyBorder="1" applyAlignment="1" applyProtection="1">
      <alignment vertical="top" wrapText="1"/>
      <protection locked="0"/>
    </xf>
    <xf numFmtId="0" fontId="121" fillId="0" borderId="13" xfId="4" applyFont="1" applyBorder="1" applyAlignment="1" applyProtection="1">
      <alignment vertical="top"/>
      <protection locked="0"/>
    </xf>
    <xf numFmtId="0" fontId="124" fillId="0" borderId="0" xfId="4" applyFont="1" applyAlignment="1">
      <alignment vertical="top"/>
    </xf>
    <xf numFmtId="0" fontId="121" fillId="0" borderId="0" xfId="4" applyFont="1" applyAlignment="1">
      <alignment horizontal="center" vertical="top" wrapText="1"/>
    </xf>
    <xf numFmtId="0" fontId="119" fillId="0" borderId="0" xfId="4" applyFont="1" applyAlignment="1">
      <alignment wrapText="1"/>
    </xf>
    <xf numFmtId="0" fontId="121" fillId="0" borderId="0" xfId="4" applyFont="1" applyAlignment="1">
      <alignment horizontal="left" vertical="top" wrapText="1"/>
    </xf>
    <xf numFmtId="0" fontId="115" fillId="0" borderId="0" xfId="4" applyFont="1" applyAlignment="1">
      <alignment horizontal="center"/>
    </xf>
    <xf numFmtId="0" fontId="116" fillId="0" borderId="0" xfId="4" applyFont="1"/>
    <xf numFmtId="0" fontId="121" fillId="0" borderId="0" xfId="4" applyFont="1" applyAlignment="1">
      <alignment horizontal="justify" vertical="center" wrapText="1"/>
    </xf>
    <xf numFmtId="0" fontId="51" fillId="0" borderId="0" xfId="4" applyFont="1" applyAlignment="1">
      <alignment vertical="center"/>
    </xf>
    <xf numFmtId="0" fontId="125" fillId="0" borderId="0" xfId="4" applyFont="1" applyAlignment="1">
      <alignment horizontal="right"/>
    </xf>
    <xf numFmtId="0" fontId="6" fillId="0" borderId="0" xfId="4" applyAlignment="1">
      <alignment horizontal="left" vertical="center" wrapText="1"/>
    </xf>
    <xf numFmtId="0" fontId="6" fillId="0" borderId="0" xfId="4" applyAlignment="1">
      <alignment horizontal="center" vertical="center" wrapText="1"/>
    </xf>
    <xf numFmtId="17" fontId="6" fillId="0" borderId="0" xfId="4" applyNumberFormat="1" applyAlignment="1">
      <alignment horizontal="center" vertical="center"/>
    </xf>
    <xf numFmtId="0" fontId="6" fillId="0" borderId="0" xfId="4" applyAlignment="1">
      <alignment horizontal="center" vertical="center"/>
    </xf>
    <xf numFmtId="0" fontId="6" fillId="0" borderId="0" xfId="4" applyAlignment="1">
      <alignment horizontal="left" vertical="center"/>
    </xf>
    <xf numFmtId="0" fontId="6" fillId="0" borderId="0" xfId="4" quotePrefix="1" applyAlignment="1">
      <alignment horizontal="center" vertical="center"/>
    </xf>
    <xf numFmtId="0" fontId="128" fillId="0" borderId="0" xfId="4" applyFont="1" applyAlignment="1">
      <alignment horizontal="left" vertical="center" wrapText="1"/>
    </xf>
    <xf numFmtId="0" fontId="128" fillId="0" borderId="0" xfId="4" applyFont="1"/>
    <xf numFmtId="0" fontId="128" fillId="0" borderId="0" xfId="4" applyFont="1" applyAlignment="1">
      <alignment vertical="top"/>
    </xf>
    <xf numFmtId="0" fontId="128" fillId="0" borderId="0" xfId="4" applyFont="1" applyAlignment="1">
      <alignment vertical="center"/>
    </xf>
    <xf numFmtId="0" fontId="6" fillId="0" borderId="0" xfId="4" applyAlignment="1">
      <alignment horizontal="center"/>
    </xf>
    <xf numFmtId="0" fontId="128" fillId="0" borderId="1" xfId="4" applyFont="1" applyBorder="1" applyAlignment="1">
      <alignment horizontal="center" vertical="center"/>
    </xf>
    <xf numFmtId="0" fontId="128" fillId="0" borderId="1" xfId="4" quotePrefix="1" applyFont="1" applyBorder="1" applyAlignment="1">
      <alignment horizontal="center" vertical="center"/>
    </xf>
    <xf numFmtId="0" fontId="128" fillId="0" borderId="13" xfId="4" applyFont="1" applyBorder="1" applyAlignment="1">
      <alignment horizontal="center" vertical="center" wrapText="1"/>
    </xf>
    <xf numFmtId="0" fontId="128" fillId="0" borderId="1" xfId="4" applyFont="1" applyBorder="1" applyAlignment="1">
      <alignment horizontal="center" vertical="center" wrapText="1"/>
    </xf>
    <xf numFmtId="11" fontId="128" fillId="0" borderId="1" xfId="4" applyNumberFormat="1" applyFont="1" applyBorder="1" applyAlignment="1">
      <alignment horizontal="center" vertical="center" wrapText="1"/>
    </xf>
    <xf numFmtId="0" fontId="128" fillId="0" borderId="0" xfId="4" quotePrefix="1" applyFont="1" applyAlignment="1">
      <alignment vertical="center"/>
    </xf>
    <xf numFmtId="0" fontId="128" fillId="0" borderId="0" xfId="4" applyFont="1" applyAlignment="1">
      <alignment horizontal="left" vertical="center"/>
    </xf>
    <xf numFmtId="0" fontId="128" fillId="0" borderId="0" xfId="4" applyFont="1" applyAlignment="1">
      <alignment horizontal="center" vertical="center"/>
    </xf>
    <xf numFmtId="185" fontId="128" fillId="0" borderId="0" xfId="4" applyNumberFormat="1" applyFont="1" applyAlignment="1">
      <alignment horizontal="left" vertical="center"/>
    </xf>
    <xf numFmtId="0" fontId="41" fillId="17" borderId="1" xfId="4" applyFont="1" applyFill="1" applyBorder="1"/>
    <xf numFmtId="0" fontId="41" fillId="17" borderId="3" xfId="4" applyFont="1" applyFill="1" applyBorder="1"/>
    <xf numFmtId="0" fontId="41" fillId="0" borderId="0" xfId="4" applyFont="1"/>
    <xf numFmtId="0" fontId="41" fillId="18" borderId="16" xfId="4" applyFont="1" applyFill="1" applyBorder="1"/>
    <xf numFmtId="0" fontId="130" fillId="0" borderId="1" xfId="4" applyFont="1" applyBorder="1"/>
    <xf numFmtId="0" fontId="130" fillId="0" borderId="1" xfId="4" applyFont="1" applyBorder="1" applyAlignment="1">
      <alignment horizontal="left"/>
    </xf>
    <xf numFmtId="0" fontId="6" fillId="0" borderId="16" xfId="4" applyBorder="1"/>
    <xf numFmtId="17" fontId="6" fillId="0" borderId="0" xfId="4" quotePrefix="1" applyNumberFormat="1"/>
    <xf numFmtId="0" fontId="130" fillId="0" borderId="0" xfId="4" applyFont="1"/>
    <xf numFmtId="0" fontId="130" fillId="0" borderId="0" xfId="4" applyFont="1" applyAlignment="1">
      <alignment horizontal="left"/>
    </xf>
    <xf numFmtId="0" fontId="6" fillId="0" borderId="0" xfId="4" quotePrefix="1"/>
    <xf numFmtId="0" fontId="6" fillId="12" borderId="1" xfId="0" applyFont="1" applyFill="1" applyBorder="1" applyAlignment="1" applyProtection="1">
      <alignment horizontal="left" vertical="center"/>
    </xf>
    <xf numFmtId="0" fontId="29" fillId="12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 applyProtection="1">
      <alignment horizontal="left" vertical="center"/>
    </xf>
    <xf numFmtId="0" fontId="6" fillId="8" borderId="1" xfId="0" applyFont="1" applyFill="1" applyBorder="1" applyAlignment="1" applyProtection="1">
      <alignment horizontal="left" vertical="center" wrapText="1"/>
    </xf>
    <xf numFmtId="0" fontId="29" fillId="8" borderId="1" xfId="0" applyFont="1" applyFill="1" applyBorder="1" applyAlignment="1">
      <alignment horizontal="left" vertical="center"/>
    </xf>
    <xf numFmtId="185" fontId="29" fillId="0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132" fillId="0" borderId="0" xfId="0" applyFont="1"/>
    <xf numFmtId="0" fontId="3" fillId="14" borderId="0" xfId="4" applyFont="1" applyFill="1" applyAlignment="1" applyProtection="1">
      <alignment horizontal="left"/>
      <protection locked="0"/>
    </xf>
    <xf numFmtId="0" fontId="3" fillId="14" borderId="0" xfId="4" quotePrefix="1" applyFont="1" applyFill="1" applyAlignment="1" applyProtection="1">
      <alignment horizontal="left"/>
      <protection locked="0"/>
    </xf>
    <xf numFmtId="0" fontId="3" fillId="14" borderId="0" xfId="0" applyFont="1" applyFill="1" applyAlignment="1" applyProtection="1">
      <alignment vertical="center"/>
      <protection locked="0"/>
    </xf>
    <xf numFmtId="0" fontId="3" fillId="14" borderId="0" xfId="0" applyFont="1" applyFill="1" applyAlignment="1" applyProtection="1">
      <alignment vertical="center"/>
    </xf>
    <xf numFmtId="164" fontId="3" fillId="14" borderId="0" xfId="0" applyNumberFormat="1" applyFont="1" applyFill="1" applyAlignment="1" applyProtection="1">
      <alignment horizontal="left" vertical="center"/>
      <protection locked="0"/>
    </xf>
    <xf numFmtId="0" fontId="3" fillId="13" borderId="0" xfId="0" applyFont="1" applyFill="1" applyAlignment="1" applyProtection="1">
      <alignment vertical="center"/>
      <protection locked="0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3" fillId="14" borderId="1" xfId="0" applyNumberFormat="1" applyFont="1" applyFill="1" applyBorder="1" applyAlignment="1" applyProtection="1">
      <alignment horizontal="center" vertical="center"/>
      <protection locked="0"/>
    </xf>
    <xf numFmtId="0" fontId="3" fillId="13" borderId="1" xfId="0" applyFont="1" applyFill="1" applyBorder="1" applyAlignment="1" applyProtection="1">
      <alignment vertical="center"/>
      <protection locked="0"/>
    </xf>
    <xf numFmtId="0" fontId="27" fillId="13" borderId="7" xfId="0" applyFont="1" applyFill="1" applyBorder="1" applyAlignment="1" applyProtection="1">
      <alignment horizontal="center" vertical="center"/>
      <protection locked="0"/>
    </xf>
    <xf numFmtId="167" fontId="3" fillId="4" borderId="1" xfId="0" applyNumberFormat="1" applyFont="1" applyFill="1" applyBorder="1" applyAlignment="1" applyProtection="1">
      <alignment horizontal="center" vertical="center"/>
    </xf>
    <xf numFmtId="0" fontId="3" fillId="14" borderId="1" xfId="0" applyFont="1" applyFill="1" applyBorder="1" applyAlignment="1" applyProtection="1">
      <alignment horizontal="center" vertical="center"/>
      <protection locked="0"/>
    </xf>
    <xf numFmtId="0" fontId="57" fillId="3" borderId="13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</xf>
    <xf numFmtId="164" fontId="57" fillId="3" borderId="2" xfId="0" applyNumberFormat="1" applyFont="1" applyFill="1" applyBorder="1" applyAlignment="1" applyProtection="1">
      <alignment horizontal="right" vertical="center"/>
    </xf>
    <xf numFmtId="167" fontId="57" fillId="3" borderId="15" xfId="0" applyNumberFormat="1" applyFont="1" applyFill="1" applyBorder="1" applyAlignment="1" applyProtection="1">
      <alignment horizontal="right" vertical="center"/>
    </xf>
    <xf numFmtId="164" fontId="57" fillId="3" borderId="15" xfId="0" applyNumberFormat="1" applyFont="1" applyFill="1" applyBorder="1" applyAlignment="1" applyProtection="1">
      <alignment horizontal="right" vertical="center"/>
    </xf>
    <xf numFmtId="0" fontId="57" fillId="0" borderId="13" xfId="0" applyFont="1" applyBorder="1" applyProtection="1"/>
    <xf numFmtId="0" fontId="64" fillId="0" borderId="0" xfId="0" applyFont="1" applyBorder="1"/>
    <xf numFmtId="0" fontId="100" fillId="0" borderId="0" xfId="0" applyFont="1" applyBorder="1" applyAlignment="1"/>
    <xf numFmtId="0" fontId="102" fillId="0" borderId="0" xfId="0" applyFont="1" applyBorder="1" applyAlignment="1" applyProtection="1">
      <protection locked="0"/>
    </xf>
    <xf numFmtId="0" fontId="103" fillId="3" borderId="0" xfId="0" applyFont="1" applyFill="1" applyBorder="1" applyAlignment="1">
      <alignment horizontal="center" vertical="center"/>
    </xf>
    <xf numFmtId="178" fontId="106" fillId="3" borderId="0" xfId="0" applyNumberFormat="1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0" borderId="1" xfId="0" applyNumberFormat="1" applyFont="1" applyBorder="1" applyAlignment="1" applyProtection="1">
      <alignment horizontal="center"/>
      <protection locked="0"/>
    </xf>
    <xf numFmtId="0" fontId="81" fillId="4" borderId="7" xfId="0" applyFont="1" applyFill="1" applyBorder="1" applyAlignment="1" applyProtection="1">
      <alignment horizontal="center" vertical="center"/>
      <protection locked="0"/>
    </xf>
    <xf numFmtId="0" fontId="44" fillId="0" borderId="1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 wrapText="1"/>
    </xf>
    <xf numFmtId="0" fontId="107" fillId="0" borderId="6" xfId="0" applyFont="1" applyBorder="1" applyAlignment="1">
      <alignment horizontal="center" vertical="center"/>
    </xf>
    <xf numFmtId="179" fontId="44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right"/>
      <protection locked="0"/>
    </xf>
    <xf numFmtId="179" fontId="44" fillId="0" borderId="13" xfId="0" applyNumberFormat="1" applyFont="1" applyBorder="1" applyAlignment="1">
      <alignment horizontal="center" vertical="center"/>
    </xf>
    <xf numFmtId="0" fontId="134" fillId="3" borderId="3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83" fillId="0" borderId="5" xfId="0" applyFont="1" applyBorder="1" applyProtection="1">
      <protection locked="0"/>
    </xf>
    <xf numFmtId="167" fontId="3" fillId="3" borderId="5" xfId="0" applyNumberFormat="1" applyFont="1" applyFill="1" applyBorder="1" applyAlignment="1" applyProtection="1">
      <alignment horizontal="center" vertical="center"/>
    </xf>
    <xf numFmtId="0" fontId="29" fillId="0" borderId="1" xfId="0" applyFont="1" applyBorder="1" applyProtection="1">
      <protection hidden="1"/>
    </xf>
    <xf numFmtId="0" fontId="3" fillId="3" borderId="1" xfId="0" applyFont="1" applyFill="1" applyBorder="1" applyProtection="1">
      <protection hidden="1"/>
    </xf>
    <xf numFmtId="0" fontId="3" fillId="3" borderId="13" xfId="0" applyNumberFormat="1" applyFont="1" applyFill="1" applyBorder="1" applyAlignment="1" applyProtection="1">
      <alignment horizontal="center" vertical="center"/>
    </xf>
    <xf numFmtId="167" fontId="3" fillId="3" borderId="13" xfId="0" applyNumberFormat="1" applyFont="1" applyFill="1" applyBorder="1" applyAlignment="1" applyProtection="1">
      <alignment horizontal="center" vertical="center"/>
    </xf>
    <xf numFmtId="0" fontId="57" fillId="0" borderId="12" xfId="0" applyFont="1" applyBorder="1" applyProtection="1"/>
    <xf numFmtId="1" fontId="60" fillId="8" borderId="0" xfId="0" applyNumberFormat="1" applyFont="1" applyFill="1" applyAlignment="1" applyProtection="1">
      <alignment horizontal="left"/>
      <protection locked="0"/>
    </xf>
    <xf numFmtId="0" fontId="57" fillId="8" borderId="0" xfId="0" applyFont="1" applyFill="1" applyBorder="1" applyAlignment="1" applyProtection="1">
      <alignment horizontal="center"/>
      <protection locked="0"/>
    </xf>
    <xf numFmtId="2" fontId="57" fillId="8" borderId="0" xfId="0" applyNumberFormat="1" applyFont="1" applyFill="1" applyBorder="1" applyAlignment="1" applyProtection="1">
      <alignment horizontal="center"/>
      <protection locked="0"/>
    </xf>
    <xf numFmtId="1" fontId="57" fillId="8" borderId="0" xfId="0" applyNumberFormat="1" applyFont="1" applyFill="1" applyAlignment="1" applyProtection="1">
      <alignment horizontal="left"/>
      <protection locked="0"/>
    </xf>
    <xf numFmtId="164" fontId="3" fillId="3" borderId="1" xfId="0" applyNumberFormat="1" applyFont="1" applyFill="1" applyBorder="1" applyAlignment="1" applyProtection="1">
      <alignment vertical="center"/>
    </xf>
    <xf numFmtId="1" fontId="57" fillId="8" borderId="0" xfId="0" applyNumberFormat="1" applyFont="1" applyFill="1" applyProtection="1">
      <protection locked="0"/>
    </xf>
    <xf numFmtId="0" fontId="84" fillId="3" borderId="1" xfId="0" applyFont="1" applyFill="1" applyBorder="1" applyAlignment="1" applyProtection="1">
      <alignment horizontal="center" vertical="center"/>
    </xf>
    <xf numFmtId="0" fontId="60" fillId="3" borderId="0" xfId="0" applyFont="1" applyFill="1" applyBorder="1" applyAlignment="1" applyProtection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9" fillId="12" borderId="10" xfId="0" applyFont="1" applyFill="1" applyBorder="1" applyAlignment="1">
      <alignment horizontal="left" vertical="center" wrapText="1"/>
    </xf>
    <xf numFmtId="0" fontId="0" fillId="8" borderId="0" xfId="0" applyFill="1"/>
    <xf numFmtId="185" fontId="29" fillId="0" borderId="10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/>
    </xf>
    <xf numFmtId="0" fontId="6" fillId="8" borderId="1" xfId="0" applyFont="1" applyFill="1" applyBorder="1"/>
    <xf numFmtId="0" fontId="3" fillId="2" borderId="0" xfId="0" applyFont="1" applyFill="1" applyAlignment="1" applyProtection="1">
      <alignment horizontal="left" vertical="center"/>
    </xf>
    <xf numFmtId="0" fontId="57" fillId="2" borderId="0" xfId="0" applyNumberFormat="1" applyFont="1" applyFill="1" applyAlignment="1" applyProtection="1">
      <alignment horizontal="left" vertical="center"/>
    </xf>
    <xf numFmtId="164" fontId="57" fillId="0" borderId="0" xfId="0" quotePrefix="1" applyNumberFormat="1" applyFont="1" applyFill="1" applyAlignment="1" applyProtection="1">
      <alignment horizontal="right" vertical="center"/>
    </xf>
    <xf numFmtId="164" fontId="57" fillId="2" borderId="0" xfId="0" applyNumberFormat="1" applyFont="1" applyFill="1" applyAlignment="1" applyProtection="1">
      <alignment horizontal="left" vertical="center"/>
    </xf>
    <xf numFmtId="0" fontId="3" fillId="14" borderId="15" xfId="0" quotePrefix="1" applyNumberFormat="1" applyFont="1" applyFill="1" applyBorder="1" applyAlignment="1" applyProtection="1">
      <alignment vertical="center"/>
      <protection locked="0"/>
    </xf>
    <xf numFmtId="0" fontId="18" fillId="3" borderId="12" xfId="0" applyFont="1" applyFill="1" applyBorder="1" applyAlignment="1">
      <alignment vertical="center"/>
    </xf>
    <xf numFmtId="0" fontId="3" fillId="2" borderId="0" xfId="0" applyNumberFormat="1" applyFont="1" applyFill="1" applyAlignment="1" applyProtection="1">
      <alignment horizontal="left" vertical="center"/>
    </xf>
    <xf numFmtId="164" fontId="3" fillId="2" borderId="0" xfId="0" applyNumberFormat="1" applyFont="1" applyFill="1" applyAlignment="1">
      <alignment horizontal="left" vertical="center"/>
    </xf>
    <xf numFmtId="164" fontId="3" fillId="0" borderId="0" xfId="0" quotePrefix="1" applyNumberFormat="1" applyFont="1" applyFill="1" applyAlignment="1" applyProtection="1">
      <alignment horizontal="right" vertical="center"/>
    </xf>
    <xf numFmtId="0" fontId="32" fillId="0" borderId="0" xfId="0" applyFont="1" applyAlignment="1" applyProtection="1">
      <alignment horizontal="center" vertical="center"/>
    </xf>
    <xf numFmtId="0" fontId="6" fillId="12" borderId="1" xfId="0" applyFont="1" applyFill="1" applyBorder="1"/>
    <xf numFmtId="0" fontId="60" fillId="3" borderId="1" xfId="0" applyNumberFormat="1" applyFont="1" applyFill="1" applyBorder="1" applyAlignment="1" applyProtection="1">
      <alignment horizontal="center" vertical="center"/>
    </xf>
    <xf numFmtId="0" fontId="60" fillId="3" borderId="1" xfId="0" applyFont="1" applyFill="1" applyBorder="1" applyAlignment="1" applyProtection="1">
      <alignment horizontal="center" vertical="center" wrapText="1"/>
    </xf>
    <xf numFmtId="0" fontId="57" fillId="3" borderId="0" xfId="0" applyFont="1" applyFill="1" applyBorder="1" applyAlignment="1" applyProtection="1">
      <alignment horizontal="center" vertical="center" wrapText="1"/>
    </xf>
    <xf numFmtId="164" fontId="57" fillId="3" borderId="1" xfId="0" applyNumberFormat="1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 wrapText="1"/>
    </xf>
    <xf numFmtId="0" fontId="57" fillId="3" borderId="0" xfId="0" applyFont="1" applyFill="1" applyBorder="1" applyAlignment="1" applyProtection="1">
      <alignment horizontal="center" vertical="center"/>
    </xf>
    <xf numFmtId="0" fontId="64" fillId="2" borderId="0" xfId="0" applyFont="1" applyFill="1" applyAlignment="1" applyProtection="1">
      <alignment horizontal="left"/>
    </xf>
    <xf numFmtId="0" fontId="57" fillId="2" borderId="0" xfId="0" applyFont="1" applyFill="1" applyAlignment="1" applyProtection="1">
      <alignment horizontal="left"/>
    </xf>
    <xf numFmtId="0" fontId="57" fillId="2" borderId="0" xfId="0" applyFont="1" applyFill="1" applyAlignment="1" applyProtection="1">
      <alignment horizontal="left"/>
      <protection locked="0"/>
    </xf>
    <xf numFmtId="164" fontId="3" fillId="3" borderId="0" xfId="0" applyNumberFormat="1" applyFont="1" applyFill="1" applyBorder="1" applyAlignment="1" applyProtection="1">
      <alignment horizontal="left" vertical="center" wrapText="1"/>
    </xf>
    <xf numFmtId="0" fontId="64" fillId="2" borderId="0" xfId="0" applyFont="1" applyFill="1" applyBorder="1" applyAlignment="1" applyProtection="1">
      <alignment horizontal="left"/>
      <protection locked="0"/>
    </xf>
    <xf numFmtId="0" fontId="57" fillId="2" borderId="0" xfId="0" applyFont="1" applyFill="1" applyBorder="1" applyAlignment="1" applyProtection="1">
      <alignment horizontal="center"/>
      <protection locked="0"/>
    </xf>
    <xf numFmtId="0" fontId="3" fillId="14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3" xfId="4" applyNumberFormat="1" applyFont="1" applyFill="1" applyBorder="1" applyAlignment="1" applyProtection="1">
      <alignment horizontal="center" vertical="center"/>
    </xf>
    <xf numFmtId="0" fontId="60" fillId="3" borderId="8" xfId="4" applyNumberFormat="1" applyFont="1" applyFill="1" applyBorder="1" applyAlignment="1" applyProtection="1">
      <alignment horizontal="left"/>
    </xf>
    <xf numFmtId="164" fontId="60" fillId="3" borderId="11" xfId="0" applyNumberFormat="1" applyFont="1" applyFill="1" applyBorder="1" applyAlignment="1" applyProtection="1">
      <alignment horizontal="center"/>
    </xf>
    <xf numFmtId="164" fontId="60" fillId="3" borderId="6" xfId="0" applyNumberFormat="1" applyFont="1" applyFill="1" applyBorder="1" applyAlignment="1" applyProtection="1">
      <alignment horizontal="center"/>
    </xf>
    <xf numFmtId="1" fontId="60" fillId="3" borderId="5" xfId="0" applyNumberFormat="1" applyFont="1" applyFill="1" applyBorder="1" applyAlignment="1" applyProtection="1">
      <alignment horizontal="center"/>
    </xf>
    <xf numFmtId="1" fontId="60" fillId="3" borderId="5" xfId="4" applyNumberFormat="1" applyFont="1" applyFill="1" applyBorder="1" applyAlignment="1" applyProtection="1">
      <alignment horizontal="center"/>
    </xf>
    <xf numFmtId="164" fontId="60" fillId="3" borderId="8" xfId="4" applyNumberFormat="1" applyFont="1" applyFill="1" applyBorder="1" applyAlignment="1" applyProtection="1">
      <alignment horizontal="center"/>
    </xf>
    <xf numFmtId="164" fontId="57" fillId="3" borderId="5" xfId="0" applyNumberFormat="1" applyFont="1" applyFill="1" applyBorder="1" applyAlignment="1" applyProtection="1">
      <alignment horizontal="center" vertical="center"/>
    </xf>
    <xf numFmtId="0" fontId="60" fillId="3" borderId="11" xfId="4" applyNumberFormat="1" applyFont="1" applyFill="1" applyBorder="1" applyAlignment="1" applyProtection="1">
      <alignment horizontal="left"/>
    </xf>
    <xf numFmtId="1" fontId="60" fillId="3" borderId="11" xfId="0" applyNumberFormat="1" applyFont="1" applyFill="1" applyBorder="1" applyAlignment="1" applyProtection="1">
      <alignment horizontal="center"/>
    </xf>
    <xf numFmtId="1" fontId="57" fillId="3" borderId="11" xfId="0" applyNumberFormat="1" applyFont="1" applyFill="1" applyBorder="1" applyAlignment="1" applyProtection="1">
      <alignment horizontal="center"/>
    </xf>
    <xf numFmtId="164" fontId="60" fillId="3" borderId="11" xfId="4" applyNumberFormat="1" applyFont="1" applyFill="1" applyBorder="1" applyAlignment="1" applyProtection="1">
      <alignment horizontal="center"/>
    </xf>
    <xf numFmtId="0" fontId="60" fillId="3" borderId="11" xfId="4" applyNumberFormat="1" applyFont="1" applyFill="1" applyBorder="1" applyAlignment="1" applyProtection="1">
      <alignment vertical="center"/>
    </xf>
    <xf numFmtId="164" fontId="57" fillId="3" borderId="11" xfId="0" applyNumberFormat="1" applyFont="1" applyFill="1" applyBorder="1" applyAlignment="1" applyProtection="1">
      <alignment horizontal="center" vertical="center"/>
    </xf>
    <xf numFmtId="0" fontId="60" fillId="3" borderId="0" xfId="4" applyNumberFormat="1" applyFont="1" applyFill="1" applyBorder="1" applyAlignment="1" applyProtection="1">
      <alignment horizontal="left"/>
    </xf>
    <xf numFmtId="164" fontId="60" fillId="3" borderId="0" xfId="0" applyNumberFormat="1" applyFont="1" applyFill="1" applyBorder="1" applyAlignment="1" applyProtection="1">
      <alignment horizontal="center"/>
    </xf>
    <xf numFmtId="1" fontId="60" fillId="3" borderId="0" xfId="0" applyNumberFormat="1" applyFont="1" applyFill="1" applyBorder="1" applyAlignment="1" applyProtection="1">
      <alignment horizontal="center"/>
    </xf>
    <xf numFmtId="1" fontId="57" fillId="3" borderId="0" xfId="0" applyNumberFormat="1" applyFont="1" applyFill="1" applyBorder="1" applyAlignment="1" applyProtection="1">
      <alignment horizontal="center"/>
    </xf>
    <xf numFmtId="164" fontId="60" fillId="3" borderId="0" xfId="4" applyNumberFormat="1" applyFont="1" applyFill="1" applyBorder="1" applyAlignment="1" applyProtection="1">
      <alignment horizontal="center"/>
    </xf>
    <xf numFmtId="0" fontId="60" fillId="3" borderId="0" xfId="4" applyNumberFormat="1" applyFont="1" applyFill="1" applyBorder="1" applyAlignment="1" applyProtection="1">
      <alignment vertical="center"/>
    </xf>
    <xf numFmtId="0" fontId="3" fillId="13" borderId="0" xfId="0" applyFont="1" applyFill="1" applyProtection="1">
      <protection locked="0"/>
    </xf>
    <xf numFmtId="0" fontId="6" fillId="8" borderId="1" xfId="0" applyFont="1" applyFill="1" applyBorder="1" applyAlignment="1">
      <alignment wrapText="1"/>
    </xf>
    <xf numFmtId="167" fontId="3" fillId="3" borderId="58" xfId="0" applyNumberFormat="1" applyFont="1" applyFill="1" applyBorder="1" applyAlignment="1" applyProtection="1">
      <alignment horizontal="center" vertical="center"/>
    </xf>
    <xf numFmtId="167" fontId="3" fillId="3" borderId="59" xfId="0" applyNumberFormat="1" applyFont="1" applyFill="1" applyBorder="1" applyAlignment="1" applyProtection="1">
      <alignment horizontal="center" vertical="center"/>
    </xf>
    <xf numFmtId="0" fontId="103" fillId="3" borderId="8" xfId="0" applyFont="1" applyFill="1" applyBorder="1" applyAlignment="1">
      <alignment horizontal="center" vertical="center"/>
    </xf>
    <xf numFmtId="0" fontId="104" fillId="3" borderId="11" xfId="0" applyFont="1" applyFill="1" applyBorder="1" applyAlignment="1">
      <alignment horizontal="center" vertical="center"/>
    </xf>
    <xf numFmtId="0" fontId="105" fillId="0" borderId="11" xfId="0" applyFont="1" applyBorder="1"/>
    <xf numFmtId="0" fontId="3" fillId="3" borderId="11" xfId="0" applyFont="1" applyFill="1" applyBorder="1" applyAlignment="1" applyProtection="1">
      <alignment vertical="center"/>
      <protection locked="0"/>
    </xf>
    <xf numFmtId="0" fontId="14" fillId="3" borderId="11" xfId="0" applyFont="1" applyFill="1" applyBorder="1" applyAlignment="1" applyProtection="1">
      <alignment vertical="center"/>
      <protection locked="0"/>
    </xf>
    <xf numFmtId="178" fontId="102" fillId="3" borderId="12" xfId="0" applyNumberFormat="1" applyFont="1" applyFill="1" applyBorder="1" applyAlignment="1" applyProtection="1">
      <alignment horizontal="center" vertical="center"/>
      <protection locked="0"/>
    </xf>
    <xf numFmtId="0" fontId="44" fillId="3" borderId="0" xfId="0" applyFont="1" applyFill="1" applyBorder="1" applyAlignment="1">
      <alignment vertical="center"/>
    </xf>
    <xf numFmtId="0" fontId="3" fillId="0" borderId="0" xfId="0" applyFont="1" applyBorder="1" applyProtection="1">
      <protection locked="0"/>
    </xf>
    <xf numFmtId="0" fontId="14" fillId="3" borderId="14" xfId="0" applyFont="1" applyFill="1" applyBorder="1" applyAlignment="1" applyProtection="1">
      <alignment vertical="center"/>
      <protection locked="0"/>
    </xf>
    <xf numFmtId="0" fontId="44" fillId="3" borderId="12" xfId="0" applyFont="1" applyFill="1" applyBorder="1" applyAlignment="1">
      <alignment vertical="center"/>
    </xf>
    <xf numFmtId="0" fontId="44" fillId="3" borderId="14" xfId="0" applyFont="1" applyFill="1" applyBorder="1" applyAlignment="1" applyProtection="1">
      <alignment vertical="center"/>
      <protection locked="0"/>
    </xf>
    <xf numFmtId="0" fontId="100" fillId="0" borderId="12" xfId="0" applyFont="1" applyBorder="1" applyAlignment="1"/>
    <xf numFmtId="0" fontId="107" fillId="0" borderId="12" xfId="0" applyFont="1" applyBorder="1" applyAlignment="1" applyProtection="1">
      <protection locked="0"/>
    </xf>
    <xf numFmtId="0" fontId="103" fillId="3" borderId="12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horizontal="right" vertical="center"/>
      <protection locked="0"/>
    </xf>
    <xf numFmtId="0" fontId="3" fillId="3" borderId="2" xfId="0" applyFont="1" applyFill="1" applyBorder="1" applyAlignment="1" applyProtection="1">
      <alignment horizontal="right" vertical="center"/>
      <protection locked="0"/>
    </xf>
    <xf numFmtId="0" fontId="3" fillId="3" borderId="2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10" fillId="0" borderId="0" xfId="1" applyFont="1" applyAlignment="1">
      <alignment vertical="center"/>
    </xf>
    <xf numFmtId="164" fontId="137" fillId="0" borderId="1" xfId="0" applyNumberFormat="1" applyFont="1" applyBorder="1" applyAlignment="1" applyProtection="1">
      <alignment horizontal="right"/>
      <protection hidden="1"/>
    </xf>
    <xf numFmtId="0" fontId="32" fillId="0" borderId="0" xfId="0" applyFont="1" applyAlignment="1" applyProtection="1">
      <alignment horizontal="left" vertical="center"/>
    </xf>
    <xf numFmtId="0" fontId="6" fillId="0" borderId="0" xfId="5"/>
    <xf numFmtId="0" fontId="6" fillId="0" borderId="0" xfId="5" applyAlignment="1" applyProtection="1">
      <alignment wrapText="1"/>
      <protection hidden="1"/>
    </xf>
    <xf numFmtId="0" fontId="6" fillId="0" borderId="0" xfId="5" applyProtection="1">
      <protection locked="0"/>
    </xf>
    <xf numFmtId="0" fontId="119" fillId="0" borderId="0" xfId="5" applyFont="1" applyAlignment="1">
      <alignment horizontal="center" vertical="center" wrapText="1"/>
    </xf>
    <xf numFmtId="0" fontId="7" fillId="0" borderId="0" xfId="5" applyFont="1" applyProtection="1">
      <protection locked="0"/>
    </xf>
    <xf numFmtId="0" fontId="121" fillId="0" borderId="3" xfId="5" applyFont="1" applyBorder="1" applyAlignment="1">
      <alignment horizontal="left" vertical="top" wrapText="1"/>
    </xf>
    <xf numFmtId="0" fontId="121" fillId="0" borderId="13" xfId="5" applyFont="1" applyBorder="1" applyAlignment="1">
      <alignment horizontal="left" vertical="top" wrapText="1"/>
    </xf>
    <xf numFmtId="0" fontId="6" fillId="0" borderId="0" xfId="5" applyAlignment="1">
      <alignment horizontal="left" vertical="top"/>
    </xf>
    <xf numFmtId="0" fontId="121" fillId="0" borderId="13" xfId="5" applyFont="1" applyBorder="1" applyAlignment="1">
      <alignment horizontal="left" vertical="top"/>
    </xf>
    <xf numFmtId="0" fontId="121" fillId="0" borderId="0" xfId="5" applyFont="1" applyAlignment="1">
      <alignment vertical="center" wrapText="1"/>
    </xf>
    <xf numFmtId="0" fontId="121" fillId="0" borderId="0" xfId="5" applyFont="1" applyAlignment="1">
      <alignment horizontal="center" vertical="center" wrapText="1"/>
    </xf>
    <xf numFmtId="0" fontId="123" fillId="0" borderId="0" xfId="5" applyFont="1"/>
    <xf numFmtId="0" fontId="121" fillId="0" borderId="0" xfId="5" applyFont="1" applyAlignment="1" applyProtection="1">
      <alignment horizontal="center" vertical="center" wrapText="1"/>
      <protection locked="0"/>
    </xf>
    <xf numFmtId="1" fontId="121" fillId="0" borderId="0" xfId="5" quotePrefix="1" applyNumberFormat="1" applyFont="1" applyAlignment="1" applyProtection="1">
      <alignment horizontal="left"/>
      <protection locked="0"/>
    </xf>
    <xf numFmtId="0" fontId="121" fillId="0" borderId="0" xfId="5" applyFont="1" applyProtection="1">
      <protection locked="0"/>
    </xf>
    <xf numFmtId="1" fontId="120" fillId="0" borderId="0" xfId="5" quotePrefix="1" applyNumberFormat="1" applyFont="1" applyProtection="1">
      <protection locked="0"/>
    </xf>
    <xf numFmtId="0" fontId="123" fillId="0" borderId="0" xfId="5" applyFont="1" applyProtection="1">
      <protection locked="0"/>
    </xf>
    <xf numFmtId="189" fontId="121" fillId="0" borderId="0" xfId="5" quotePrefix="1" applyNumberFormat="1" applyFont="1" applyAlignment="1" applyProtection="1">
      <alignment horizontal="left"/>
      <protection locked="0"/>
    </xf>
    <xf numFmtId="2" fontId="120" fillId="0" borderId="0" xfId="5" quotePrefix="1" applyNumberFormat="1" applyFont="1" applyProtection="1">
      <protection locked="0"/>
    </xf>
    <xf numFmtId="0" fontId="6" fillId="0" borderId="0" xfId="5" applyAlignment="1">
      <alignment vertical="top" wrapText="1"/>
    </xf>
    <xf numFmtId="0" fontId="121" fillId="0" borderId="3" xfId="5" applyFont="1" applyBorder="1" applyAlignment="1">
      <alignment vertical="top"/>
    </xf>
    <xf numFmtId="0" fontId="121" fillId="0" borderId="13" xfId="5" applyFont="1" applyBorder="1" applyAlignment="1" applyProtection="1">
      <alignment vertical="top" wrapText="1"/>
      <protection locked="0"/>
    </xf>
    <xf numFmtId="0" fontId="121" fillId="0" borderId="13" xfId="5" applyFont="1" applyBorder="1" applyAlignment="1" applyProtection="1">
      <alignment vertical="top"/>
      <protection locked="0"/>
    </xf>
    <xf numFmtId="0" fontId="124" fillId="0" borderId="0" xfId="5" applyFont="1" applyAlignment="1">
      <alignment vertical="top"/>
    </xf>
    <xf numFmtId="0" fontId="121" fillId="0" borderId="0" xfId="5" applyFont="1" applyAlignment="1" applyProtection="1">
      <alignment horizontal="center" vertical="top" wrapText="1"/>
      <protection locked="0"/>
    </xf>
    <xf numFmtId="0" fontId="115" fillId="0" borderId="0" xfId="5" applyFont="1" applyAlignment="1">
      <alignment horizontal="center"/>
    </xf>
    <xf numFmtId="0" fontId="116" fillId="0" borderId="0" xfId="5" applyFont="1"/>
    <xf numFmtId="0" fontId="121" fillId="0" borderId="0" xfId="5" applyFont="1" applyAlignment="1">
      <alignment horizontal="center" vertical="top" wrapText="1"/>
    </xf>
    <xf numFmtId="0" fontId="121" fillId="0" borderId="0" xfId="5" applyFont="1" applyAlignment="1">
      <alignment vertical="top" wrapText="1"/>
    </xf>
    <xf numFmtId="0" fontId="121" fillId="0" borderId="0" xfId="5" applyFont="1" applyAlignment="1">
      <alignment horizontal="justify" vertical="center" wrapText="1"/>
    </xf>
    <xf numFmtId="0" fontId="51" fillId="0" borderId="0" xfId="5" applyFont="1" applyAlignment="1">
      <alignment vertical="center"/>
    </xf>
    <xf numFmtId="0" fontId="6" fillId="0" borderId="30" xfId="5" applyBorder="1"/>
    <xf numFmtId="0" fontId="138" fillId="0" borderId="36" xfId="5" applyFont="1" applyBorder="1"/>
    <xf numFmtId="0" fontId="6" fillId="0" borderId="31" xfId="5" applyBorder="1"/>
    <xf numFmtId="0" fontId="6" fillId="0" borderId="40" xfId="5" applyBorder="1"/>
    <xf numFmtId="0" fontId="6" fillId="0" borderId="31" xfId="5" applyBorder="1" applyAlignment="1">
      <alignment wrapText="1"/>
    </xf>
    <xf numFmtId="0" fontId="6" fillId="0" borderId="40" xfId="5" applyBorder="1" applyAlignment="1">
      <alignment wrapText="1"/>
    </xf>
    <xf numFmtId="0" fontId="138" fillId="0" borderId="40" xfId="5" applyFont="1" applyBorder="1"/>
    <xf numFmtId="0" fontId="130" fillId="0" borderId="40" xfId="5" applyFont="1" applyBorder="1" applyAlignment="1">
      <alignment horizontal="left" wrapText="1"/>
    </xf>
    <xf numFmtId="0" fontId="6" fillId="0" borderId="0" xfId="5" applyAlignment="1">
      <alignment wrapText="1"/>
    </xf>
    <xf numFmtId="0" fontId="130" fillId="0" borderId="31" xfId="5" applyFont="1" applyBorder="1" applyAlignment="1">
      <alignment wrapText="1"/>
    </xf>
    <xf numFmtId="185" fontId="130" fillId="0" borderId="40" xfId="5" applyNumberFormat="1" applyFont="1" applyBorder="1" applyAlignment="1">
      <alignment horizontal="left"/>
    </xf>
    <xf numFmtId="185" fontId="6" fillId="0" borderId="40" xfId="5" applyNumberFormat="1" applyBorder="1"/>
    <xf numFmtId="0" fontId="139" fillId="0" borderId="40" xfId="5" applyFont="1" applyBorder="1" applyAlignment="1">
      <alignment horizontal="left" wrapText="1"/>
    </xf>
    <xf numFmtId="0" fontId="130" fillId="0" borderId="40" xfId="5" applyFont="1" applyBorder="1" applyAlignment="1">
      <alignment wrapText="1"/>
    </xf>
    <xf numFmtId="0" fontId="130" fillId="0" borderId="31" xfId="5" applyFont="1" applyBorder="1"/>
    <xf numFmtId="0" fontId="130" fillId="0" borderId="37" xfId="5" applyFont="1" applyBorder="1"/>
    <xf numFmtId="0" fontId="130" fillId="0" borderId="39" xfId="5" applyFont="1" applyBorder="1" applyAlignment="1">
      <alignment wrapText="1"/>
    </xf>
    <xf numFmtId="185" fontId="57" fillId="2" borderId="0" xfId="0" applyNumberFormat="1" applyFont="1" applyFill="1" applyAlignment="1" applyProtection="1">
      <alignment horizontal="left"/>
    </xf>
    <xf numFmtId="184" fontId="3" fillId="14" borderId="0" xfId="4" quotePrefix="1" applyNumberFormat="1" applyFont="1" applyFill="1" applyAlignment="1" applyProtection="1">
      <alignment horizontal="left"/>
      <protection locked="0"/>
    </xf>
    <xf numFmtId="2" fontId="140" fillId="0" borderId="0" xfId="0" applyNumberFormat="1" applyFont="1" applyAlignment="1">
      <alignment vertical="center"/>
    </xf>
    <xf numFmtId="2" fontId="19" fillId="3" borderId="1" xfId="0" applyNumberFormat="1" applyFont="1" applyFill="1" applyBorder="1" applyAlignment="1" applyProtection="1">
      <alignment vertical="center"/>
      <protection locked="0"/>
    </xf>
    <xf numFmtId="2" fontId="140" fillId="0" borderId="31" xfId="0" applyNumberFormat="1" applyFont="1" applyBorder="1" applyAlignment="1">
      <alignment vertical="center"/>
    </xf>
    <xf numFmtId="2" fontId="140" fillId="0" borderId="0" xfId="0" applyNumberFormat="1" applyFont="1" applyAlignment="1">
      <alignment horizontal="center" vertical="center"/>
    </xf>
    <xf numFmtId="2" fontId="140" fillId="0" borderId="40" xfId="0" applyNumberFormat="1" applyFont="1" applyBorder="1" applyAlignment="1">
      <alignment vertical="center"/>
    </xf>
    <xf numFmtId="2" fontId="141" fillId="0" borderId="31" xfId="0" applyNumberFormat="1" applyFont="1" applyBorder="1" applyAlignment="1">
      <alignment vertical="center"/>
    </xf>
    <xf numFmtId="2" fontId="141" fillId="0" borderId="0" xfId="0" applyNumberFormat="1" applyFont="1" applyAlignment="1">
      <alignment horizontal="center" vertical="center"/>
    </xf>
    <xf numFmtId="2" fontId="141" fillId="0" borderId="40" xfId="0" applyNumberFormat="1" applyFont="1" applyBorder="1" applyAlignment="1">
      <alignment vertical="center"/>
    </xf>
    <xf numFmtId="2" fontId="141" fillId="0" borderId="0" xfId="0" applyNumberFormat="1" applyFont="1" applyAlignment="1">
      <alignment vertical="center"/>
    </xf>
    <xf numFmtId="2" fontId="140" fillId="12" borderId="0" xfId="0" applyNumberFormat="1" applyFont="1" applyFill="1" applyAlignment="1">
      <alignment vertical="center"/>
    </xf>
    <xf numFmtId="2" fontId="19" fillId="12" borderId="0" xfId="0" applyNumberFormat="1" applyFont="1" applyFill="1" applyAlignment="1" applyProtection="1">
      <alignment vertical="center"/>
      <protection locked="0"/>
    </xf>
    <xf numFmtId="2" fontId="19" fillId="12" borderId="0" xfId="0" applyNumberFormat="1" applyFont="1" applyFill="1" applyAlignment="1" applyProtection="1">
      <alignment horizontal="right" vertical="center"/>
      <protection hidden="1"/>
    </xf>
    <xf numFmtId="2" fontId="19" fillId="3" borderId="0" xfId="0" applyNumberFormat="1" applyFont="1" applyFill="1" applyAlignment="1" applyProtection="1">
      <alignment horizontal="center" vertical="center" wrapText="1"/>
      <protection locked="0"/>
    </xf>
    <xf numFmtId="2" fontId="142" fillId="12" borderId="0" xfId="0" applyNumberFormat="1" applyFont="1" applyFill="1" applyAlignment="1" applyProtection="1">
      <alignment vertical="center"/>
      <protection locked="0"/>
    </xf>
    <xf numFmtId="2" fontId="19" fillId="0" borderId="0" xfId="0" applyNumberFormat="1" applyFont="1" applyAlignment="1" applyProtection="1">
      <alignment horizontal="right" vertical="center"/>
      <protection hidden="1"/>
    </xf>
    <xf numFmtId="2" fontId="140" fillId="0" borderId="37" xfId="0" applyNumberFormat="1" applyFont="1" applyBorder="1" applyAlignment="1">
      <alignment vertical="center"/>
    </xf>
    <xf numFmtId="2" fontId="140" fillId="0" borderId="38" xfId="0" applyNumberFormat="1" applyFont="1" applyBorder="1" applyAlignment="1">
      <alignment vertical="center"/>
    </xf>
    <xf numFmtId="2" fontId="140" fillId="0" borderId="39" xfId="0" applyNumberFormat="1" applyFont="1" applyBorder="1" applyAlignment="1">
      <alignment vertical="center"/>
    </xf>
    <xf numFmtId="2" fontId="19" fillId="3" borderId="0" xfId="0" applyNumberFormat="1" applyFont="1" applyFill="1" applyAlignment="1" applyProtection="1">
      <alignment vertical="center"/>
      <protection locked="0"/>
    </xf>
    <xf numFmtId="2" fontId="19" fillId="3" borderId="38" xfId="0" applyNumberFormat="1" applyFont="1" applyFill="1" applyBorder="1" applyAlignment="1" applyProtection="1">
      <alignment vertical="center"/>
      <protection locked="0"/>
    </xf>
    <xf numFmtId="2" fontId="19" fillId="0" borderId="38" xfId="0" applyNumberFormat="1" applyFont="1" applyBorder="1" applyAlignment="1" applyProtection="1">
      <alignment horizontal="right" vertical="center"/>
      <protection hidden="1"/>
    </xf>
    <xf numFmtId="2" fontId="19" fillId="3" borderId="38" xfId="0" applyNumberFormat="1" applyFont="1" applyFill="1" applyBorder="1" applyAlignment="1" applyProtection="1">
      <alignment horizontal="center" vertical="center" wrapText="1"/>
      <protection locked="0"/>
    </xf>
    <xf numFmtId="165" fontId="10" fillId="12" borderId="1" xfId="0" applyNumberFormat="1" applyFont="1" applyFill="1" applyBorder="1" applyProtection="1"/>
    <xf numFmtId="167" fontId="19" fillId="3" borderId="0" xfId="0" applyNumberFormat="1" applyFont="1" applyFill="1" applyAlignment="1" applyProtection="1">
      <alignment horizontal="center" vertical="center" wrapText="1"/>
      <protection locked="0"/>
    </xf>
    <xf numFmtId="2" fontId="140" fillId="3" borderId="0" xfId="0" applyNumberFormat="1" applyFont="1" applyFill="1" applyAlignment="1">
      <alignment vertical="center"/>
    </xf>
    <xf numFmtId="164" fontId="3" fillId="3" borderId="57" xfId="0" applyNumberFormat="1" applyFont="1" applyFill="1" applyBorder="1" applyAlignment="1" applyProtection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7" fillId="3" borderId="5" xfId="0" applyFont="1" applyFill="1" applyBorder="1" applyAlignment="1" applyProtection="1">
      <alignment horizontal="center" vertical="center"/>
    </xf>
    <xf numFmtId="0" fontId="57" fillId="3" borderId="7" xfId="0" applyFont="1" applyFill="1" applyBorder="1" applyAlignment="1" applyProtection="1">
      <alignment horizontal="center" vertical="center"/>
    </xf>
    <xf numFmtId="0" fontId="57" fillId="3" borderId="1" xfId="0" applyFont="1" applyFill="1" applyBorder="1" applyAlignment="1" applyProtection="1">
      <alignment horizontal="center" vertical="center" wrapText="1"/>
    </xf>
    <xf numFmtId="0" fontId="62" fillId="3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horizontal="right" vertical="center"/>
    </xf>
    <xf numFmtId="0" fontId="62" fillId="3" borderId="0" xfId="0" applyFont="1" applyFill="1" applyAlignment="1" applyProtection="1">
      <alignment horizontal="right" vertical="center"/>
    </xf>
    <xf numFmtId="0" fontId="60" fillId="3" borderId="12" xfId="4" applyNumberFormat="1" applyFont="1" applyFill="1" applyBorder="1" applyAlignment="1" applyProtection="1">
      <alignment horizontal="left" vertical="center"/>
    </xf>
    <xf numFmtId="0" fontId="60" fillId="3" borderId="0" xfId="4" applyNumberFormat="1" applyFont="1" applyFill="1" applyBorder="1" applyAlignment="1" applyProtection="1">
      <alignment horizontal="left" vertical="center"/>
    </xf>
    <xf numFmtId="0" fontId="60" fillId="3" borderId="8" xfId="4" applyNumberFormat="1" applyFont="1" applyFill="1" applyBorder="1" applyAlignment="1" applyProtection="1">
      <alignment horizontal="left" vertical="center"/>
    </xf>
    <xf numFmtId="164" fontId="57" fillId="3" borderId="1" xfId="0" applyNumberFormat="1" applyFont="1" applyFill="1" applyBorder="1" applyAlignment="1" applyProtection="1">
      <alignment horizontal="center" vertical="center"/>
    </xf>
    <xf numFmtId="0" fontId="60" fillId="3" borderId="1" xfId="0" applyNumberFormat="1" applyFont="1" applyFill="1" applyBorder="1" applyAlignment="1" applyProtection="1">
      <alignment horizontal="center" vertical="center"/>
    </xf>
    <xf numFmtId="0" fontId="58" fillId="3" borderId="1" xfId="0" applyNumberFormat="1" applyFont="1" applyFill="1" applyBorder="1" applyAlignment="1" applyProtection="1">
      <alignment horizontal="center" vertical="center"/>
    </xf>
    <xf numFmtId="0" fontId="57" fillId="3" borderId="10" xfId="0" applyFont="1" applyFill="1" applyBorder="1" applyAlignment="1" applyProtection="1">
      <alignment horizontal="center" vertical="center"/>
    </xf>
    <xf numFmtId="0" fontId="29" fillId="3" borderId="0" xfId="0" applyFont="1" applyFill="1" applyBorder="1" applyAlignment="1" applyProtection="1">
      <alignment horizontal="center" vertical="center" wrapText="1"/>
    </xf>
    <xf numFmtId="0" fontId="58" fillId="3" borderId="0" xfId="0" applyFont="1" applyFill="1" applyAlignment="1" applyProtection="1">
      <alignment horizontal="center"/>
    </xf>
    <xf numFmtId="0" fontId="57" fillId="3" borderId="29" xfId="0" applyFont="1" applyFill="1" applyBorder="1" applyAlignment="1" applyProtection="1">
      <alignment horizontal="left" vertical="center"/>
    </xf>
    <xf numFmtId="0" fontId="60" fillId="3" borderId="0" xfId="0" applyFont="1" applyFill="1" applyAlignment="1" applyProtection="1">
      <alignment horizontal="left" vertical="center"/>
    </xf>
    <xf numFmtId="0" fontId="60" fillId="3" borderId="0" xfId="0" applyNumberFormat="1" applyFont="1" applyFill="1" applyBorder="1" applyAlignment="1" applyProtection="1">
      <alignment horizontal="center" vertical="center"/>
    </xf>
    <xf numFmtId="0" fontId="57" fillId="3" borderId="8" xfId="0" applyFont="1" applyFill="1" applyBorder="1" applyAlignment="1" applyProtection="1">
      <alignment horizontal="center" vertical="center" wrapText="1"/>
    </xf>
    <xf numFmtId="0" fontId="57" fillId="3" borderId="11" xfId="0" applyFont="1" applyFill="1" applyBorder="1" applyAlignment="1" applyProtection="1">
      <alignment horizontal="center" vertical="center" wrapText="1"/>
    </xf>
    <xf numFmtId="0" fontId="57" fillId="3" borderId="6" xfId="0" applyFont="1" applyFill="1" applyBorder="1" applyAlignment="1" applyProtection="1">
      <alignment horizontal="center" vertical="center" wrapText="1"/>
    </xf>
    <xf numFmtId="0" fontId="57" fillId="3" borderId="4" xfId="0" applyFont="1" applyFill="1" applyBorder="1" applyAlignment="1" applyProtection="1">
      <alignment horizontal="center" vertical="center" wrapText="1"/>
    </xf>
    <xf numFmtId="0" fontId="57" fillId="3" borderId="2" xfId="0" applyFont="1" applyFill="1" applyBorder="1" applyAlignment="1" applyProtection="1">
      <alignment horizontal="center" vertical="center" wrapText="1"/>
    </xf>
    <xf numFmtId="0" fontId="57" fillId="3" borderId="9" xfId="0" applyFont="1" applyFill="1" applyBorder="1" applyAlignment="1" applyProtection="1">
      <alignment horizontal="center" vertical="center" wrapText="1"/>
    </xf>
    <xf numFmtId="0" fontId="57" fillId="3" borderId="3" xfId="0" applyFont="1" applyFill="1" applyBorder="1" applyAlignment="1" applyProtection="1">
      <alignment horizontal="center" vertical="center"/>
    </xf>
    <xf numFmtId="0" fontId="57" fillId="3" borderId="15" xfId="0" applyFont="1" applyFill="1" applyBorder="1" applyAlignment="1" applyProtection="1">
      <alignment horizontal="center" vertical="center"/>
    </xf>
    <xf numFmtId="0" fontId="57" fillId="3" borderId="13" xfId="0" applyFont="1" applyFill="1" applyBorder="1" applyAlignment="1" applyProtection="1">
      <alignment horizontal="center" vertical="center"/>
    </xf>
    <xf numFmtId="0" fontId="60" fillId="3" borderId="4" xfId="0" applyNumberFormat="1" applyFont="1" applyFill="1" applyBorder="1" applyAlignment="1" applyProtection="1">
      <alignment horizontal="left" vertical="center"/>
    </xf>
    <xf numFmtId="0" fontId="60" fillId="3" borderId="2" xfId="0" applyNumberFormat="1" applyFont="1" applyFill="1" applyBorder="1" applyAlignment="1" applyProtection="1">
      <alignment horizontal="left" vertical="center"/>
    </xf>
    <xf numFmtId="0" fontId="60" fillId="3" borderId="5" xfId="0" applyNumberFormat="1" applyFont="1" applyFill="1" applyBorder="1" applyAlignment="1" applyProtection="1">
      <alignment horizontal="center"/>
    </xf>
    <xf numFmtId="0" fontId="60" fillId="3" borderId="10" xfId="0" applyNumberFormat="1" applyFont="1" applyFill="1" applyBorder="1" applyAlignment="1" applyProtection="1">
      <alignment horizontal="center"/>
    </xf>
    <xf numFmtId="0" fontId="57" fillId="3" borderId="5" xfId="0" applyFont="1" applyFill="1" applyBorder="1" applyAlignment="1" applyProtection="1">
      <alignment horizontal="center" vertical="center" wrapText="1"/>
    </xf>
    <xf numFmtId="0" fontId="63" fillId="3" borderId="1" xfId="0" applyFont="1" applyFill="1" applyBorder="1" applyAlignment="1" applyProtection="1">
      <alignment horizontal="center" vertical="center"/>
    </xf>
    <xf numFmtId="0" fontId="60" fillId="3" borderId="1" xfId="0" applyFont="1" applyFill="1" applyBorder="1" applyAlignment="1" applyProtection="1">
      <alignment horizontal="center" vertical="center" wrapText="1"/>
    </xf>
    <xf numFmtId="0" fontId="60" fillId="3" borderId="3" xfId="0" applyFont="1" applyFill="1" applyBorder="1" applyAlignment="1" applyProtection="1">
      <alignment horizontal="center" vertical="center" wrapText="1"/>
    </xf>
    <xf numFmtId="0" fontId="60" fillId="3" borderId="15" xfId="0" applyFont="1" applyFill="1" applyBorder="1" applyAlignment="1" applyProtection="1">
      <alignment horizontal="center" vertical="center" wrapText="1"/>
    </xf>
    <xf numFmtId="0" fontId="60" fillId="3" borderId="13" xfId="0" applyFont="1" applyFill="1" applyBorder="1" applyAlignment="1" applyProtection="1">
      <alignment horizontal="center" vertical="center" wrapText="1"/>
    </xf>
    <xf numFmtId="0" fontId="57" fillId="3" borderId="0" xfId="0" applyFont="1" applyFill="1" applyBorder="1" applyAlignment="1" applyProtection="1">
      <alignment horizontal="center" vertical="center" wrapText="1"/>
      <protection hidden="1"/>
    </xf>
    <xf numFmtId="0" fontId="60" fillId="3" borderId="0" xfId="0" applyNumberFormat="1" applyFont="1" applyFill="1" applyBorder="1" applyAlignment="1">
      <alignment horizontal="center" vertical="center"/>
    </xf>
    <xf numFmtId="0" fontId="63" fillId="3" borderId="0" xfId="0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 applyProtection="1">
      <alignment horizontal="center" vertical="center" wrapText="1"/>
    </xf>
    <xf numFmtId="0" fontId="60" fillId="3" borderId="1" xfId="4" applyNumberFormat="1" applyFont="1" applyFill="1" applyBorder="1" applyAlignment="1" applyProtection="1">
      <alignment horizontal="center" vertical="center"/>
    </xf>
    <xf numFmtId="0" fontId="57" fillId="3" borderId="3" xfId="0" applyFont="1" applyFill="1" applyBorder="1" applyAlignment="1" applyProtection="1">
      <alignment horizontal="center" vertical="center" wrapText="1"/>
    </xf>
    <xf numFmtId="0" fontId="57" fillId="3" borderId="15" xfId="0" applyFont="1" applyFill="1" applyBorder="1" applyAlignment="1" applyProtection="1">
      <alignment horizontal="center" vertical="center" wrapText="1"/>
    </xf>
    <xf numFmtId="0" fontId="57" fillId="3" borderId="13" xfId="0" applyFont="1" applyFill="1" applyBorder="1" applyAlignment="1" applyProtection="1">
      <alignment horizontal="center" vertical="center" wrapText="1"/>
    </xf>
    <xf numFmtId="0" fontId="57" fillId="3" borderId="10" xfId="0" applyFont="1" applyFill="1" applyBorder="1" applyAlignment="1" applyProtection="1">
      <alignment horizontal="center" vertical="center" wrapText="1"/>
    </xf>
    <xf numFmtId="0" fontId="57" fillId="3" borderId="12" xfId="0" applyFont="1" applyFill="1" applyBorder="1" applyAlignment="1" applyProtection="1">
      <alignment horizontal="center" vertical="center" wrapText="1"/>
    </xf>
    <xf numFmtId="0" fontId="57" fillId="3" borderId="0" xfId="0" applyFont="1" applyFill="1" applyBorder="1" applyAlignment="1" applyProtection="1">
      <alignment horizontal="center" vertical="center" wrapText="1"/>
    </xf>
    <xf numFmtId="0" fontId="57" fillId="3" borderId="14" xfId="0" applyFont="1" applyFill="1" applyBorder="1" applyAlignment="1" applyProtection="1">
      <alignment horizontal="center" vertical="center" wrapText="1"/>
    </xf>
    <xf numFmtId="0" fontId="63" fillId="3" borderId="1" xfId="0" applyNumberFormat="1" applyFont="1" applyFill="1" applyBorder="1" applyAlignment="1" applyProtection="1">
      <alignment horizontal="center" vertical="center"/>
    </xf>
    <xf numFmtId="0" fontId="60" fillId="3" borderId="5" xfId="4" applyNumberFormat="1" applyFont="1" applyFill="1" applyBorder="1" applyAlignment="1" applyProtection="1">
      <alignment horizontal="center" vertical="center"/>
    </xf>
    <xf numFmtId="0" fontId="60" fillId="3" borderId="10" xfId="4" applyNumberFormat="1" applyFont="1" applyFill="1" applyBorder="1" applyAlignment="1" applyProtection="1">
      <alignment horizontal="center" vertical="center"/>
    </xf>
    <xf numFmtId="0" fontId="60" fillId="3" borderId="7" xfId="4" applyNumberFormat="1" applyFont="1" applyFill="1" applyBorder="1" applyAlignment="1" applyProtection="1">
      <alignment horizontal="center" vertical="center"/>
    </xf>
    <xf numFmtId="0" fontId="60" fillId="3" borderId="5" xfId="0" applyNumberFormat="1" applyFont="1" applyFill="1" applyBorder="1" applyAlignment="1" applyProtection="1">
      <alignment horizontal="center" vertical="center"/>
    </xf>
    <xf numFmtId="0" fontId="60" fillId="3" borderId="7" xfId="0" applyNumberFormat="1" applyFont="1" applyFill="1" applyBorder="1" applyAlignment="1" applyProtection="1">
      <alignment horizontal="center" vertical="center"/>
    </xf>
    <xf numFmtId="0" fontId="60" fillId="3" borderId="7" xfId="0" applyNumberFormat="1" applyFont="1" applyFill="1" applyBorder="1" applyAlignment="1" applyProtection="1">
      <alignment horizontal="center"/>
    </xf>
    <xf numFmtId="167" fontId="60" fillId="3" borderId="1" xfId="0" quotePrefix="1" applyNumberFormat="1" applyFont="1" applyFill="1" applyBorder="1" applyAlignment="1" applyProtection="1">
      <alignment horizontal="right" vertical="center" wrapText="1"/>
    </xf>
    <xf numFmtId="0" fontId="57" fillId="3" borderId="1" xfId="0" applyFont="1" applyFill="1" applyBorder="1" applyAlignment="1" applyProtection="1">
      <alignment horizontal="center" vertical="center"/>
    </xf>
    <xf numFmtId="0" fontId="83" fillId="3" borderId="5" xfId="0" applyFont="1" applyFill="1" applyBorder="1" applyAlignment="1" applyProtection="1">
      <alignment horizontal="center" vertical="center"/>
    </xf>
    <xf numFmtId="0" fontId="83" fillId="3" borderId="7" xfId="0" applyFont="1" applyFill="1" applyBorder="1" applyAlignment="1" applyProtection="1">
      <alignment horizontal="center" vertical="center"/>
    </xf>
    <xf numFmtId="0" fontId="84" fillId="3" borderId="5" xfId="0" applyFont="1" applyFill="1" applyBorder="1" applyAlignment="1" applyProtection="1">
      <alignment horizontal="center" vertical="center"/>
    </xf>
    <xf numFmtId="0" fontId="84" fillId="3" borderId="10" xfId="0" applyFont="1" applyFill="1" applyBorder="1" applyAlignment="1" applyProtection="1">
      <alignment horizontal="center" vertical="center"/>
    </xf>
    <xf numFmtId="0" fontId="84" fillId="3" borderId="7" xfId="0" applyFont="1" applyFill="1" applyBorder="1" applyAlignment="1" applyProtection="1">
      <alignment horizontal="center" vertical="center"/>
    </xf>
    <xf numFmtId="0" fontId="84" fillId="3" borderId="1" xfId="0" applyFont="1" applyFill="1" applyBorder="1" applyAlignment="1" applyProtection="1">
      <alignment horizontal="center" vertical="center"/>
    </xf>
    <xf numFmtId="164" fontId="60" fillId="3" borderId="1" xfId="0" quotePrefix="1" applyNumberFormat="1" applyFont="1" applyFill="1" applyBorder="1" applyAlignment="1" applyProtection="1">
      <alignment horizontal="right" vertical="center" wrapText="1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1" fontId="44" fillId="3" borderId="5" xfId="0" applyNumberFormat="1" applyFont="1" applyFill="1" applyBorder="1" applyAlignment="1" applyProtection="1">
      <alignment horizontal="center" vertical="center"/>
      <protection locked="0"/>
    </xf>
    <xf numFmtId="1" fontId="44" fillId="3" borderId="10" xfId="0" applyNumberFormat="1" applyFont="1" applyFill="1" applyBorder="1" applyAlignment="1" applyProtection="1">
      <alignment horizontal="center" vertical="center"/>
      <protection locked="0"/>
    </xf>
    <xf numFmtId="1" fontId="44" fillId="3" borderId="7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44" fillId="3" borderId="1" xfId="0" applyFont="1" applyFill="1" applyBorder="1" applyAlignment="1" applyProtection="1">
      <alignment horizontal="center" vertical="center"/>
      <protection locked="0"/>
    </xf>
    <xf numFmtId="1" fontId="44" fillId="3" borderId="11" xfId="0" applyNumberFormat="1" applyFont="1" applyFill="1" applyBorder="1" applyAlignment="1" applyProtection="1">
      <alignment horizontal="center" vertical="center"/>
      <protection locked="0"/>
    </xf>
    <xf numFmtId="1" fontId="44" fillId="3" borderId="6" xfId="0" applyNumberFormat="1" applyFont="1" applyFill="1" applyBorder="1" applyAlignment="1" applyProtection="1">
      <alignment horizontal="center" vertical="center"/>
      <protection locked="0"/>
    </xf>
    <xf numFmtId="0" fontId="3" fillId="10" borderId="5" xfId="0" applyFont="1" applyFill="1" applyBorder="1" applyAlignment="1" applyProtection="1">
      <alignment horizontal="center" vertical="center"/>
    </xf>
    <xf numFmtId="0" fontId="3" fillId="10" borderId="7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60" fillId="3" borderId="5" xfId="0" applyFont="1" applyFill="1" applyBorder="1" applyAlignment="1" applyProtection="1">
      <alignment horizontal="center" vertical="center"/>
    </xf>
    <xf numFmtId="0" fontId="60" fillId="3" borderId="7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7" xfId="0" applyFont="1" applyFill="1" applyBorder="1" applyAlignment="1" applyProtection="1">
      <alignment horizontal="center" vertical="center"/>
    </xf>
    <xf numFmtId="0" fontId="3" fillId="0" borderId="49" xfId="0" applyFont="1" applyBorder="1" applyAlignment="1" applyProtection="1">
      <alignment horizontal="center" vertical="center" wrapText="1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51" xfId="0" applyFont="1" applyBorder="1" applyAlignment="1" applyProtection="1">
      <alignment horizontal="center" vertical="center" wrapText="1"/>
      <protection locked="0"/>
    </xf>
    <xf numFmtId="0" fontId="24" fillId="3" borderId="0" xfId="0" applyFont="1" applyFill="1" applyAlignment="1" applyProtection="1">
      <alignment horizontal="center" vertical="center"/>
    </xf>
    <xf numFmtId="0" fontId="30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0" fontId="27" fillId="2" borderId="0" xfId="0" applyFont="1" applyFill="1" applyAlignment="1" applyProtection="1">
      <alignment horizontal="left" vertical="center"/>
    </xf>
    <xf numFmtId="0" fontId="10" fillId="3" borderId="14" xfId="0" applyNumberFormat="1" applyFont="1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10" fillId="3" borderId="5" xfId="4" applyFont="1" applyFill="1" applyBorder="1" applyAlignment="1" applyProtection="1">
      <alignment horizontal="center" vertical="center" wrapText="1"/>
    </xf>
    <xf numFmtId="0" fontId="10" fillId="3" borderId="10" xfId="4" applyFont="1" applyFill="1" applyBorder="1" applyAlignment="1" applyProtection="1">
      <alignment horizontal="center" vertical="center" wrapText="1"/>
    </xf>
    <xf numFmtId="0" fontId="10" fillId="3" borderId="7" xfId="4" applyFont="1" applyFill="1" applyBorder="1" applyAlignment="1" applyProtection="1">
      <alignment horizontal="center" vertical="center" wrapText="1"/>
    </xf>
    <xf numFmtId="0" fontId="10" fillId="3" borderId="14" xfId="4" applyFont="1" applyFill="1" applyBorder="1" applyAlignment="1" applyProtection="1">
      <alignment horizontal="center" vertical="center" wrapText="1"/>
    </xf>
    <xf numFmtId="0" fontId="10" fillId="3" borderId="11" xfId="0" applyFont="1" applyFill="1" applyBorder="1" applyAlignment="1" applyProtection="1">
      <alignment horizontal="center" vertical="center" wrapText="1"/>
    </xf>
    <xf numFmtId="0" fontId="10" fillId="3" borderId="0" xfId="0" applyFont="1" applyFill="1" applyBorder="1" applyAlignment="1" applyProtection="1">
      <alignment horizontal="center" vertical="center" wrapText="1"/>
    </xf>
    <xf numFmtId="0" fontId="10" fillId="3" borderId="2" xfId="0" applyFont="1" applyFill="1" applyBorder="1" applyAlignment="1" applyProtection="1">
      <alignment horizontal="center" vertical="center" wrapText="1"/>
    </xf>
    <xf numFmtId="0" fontId="10" fillId="3" borderId="6" xfId="0" applyFont="1" applyFill="1" applyBorder="1" applyAlignment="1" applyProtection="1">
      <alignment horizontal="center" vertical="center" wrapText="1"/>
    </xf>
    <xf numFmtId="0" fontId="10" fillId="3" borderId="14" xfId="0" applyFont="1" applyFill="1" applyBorder="1" applyAlignment="1" applyProtection="1">
      <alignment horizontal="center" vertical="center" wrapText="1"/>
    </xf>
    <xf numFmtId="0" fontId="10" fillId="3" borderId="9" xfId="0" applyFont="1" applyFill="1" applyBorder="1" applyAlignment="1" applyProtection="1">
      <alignment horizontal="center" vertical="center" wrapText="1"/>
    </xf>
    <xf numFmtId="0" fontId="10" fillId="3" borderId="8" xfId="4" applyFont="1" applyFill="1" applyBorder="1" applyAlignment="1" applyProtection="1">
      <alignment horizontal="center" vertical="center" wrapText="1"/>
    </xf>
    <xf numFmtId="0" fontId="10" fillId="3" borderId="12" xfId="4" applyFont="1" applyFill="1" applyBorder="1" applyAlignment="1" applyProtection="1">
      <alignment horizontal="center" vertical="center" wrapText="1"/>
    </xf>
    <xf numFmtId="0" fontId="10" fillId="3" borderId="4" xfId="4" applyFont="1" applyFill="1" applyBorder="1" applyAlignment="1" applyProtection="1">
      <alignment horizontal="center" vertical="center" wrapText="1"/>
    </xf>
    <xf numFmtId="167" fontId="113" fillId="0" borderId="8" xfId="0" applyNumberFormat="1" applyFont="1" applyBorder="1" applyAlignment="1" applyProtection="1">
      <alignment horizontal="right" vertical="center"/>
    </xf>
    <xf numFmtId="167" fontId="113" fillId="0" borderId="4" xfId="0" applyNumberFormat="1" applyFont="1" applyBorder="1" applyAlignment="1" applyProtection="1">
      <alignment horizontal="right" vertical="center"/>
    </xf>
    <xf numFmtId="167" fontId="114" fillId="0" borderId="6" xfId="0" applyNumberFormat="1" applyFont="1" applyBorder="1" applyAlignment="1" applyProtection="1">
      <alignment horizontal="right" vertical="center"/>
    </xf>
    <xf numFmtId="167" fontId="114" fillId="0" borderId="9" xfId="0" applyNumberFormat="1" applyFont="1" applyBorder="1" applyAlignment="1" applyProtection="1">
      <alignment horizontal="right" vertical="center"/>
    </xf>
    <xf numFmtId="167" fontId="113" fillId="0" borderId="5" xfId="0" applyNumberFormat="1" applyFont="1" applyBorder="1" applyAlignment="1" applyProtection="1">
      <alignment horizontal="center" vertical="center"/>
      <protection locked="0"/>
    </xf>
    <xf numFmtId="167" fontId="113" fillId="0" borderId="7" xfId="0" applyNumberFormat="1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horizontal="center" vertical="top"/>
    </xf>
    <xf numFmtId="0" fontId="27" fillId="0" borderId="13" xfId="0" applyFont="1" applyBorder="1" applyAlignment="1" applyProtection="1">
      <alignment horizontal="center" vertical="top"/>
    </xf>
    <xf numFmtId="0" fontId="3" fillId="3" borderId="10" xfId="0" applyFont="1" applyFill="1" applyBorder="1" applyAlignment="1" applyProtection="1">
      <alignment horizontal="center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27" fillId="2" borderId="0" xfId="0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left" vertical="top" wrapText="1"/>
      <protection locked="0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3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0" fillId="3" borderId="5" xfId="4" applyNumberFormat="1" applyFont="1" applyFill="1" applyBorder="1" applyAlignment="1" applyProtection="1">
      <alignment horizontal="center" vertical="center"/>
    </xf>
    <xf numFmtId="0" fontId="10" fillId="3" borderId="10" xfId="4" applyNumberFormat="1" applyFont="1" applyFill="1" applyBorder="1" applyAlignment="1" applyProtection="1">
      <alignment horizontal="center" vertical="center"/>
    </xf>
    <xf numFmtId="0" fontId="10" fillId="3" borderId="7" xfId="4" applyNumberFormat="1" applyFont="1" applyFill="1" applyBorder="1" applyAlignment="1" applyProtection="1">
      <alignment horizontal="center" vertical="center"/>
    </xf>
    <xf numFmtId="164" fontId="10" fillId="3" borderId="1" xfId="0" applyNumberFormat="1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81" fillId="3" borderId="12" xfId="0" applyFont="1" applyFill="1" applyBorder="1" applyAlignment="1" applyProtection="1">
      <alignment horizontal="center" vertical="center" wrapText="1"/>
    </xf>
    <xf numFmtId="0" fontId="81" fillId="3" borderId="0" xfId="0" applyFont="1" applyFill="1" applyAlignment="1" applyProtection="1">
      <alignment horizontal="center" vertical="center" wrapText="1"/>
    </xf>
    <xf numFmtId="176" fontId="44" fillId="3" borderId="12" xfId="0" applyNumberFormat="1" applyFont="1" applyFill="1" applyBorder="1" applyAlignment="1" applyProtection="1">
      <alignment horizontal="center" vertical="center" wrapText="1"/>
    </xf>
    <xf numFmtId="176" fontId="44" fillId="3" borderId="0" xfId="0" applyNumberFormat="1" applyFont="1" applyFill="1" applyAlignment="1" applyProtection="1">
      <alignment horizontal="center" vertical="center" wrapText="1"/>
    </xf>
    <xf numFmtId="164" fontId="60" fillId="3" borderId="1" xfId="0" applyNumberFormat="1" applyFont="1" applyFill="1" applyBorder="1" applyAlignment="1" applyProtection="1">
      <alignment horizontal="center" vertical="center"/>
    </xf>
    <xf numFmtId="0" fontId="44" fillId="3" borderId="1" xfId="0" applyFont="1" applyFill="1" applyBorder="1" applyAlignment="1" applyProtection="1">
      <alignment horizontal="center" vertical="center"/>
    </xf>
    <xf numFmtId="177" fontId="44" fillId="3" borderId="12" xfId="0" applyNumberFormat="1" applyFont="1" applyFill="1" applyBorder="1" applyAlignment="1" applyProtection="1">
      <alignment horizontal="center" vertical="center" wrapText="1"/>
    </xf>
    <xf numFmtId="177" fontId="44" fillId="3" borderId="0" xfId="0" applyNumberFormat="1" applyFont="1" applyFill="1" applyAlignment="1" applyProtection="1">
      <alignment horizontal="center" vertical="center" wrapText="1"/>
    </xf>
    <xf numFmtId="179" fontId="44" fillId="3" borderId="12" xfId="0" applyNumberFormat="1" applyFont="1" applyFill="1" applyBorder="1" applyAlignment="1" applyProtection="1">
      <alignment horizontal="center" vertical="center" wrapText="1"/>
    </xf>
    <xf numFmtId="179" fontId="44" fillId="3" borderId="0" xfId="0" applyNumberFormat="1" applyFont="1" applyFill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/>
    </xf>
    <xf numFmtId="0" fontId="3" fillId="3" borderId="11" xfId="0" applyFont="1" applyFill="1" applyBorder="1" applyAlignment="1" applyProtection="1">
      <alignment horizontal="center" vertical="center"/>
    </xf>
    <xf numFmtId="0" fontId="3" fillId="3" borderId="12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10" fillId="3" borderId="3" xfId="0" applyFont="1" applyFill="1" applyBorder="1" applyAlignment="1" applyProtection="1">
      <alignment horizontal="center" vertical="center" wrapText="1"/>
    </xf>
    <xf numFmtId="0" fontId="10" fillId="3" borderId="15" xfId="0" applyFont="1" applyFill="1" applyBorder="1" applyAlignment="1" applyProtection="1">
      <alignment horizontal="center" vertical="center" wrapText="1"/>
    </xf>
    <xf numFmtId="0" fontId="10" fillId="3" borderId="13" xfId="0" applyFont="1" applyFill="1" applyBorder="1" applyAlignment="1" applyProtection="1">
      <alignment horizontal="center" vertical="center" wrapText="1"/>
    </xf>
    <xf numFmtId="0" fontId="10" fillId="3" borderId="8" xfId="0" applyNumberFormat="1" applyFont="1" applyFill="1" applyBorder="1" applyAlignment="1" applyProtection="1">
      <alignment horizontal="center" vertical="center"/>
    </xf>
    <xf numFmtId="0" fontId="10" fillId="3" borderId="12" xfId="0" applyNumberFormat="1" applyFont="1" applyFill="1" applyBorder="1" applyAlignment="1" applyProtection="1">
      <alignment horizontal="center" vertical="center"/>
    </xf>
    <xf numFmtId="0" fontId="10" fillId="3" borderId="4" xfId="0" applyNumberFormat="1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</xf>
    <xf numFmtId="1" fontId="3" fillId="3" borderId="5" xfId="0" applyNumberFormat="1" applyFont="1" applyFill="1" applyBorder="1" applyAlignment="1" applyProtection="1">
      <alignment horizontal="center" vertical="center"/>
    </xf>
    <xf numFmtId="1" fontId="3" fillId="3" borderId="10" xfId="0" applyNumberFormat="1" applyFont="1" applyFill="1" applyBorder="1" applyAlignment="1" applyProtection="1">
      <alignment horizontal="center" vertical="center"/>
    </xf>
    <xf numFmtId="1" fontId="3" fillId="3" borderId="7" xfId="0" applyNumberFormat="1" applyFont="1" applyFill="1" applyBorder="1" applyAlignment="1" applyProtection="1">
      <alignment horizontal="center" vertical="center"/>
    </xf>
    <xf numFmtId="1" fontId="3" fillId="3" borderId="1" xfId="0" applyNumberFormat="1" applyFont="1" applyFill="1" applyBorder="1" applyAlignment="1" applyProtection="1">
      <alignment horizontal="left" vertical="center"/>
    </xf>
    <xf numFmtId="1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left" vertical="center"/>
    </xf>
    <xf numFmtId="164" fontId="10" fillId="3" borderId="5" xfId="0" applyNumberFormat="1" applyFont="1" applyFill="1" applyBorder="1" applyAlignment="1" applyProtection="1">
      <alignment horizontal="center" vertical="center"/>
    </xf>
    <xf numFmtId="164" fontId="10" fillId="3" borderId="10" xfId="0" applyNumberFormat="1" applyFont="1" applyFill="1" applyBorder="1" applyAlignment="1" applyProtection="1">
      <alignment horizontal="center" vertical="center"/>
    </xf>
    <xf numFmtId="164" fontId="10" fillId="3" borderId="7" xfId="0" applyNumberFormat="1" applyFont="1" applyFill="1" applyBorder="1" applyAlignment="1" applyProtection="1">
      <alignment horizontal="center" vertical="center"/>
    </xf>
    <xf numFmtId="0" fontId="57" fillId="3" borderId="0" xfId="0" applyFont="1" applyFill="1" applyAlignment="1" applyProtection="1">
      <alignment vertical="top" wrapText="1"/>
      <protection locked="0"/>
    </xf>
    <xf numFmtId="0" fontId="60" fillId="3" borderId="14" xfId="0" applyNumberFormat="1" applyFont="1" applyFill="1" applyBorder="1" applyAlignment="1" applyProtection="1">
      <alignment horizontal="center" vertical="center" wrapText="1"/>
    </xf>
    <xf numFmtId="0" fontId="60" fillId="3" borderId="14" xfId="4" applyFont="1" applyFill="1" applyBorder="1" applyAlignment="1" applyProtection="1">
      <alignment horizontal="center" vertical="center" wrapText="1"/>
    </xf>
    <xf numFmtId="0" fontId="60" fillId="3" borderId="5" xfId="4" applyFont="1" applyFill="1" applyBorder="1" applyAlignment="1" applyProtection="1">
      <alignment horizontal="center" vertical="center" wrapText="1"/>
    </xf>
    <xf numFmtId="0" fontId="60" fillId="3" borderId="10" xfId="4" applyFont="1" applyFill="1" applyBorder="1" applyAlignment="1" applyProtection="1">
      <alignment horizontal="center" vertical="center" wrapText="1"/>
    </xf>
    <xf numFmtId="0" fontId="60" fillId="3" borderId="7" xfId="4" applyFont="1" applyFill="1" applyBorder="1" applyAlignment="1" applyProtection="1">
      <alignment horizontal="center" vertical="center" wrapText="1"/>
    </xf>
    <xf numFmtId="0" fontId="60" fillId="3" borderId="8" xfId="4" applyFont="1" applyFill="1" applyBorder="1" applyAlignment="1" applyProtection="1">
      <alignment horizontal="center" vertical="center" wrapText="1"/>
    </xf>
    <xf numFmtId="0" fontId="60" fillId="3" borderId="12" xfId="4" applyFont="1" applyFill="1" applyBorder="1" applyAlignment="1" applyProtection="1">
      <alignment horizontal="center" vertical="center" wrapText="1"/>
    </xf>
    <xf numFmtId="0" fontId="60" fillId="3" borderId="4" xfId="4" applyFont="1" applyFill="1" applyBorder="1" applyAlignment="1" applyProtection="1">
      <alignment horizontal="center" vertical="center" wrapText="1"/>
    </xf>
    <xf numFmtId="0" fontId="60" fillId="3" borderId="11" xfId="0" applyFont="1" applyFill="1" applyBorder="1" applyAlignment="1" applyProtection="1">
      <alignment horizontal="center" vertical="center" wrapText="1"/>
    </xf>
    <xf numFmtId="0" fontId="60" fillId="3" borderId="0" xfId="0" applyFont="1" applyFill="1" applyBorder="1" applyAlignment="1" applyProtection="1">
      <alignment horizontal="center" vertical="center" wrapText="1"/>
    </xf>
    <xf numFmtId="0" fontId="60" fillId="3" borderId="2" xfId="0" applyFont="1" applyFill="1" applyBorder="1" applyAlignment="1" applyProtection="1">
      <alignment horizontal="center" vertical="center" wrapText="1"/>
    </xf>
    <xf numFmtId="0" fontId="57" fillId="3" borderId="5" xfId="0" applyFont="1" applyFill="1" applyBorder="1" applyAlignment="1" applyProtection="1">
      <alignment horizontal="center" vertical="top"/>
    </xf>
    <xf numFmtId="0" fontId="57" fillId="3" borderId="10" xfId="0" applyFont="1" applyFill="1" applyBorder="1" applyAlignment="1" applyProtection="1">
      <alignment horizontal="center" vertical="top"/>
    </xf>
    <xf numFmtId="0" fontId="57" fillId="3" borderId="7" xfId="0" applyFont="1" applyFill="1" applyBorder="1" applyAlignment="1" applyProtection="1">
      <alignment horizontal="center" vertical="center" wrapText="1"/>
    </xf>
    <xf numFmtId="0" fontId="60" fillId="3" borderId="1" xfId="4" applyFont="1" applyFill="1" applyBorder="1" applyAlignment="1" applyProtection="1">
      <alignment horizontal="center" vertical="center" wrapText="1"/>
    </xf>
    <xf numFmtId="0" fontId="57" fillId="0" borderId="1" xfId="0" applyFont="1" applyBorder="1" applyAlignment="1" applyProtection="1">
      <alignment horizontal="center" vertical="center" wrapText="1"/>
    </xf>
    <xf numFmtId="164" fontId="60" fillId="3" borderId="5" xfId="0" applyNumberFormat="1" applyFont="1" applyFill="1" applyBorder="1" applyAlignment="1" applyProtection="1">
      <alignment horizontal="center" vertical="center"/>
    </xf>
    <xf numFmtId="164" fontId="60" fillId="3" borderId="10" xfId="0" applyNumberFormat="1" applyFont="1" applyFill="1" applyBorder="1" applyAlignment="1" applyProtection="1">
      <alignment horizontal="center" vertical="center"/>
    </xf>
    <xf numFmtId="164" fontId="60" fillId="3" borderId="7" xfId="0" applyNumberFormat="1" applyFont="1" applyFill="1" applyBorder="1" applyAlignment="1" applyProtection="1">
      <alignment horizontal="center" vertical="center"/>
    </xf>
    <xf numFmtId="0" fontId="57" fillId="2" borderId="0" xfId="0" applyFont="1" applyFill="1" applyAlignment="1" applyProtection="1">
      <alignment horizontal="left"/>
      <protection locked="0"/>
    </xf>
    <xf numFmtId="164" fontId="3" fillId="3" borderId="0" xfId="0" applyNumberFormat="1" applyFont="1" applyFill="1" applyBorder="1" applyAlignment="1" applyProtection="1">
      <alignment horizontal="left" vertical="center" wrapText="1"/>
    </xf>
    <xf numFmtId="0" fontId="64" fillId="2" borderId="0" xfId="0" applyFont="1" applyFill="1" applyBorder="1" applyAlignment="1" applyProtection="1">
      <alignment horizontal="left"/>
      <protection locked="0"/>
    </xf>
    <xf numFmtId="0" fontId="57" fillId="2" borderId="0" xfId="0" applyFont="1" applyFill="1" applyBorder="1" applyAlignment="1" applyProtection="1">
      <alignment horizontal="center"/>
      <protection locked="0"/>
    </xf>
    <xf numFmtId="0" fontId="69" fillId="3" borderId="0" xfId="0" applyFont="1" applyFill="1" applyAlignment="1" applyProtection="1">
      <alignment horizontal="center" vertical="center"/>
    </xf>
    <xf numFmtId="0" fontId="57" fillId="2" borderId="0" xfId="0" applyFont="1" applyFill="1" applyAlignment="1" applyProtection="1">
      <alignment horizontal="left"/>
    </xf>
    <xf numFmtId="0" fontId="70" fillId="2" borderId="0" xfId="0" applyFont="1" applyFill="1" applyAlignment="1" applyProtection="1">
      <alignment horizontal="center" vertical="center"/>
    </xf>
    <xf numFmtId="0" fontId="64" fillId="2" borderId="0" xfId="0" applyFont="1" applyFill="1" applyAlignment="1" applyProtection="1">
      <alignment horizontal="left"/>
    </xf>
    <xf numFmtId="0" fontId="57" fillId="2" borderId="0" xfId="0" applyFont="1" applyFill="1" applyAlignment="1" applyProtection="1">
      <alignment horizontal="center"/>
    </xf>
    <xf numFmtId="0" fontId="60" fillId="3" borderId="6" xfId="0" applyFont="1" applyFill="1" applyBorder="1" applyAlignment="1" applyProtection="1">
      <alignment horizontal="center" vertical="center" wrapText="1"/>
    </xf>
    <xf numFmtId="0" fontId="60" fillId="3" borderId="14" xfId="0" applyFont="1" applyFill="1" applyBorder="1" applyAlignment="1" applyProtection="1">
      <alignment horizontal="center" vertical="center" wrapText="1"/>
    </xf>
    <xf numFmtId="0" fontId="60" fillId="3" borderId="9" xfId="0" applyFont="1" applyFill="1" applyBorder="1" applyAlignment="1" applyProtection="1">
      <alignment horizontal="center" vertical="center" wrapText="1"/>
    </xf>
    <xf numFmtId="0" fontId="57" fillId="3" borderId="8" xfId="0" applyFont="1" applyFill="1" applyBorder="1" applyAlignment="1" applyProtection="1">
      <alignment horizontal="center" vertical="center"/>
    </xf>
    <xf numFmtId="0" fontId="57" fillId="3" borderId="11" xfId="0" applyFont="1" applyFill="1" applyBorder="1" applyAlignment="1" applyProtection="1">
      <alignment horizontal="center" vertical="center"/>
    </xf>
    <xf numFmtId="0" fontId="57" fillId="3" borderId="12" xfId="0" applyFont="1" applyFill="1" applyBorder="1" applyAlignment="1" applyProtection="1">
      <alignment horizontal="center" vertical="center"/>
    </xf>
    <xf numFmtId="0" fontId="57" fillId="3" borderId="0" xfId="0" applyFont="1" applyFill="1" applyBorder="1" applyAlignment="1" applyProtection="1">
      <alignment horizontal="center" vertical="center"/>
    </xf>
    <xf numFmtId="0" fontId="57" fillId="3" borderId="4" xfId="0" applyFont="1" applyFill="1" applyBorder="1" applyAlignment="1" applyProtection="1">
      <alignment horizontal="center" vertical="center"/>
    </xf>
    <xf numFmtId="0" fontId="57" fillId="3" borderId="2" xfId="0" applyFont="1" applyFill="1" applyBorder="1" applyAlignment="1" applyProtection="1">
      <alignment horizontal="center" vertical="center"/>
    </xf>
    <xf numFmtId="0" fontId="60" fillId="3" borderId="8" xfId="0" applyNumberFormat="1" applyFont="1" applyFill="1" applyBorder="1" applyAlignment="1" applyProtection="1">
      <alignment horizontal="center" vertical="center" wrapText="1"/>
    </xf>
    <xf numFmtId="0" fontId="60" fillId="3" borderId="11" xfId="0" applyNumberFormat="1" applyFont="1" applyFill="1" applyBorder="1" applyAlignment="1" applyProtection="1">
      <alignment horizontal="center" vertical="center" wrapText="1"/>
    </xf>
    <xf numFmtId="0" fontId="60" fillId="3" borderId="6" xfId="0" applyNumberFormat="1" applyFont="1" applyFill="1" applyBorder="1" applyAlignment="1" applyProtection="1">
      <alignment horizontal="center" vertical="center" wrapText="1"/>
    </xf>
    <xf numFmtId="0" fontId="60" fillId="3" borderId="12" xfId="0" applyNumberFormat="1" applyFont="1" applyFill="1" applyBorder="1" applyAlignment="1" applyProtection="1">
      <alignment horizontal="center" vertical="center" wrapText="1"/>
    </xf>
    <xf numFmtId="0" fontId="60" fillId="3" borderId="0" xfId="0" applyNumberFormat="1" applyFont="1" applyFill="1" applyBorder="1" applyAlignment="1" applyProtection="1">
      <alignment horizontal="center" vertical="center" wrapText="1"/>
    </xf>
    <xf numFmtId="0" fontId="60" fillId="3" borderId="4" xfId="0" applyNumberFormat="1" applyFont="1" applyFill="1" applyBorder="1" applyAlignment="1" applyProtection="1">
      <alignment horizontal="center" vertical="center" wrapText="1"/>
    </xf>
    <xf numFmtId="0" fontId="60" fillId="3" borderId="2" xfId="0" applyNumberFormat="1" applyFont="1" applyFill="1" applyBorder="1" applyAlignment="1" applyProtection="1">
      <alignment horizontal="center" vertical="center" wrapText="1"/>
    </xf>
    <xf numFmtId="0" fontId="60" fillId="3" borderId="9" xfId="0" applyNumberFormat="1" applyFont="1" applyFill="1" applyBorder="1" applyAlignment="1" applyProtection="1">
      <alignment horizontal="center" vertical="center" wrapText="1"/>
    </xf>
    <xf numFmtId="1" fontId="57" fillId="3" borderId="5" xfId="0" applyNumberFormat="1" applyFont="1" applyFill="1" applyBorder="1" applyAlignment="1" applyProtection="1">
      <alignment horizontal="center" vertical="center"/>
    </xf>
    <xf numFmtId="1" fontId="57" fillId="3" borderId="10" xfId="0" applyNumberFormat="1" applyFont="1" applyFill="1" applyBorder="1" applyAlignment="1" applyProtection="1">
      <alignment horizontal="center" vertical="center"/>
    </xf>
    <xf numFmtId="1" fontId="57" fillId="3" borderId="7" xfId="0" applyNumberFormat="1" applyFont="1" applyFill="1" applyBorder="1" applyAlignment="1" applyProtection="1">
      <alignment horizontal="center" vertical="center"/>
    </xf>
    <xf numFmtId="0" fontId="57" fillId="3" borderId="11" xfId="0" applyFont="1" applyFill="1" applyBorder="1" applyAlignment="1" applyProtection="1">
      <alignment horizontal="center" vertical="top"/>
    </xf>
    <xf numFmtId="0" fontId="57" fillId="3" borderId="0" xfId="0" applyFont="1" applyFill="1" applyBorder="1" applyAlignment="1" applyProtection="1">
      <alignment horizontal="center" vertical="top"/>
    </xf>
    <xf numFmtId="0" fontId="121" fillId="0" borderId="3" xfId="5" applyFont="1" applyBorder="1" applyAlignment="1">
      <alignment horizontal="left" vertical="top" wrapText="1"/>
    </xf>
    <xf numFmtId="0" fontId="121" fillId="0" borderId="15" xfId="5" applyFont="1" applyBorder="1" applyAlignment="1">
      <alignment horizontal="left" vertical="top" wrapText="1"/>
    </xf>
    <xf numFmtId="0" fontId="118" fillId="0" borderId="0" xfId="5" applyFont="1" applyAlignment="1" applyProtection="1">
      <alignment horizontal="center" vertical="center"/>
      <protection locked="0"/>
    </xf>
    <xf numFmtId="185" fontId="120" fillId="0" borderId="0" xfId="5" quotePrefix="1" applyNumberFormat="1" applyFont="1" applyAlignment="1" applyProtection="1">
      <alignment horizontal="center" vertical="center"/>
      <protection locked="0"/>
    </xf>
    <xf numFmtId="185" fontId="120" fillId="0" borderId="0" xfId="5" applyNumberFormat="1" applyFont="1" applyAlignment="1" applyProtection="1">
      <alignment horizontal="center" vertical="center"/>
      <protection locked="0"/>
    </xf>
    <xf numFmtId="0" fontId="121" fillId="0" borderId="0" xfId="5" applyFont="1" applyAlignment="1">
      <alignment horizontal="center"/>
    </xf>
    <xf numFmtId="0" fontId="122" fillId="0" borderId="0" xfId="5" applyFont="1" applyAlignment="1">
      <alignment horizontal="right" vertical="center"/>
    </xf>
    <xf numFmtId="0" fontId="117" fillId="0" borderId="0" xfId="5" applyFont="1" applyAlignment="1">
      <alignment horizontal="center"/>
    </xf>
    <xf numFmtId="0" fontId="120" fillId="0" borderId="0" xfId="5" quotePrefix="1" applyFont="1" applyAlignment="1" applyProtection="1">
      <alignment horizontal="left"/>
      <protection locked="0"/>
    </xf>
    <xf numFmtId="0" fontId="121" fillId="0" borderId="0" xfId="5" applyFont="1" applyAlignment="1">
      <alignment horizontal="left" vertical="center" wrapText="1"/>
    </xf>
    <xf numFmtId="0" fontId="123" fillId="0" borderId="0" xfId="5" quotePrefix="1" applyFont="1" applyAlignment="1" applyProtection="1">
      <alignment horizontal="left" vertical="center" wrapText="1"/>
      <protection locked="0"/>
    </xf>
    <xf numFmtId="11" fontId="120" fillId="0" borderId="0" xfId="5" quotePrefix="1" applyNumberFormat="1" applyFont="1" applyAlignment="1" applyProtection="1">
      <alignment horizontal="left"/>
      <protection locked="0"/>
    </xf>
    <xf numFmtId="0" fontId="120" fillId="0" borderId="0" xfId="5" applyFont="1" applyAlignment="1" applyProtection="1">
      <alignment horizontal="left"/>
      <protection locked="0"/>
    </xf>
    <xf numFmtId="0" fontId="121" fillId="0" borderId="0" xfId="5" applyFont="1" applyAlignment="1" applyProtection="1">
      <alignment horizontal="left" vertical="center" wrapText="1"/>
      <protection locked="0"/>
    </xf>
    <xf numFmtId="185" fontId="121" fillId="0" borderId="0" xfId="5" applyNumberFormat="1" applyFont="1" applyAlignment="1">
      <alignment horizontal="left" vertical="center" wrapText="1"/>
    </xf>
    <xf numFmtId="0" fontId="123" fillId="0" borderId="0" xfId="5" applyFont="1" applyAlignment="1" applyProtection="1">
      <alignment horizontal="left" vertical="center" wrapText="1"/>
      <protection locked="0"/>
    </xf>
    <xf numFmtId="0" fontId="121" fillId="0" borderId="0" xfId="5" applyFont="1" applyAlignment="1" applyProtection="1">
      <alignment horizontal="left" vertical="top" wrapText="1"/>
      <protection locked="0"/>
    </xf>
    <xf numFmtId="0" fontId="121" fillId="0" borderId="0" xfId="5" applyFont="1" applyAlignment="1" applyProtection="1">
      <alignment horizontal="justify" vertical="top" wrapText="1"/>
      <protection locked="0"/>
    </xf>
    <xf numFmtId="187" fontId="120" fillId="0" borderId="0" xfId="5" quotePrefix="1" applyNumberFormat="1" applyFont="1" applyAlignment="1" applyProtection="1">
      <alignment horizontal="left" vertical="center"/>
      <protection locked="0"/>
    </xf>
    <xf numFmtId="187" fontId="120" fillId="0" borderId="0" xfId="5" applyNumberFormat="1" applyFont="1" applyAlignment="1" applyProtection="1">
      <alignment horizontal="left" vertical="center"/>
      <protection locked="0"/>
    </xf>
    <xf numFmtId="0" fontId="121" fillId="0" borderId="0" xfId="5" applyFont="1" applyAlignment="1">
      <alignment horizontal="left" vertical="top" wrapText="1"/>
    </xf>
    <xf numFmtId="0" fontId="115" fillId="0" borderId="0" xfId="5" applyFont="1" applyAlignment="1">
      <alignment horizontal="center"/>
    </xf>
    <xf numFmtId="0" fontId="121" fillId="4" borderId="0" xfId="5" applyFont="1" applyFill="1" applyAlignment="1">
      <alignment horizontal="justify" vertical="center" wrapText="1"/>
    </xf>
    <xf numFmtId="0" fontId="41" fillId="0" borderId="0" xfId="5" applyFont="1" applyAlignment="1">
      <alignment horizontal="left" vertical="center" wrapText="1"/>
    </xf>
    <xf numFmtId="185" fontId="121" fillId="0" borderId="0" xfId="5" applyNumberFormat="1" applyFont="1" applyAlignment="1">
      <alignment horizontal="left" vertical="top" wrapText="1"/>
    </xf>
    <xf numFmtId="1" fontId="10" fillId="3" borderId="1" xfId="0" applyNumberFormat="1" applyFont="1" applyFill="1" applyBorder="1" applyAlignment="1" applyProtection="1">
      <alignment horizontal="center"/>
    </xf>
    <xf numFmtId="1" fontId="38" fillId="3" borderId="19" xfId="0" applyNumberFormat="1" applyFont="1" applyFill="1" applyBorder="1" applyAlignment="1" applyProtection="1">
      <alignment horizontal="left" wrapText="1"/>
    </xf>
    <xf numFmtId="1" fontId="38" fillId="3" borderId="20" xfId="0" applyNumberFormat="1" applyFont="1" applyFill="1" applyBorder="1" applyAlignment="1" applyProtection="1">
      <alignment horizontal="left" wrapText="1"/>
    </xf>
    <xf numFmtId="1" fontId="38" fillId="3" borderId="18" xfId="0" applyNumberFormat="1" applyFont="1" applyFill="1" applyBorder="1" applyAlignment="1" applyProtection="1">
      <alignment horizontal="left" wrapText="1"/>
    </xf>
    <xf numFmtId="1" fontId="9" fillId="3" borderId="0" xfId="0" applyNumberFormat="1" applyFont="1" applyFill="1" applyBorder="1" applyAlignment="1" applyProtection="1">
      <alignment horizontal="center"/>
    </xf>
    <xf numFmtId="1" fontId="13" fillId="3" borderId="0" xfId="0" applyNumberFormat="1" applyFont="1" applyFill="1" applyBorder="1" applyAlignment="1" applyProtection="1">
      <alignment horizontal="center"/>
    </xf>
    <xf numFmtId="1" fontId="11" fillId="3" borderId="0" xfId="0" applyNumberFormat="1" applyFont="1" applyFill="1" applyBorder="1" applyAlignment="1" applyProtection="1">
      <alignment horizontal="center"/>
    </xf>
    <xf numFmtId="1" fontId="11" fillId="3" borderId="1" xfId="0" applyNumberFormat="1" applyFont="1" applyFill="1" applyBorder="1" applyAlignment="1" applyProtection="1">
      <alignment horizontal="center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0" fontId="1" fillId="3" borderId="10" xfId="0" applyFont="1" applyFill="1" applyBorder="1" applyAlignment="1" applyProtection="1">
      <alignment horizontal="center" vertical="center" textRotation="255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 wrapText="1"/>
      <protection locked="0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0" fontId="14" fillId="3" borderId="1" xfId="0" applyFont="1" applyFill="1" applyBorder="1" applyAlignment="1" applyProtection="1">
      <alignment horizontal="center" vertical="center"/>
      <protection locked="0"/>
    </xf>
    <xf numFmtId="164" fontId="14" fillId="3" borderId="1" xfId="0" applyNumberFormat="1" applyFont="1" applyFill="1" applyBorder="1" applyAlignment="1" applyProtection="1">
      <alignment horizontal="center" vertical="center"/>
      <protection locked="0"/>
    </xf>
    <xf numFmtId="167" fontId="14" fillId="3" borderId="1" xfId="0" applyNumberFormat="1" applyFont="1" applyFill="1" applyBorder="1" applyAlignment="1" applyProtection="1">
      <alignment horizontal="center" vertical="center"/>
      <protection locked="0"/>
    </xf>
    <xf numFmtId="0" fontId="76" fillId="4" borderId="1" xfId="0" applyFont="1" applyFill="1" applyBorder="1" applyAlignment="1" applyProtection="1">
      <alignment horizontal="center"/>
      <protection locked="0"/>
    </xf>
    <xf numFmtId="0" fontId="44" fillId="0" borderId="3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76" fillId="4" borderId="11" xfId="0" applyFont="1" applyFill="1" applyBorder="1" applyAlignment="1" applyProtection="1">
      <alignment horizontal="center"/>
      <protection locked="0"/>
    </xf>
    <xf numFmtId="0" fontId="3" fillId="4" borderId="3" xfId="1" applyFont="1" applyFill="1" applyBorder="1" applyAlignment="1">
      <alignment horizontal="left" vertical="center"/>
    </xf>
    <xf numFmtId="0" fontId="3" fillId="4" borderId="15" xfId="1" applyFont="1" applyFill="1" applyBorder="1" applyAlignment="1">
      <alignment horizontal="left" vertical="center"/>
    </xf>
    <xf numFmtId="0" fontId="3" fillId="4" borderId="13" xfId="1" applyFont="1" applyFill="1" applyBorder="1" applyAlignment="1">
      <alignment horizontal="left" vertical="center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3" fillId="14" borderId="0" xfId="0" applyFont="1" applyFill="1" applyAlignment="1" applyProtection="1">
      <alignment horizontal="left" vertical="center"/>
      <protection locked="0"/>
    </xf>
    <xf numFmtId="0" fontId="27" fillId="3" borderId="0" xfId="0" applyFont="1" applyFill="1" applyBorder="1" applyAlignment="1" applyProtection="1">
      <alignment horizontal="left" vertical="center"/>
    </xf>
    <xf numFmtId="0" fontId="3" fillId="14" borderId="0" xfId="0" applyFont="1" applyFill="1" applyAlignment="1" applyProtection="1">
      <alignment horizontal="left"/>
      <protection locked="0"/>
    </xf>
    <xf numFmtId="1" fontId="3" fillId="13" borderId="0" xfId="0" applyNumberFormat="1" applyFont="1" applyFill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left" vertical="center"/>
    </xf>
    <xf numFmtId="164" fontId="3" fillId="14" borderId="3" xfId="0" quotePrefix="1" applyNumberFormat="1" applyFont="1" applyFill="1" applyBorder="1" applyAlignment="1" applyProtection="1">
      <alignment horizontal="center" vertical="center" wrapText="1"/>
      <protection locked="0"/>
    </xf>
    <xf numFmtId="164" fontId="3" fillId="14" borderId="13" xfId="0" quotePrefix="1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/>
    </xf>
    <xf numFmtId="0" fontId="3" fillId="3" borderId="5" xfId="0" applyFont="1" applyFill="1" applyBorder="1" applyAlignment="1" applyProtection="1">
      <alignment horizontal="center" vertical="top" wrapText="1"/>
    </xf>
    <xf numFmtId="0" fontId="3" fillId="14" borderId="1" xfId="0" applyNumberFormat="1" applyFont="1" applyFill="1" applyBorder="1" applyAlignment="1" applyProtection="1">
      <alignment horizontal="center" vertical="center"/>
      <protection locked="0"/>
    </xf>
    <xf numFmtId="167" fontId="3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3" borderId="0" xfId="0" applyFont="1" applyFill="1" applyBorder="1" applyAlignment="1" applyProtection="1">
      <alignment horizontal="center" vertical="center"/>
    </xf>
    <xf numFmtId="0" fontId="3" fillId="13" borderId="0" xfId="0" applyFont="1" applyFill="1" applyAlignment="1" applyProtection="1">
      <alignment horizontal="left" vertical="center"/>
      <protection locked="0"/>
    </xf>
    <xf numFmtId="0" fontId="3" fillId="3" borderId="3" xfId="0" applyFont="1" applyFill="1" applyBorder="1" applyAlignment="1" applyProtection="1">
      <alignment horizontal="center" vertical="center"/>
    </xf>
    <xf numFmtId="167" fontId="66" fillId="3" borderId="0" xfId="0" applyNumberFormat="1" applyFont="1" applyFill="1" applyBorder="1" applyAlignment="1" applyProtection="1">
      <alignment horizontal="right" vertical="center"/>
    </xf>
    <xf numFmtId="0" fontId="3" fillId="3" borderId="0" xfId="0" applyFont="1" applyFill="1" applyAlignment="1" applyProtection="1">
      <alignment horizontal="right" vertical="center"/>
    </xf>
    <xf numFmtId="167" fontId="27" fillId="3" borderId="0" xfId="0" applyNumberFormat="1" applyFont="1" applyFill="1" applyBorder="1" applyAlignment="1" applyProtection="1">
      <alignment horizontal="right" vertical="center"/>
    </xf>
    <xf numFmtId="164" fontId="3" fillId="4" borderId="13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167" fontId="3" fillId="14" borderId="3" xfId="0" quotePrefix="1" applyNumberFormat="1" applyFont="1" applyFill="1" applyBorder="1" applyAlignment="1" applyProtection="1">
      <alignment horizontal="center" vertical="center" wrapText="1"/>
      <protection locked="0"/>
    </xf>
    <xf numFmtId="167" fontId="3" fillId="14" borderId="13" xfId="0" quotePrefix="1" applyNumberFormat="1" applyFont="1" applyFill="1" applyBorder="1" applyAlignment="1" applyProtection="1">
      <alignment horizontal="center" vertical="center" wrapText="1"/>
      <protection locked="0"/>
    </xf>
    <xf numFmtId="0" fontId="10" fillId="13" borderId="3" xfId="0" applyFont="1" applyFill="1" applyBorder="1" applyAlignment="1" applyProtection="1">
      <alignment horizontal="left" vertical="center"/>
    </xf>
    <xf numFmtId="0" fontId="10" fillId="13" borderId="15" xfId="0" applyFont="1" applyFill="1" applyBorder="1" applyAlignment="1" applyProtection="1">
      <alignment horizontal="left" vertical="center"/>
    </xf>
    <xf numFmtId="0" fontId="10" fillId="13" borderId="13" xfId="0" applyFont="1" applyFill="1" applyBorder="1" applyAlignment="1" applyProtection="1">
      <alignment horizontal="left" vertical="center"/>
    </xf>
    <xf numFmtId="0" fontId="10" fillId="13" borderId="1" xfId="0" applyFont="1" applyFill="1" applyBorder="1" applyAlignment="1" applyProtection="1">
      <alignment horizontal="left" vertical="center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15" xfId="0" applyFont="1" applyFill="1" applyBorder="1" applyAlignment="1" applyProtection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10" fillId="3" borderId="8" xfId="0" applyNumberFormat="1" applyFont="1" applyFill="1" applyBorder="1" applyAlignment="1" applyProtection="1">
      <alignment horizontal="center" wrapText="1"/>
    </xf>
    <xf numFmtId="0" fontId="10" fillId="3" borderId="12" xfId="0" applyNumberFormat="1" applyFont="1" applyFill="1" applyBorder="1" applyAlignment="1" applyProtection="1">
      <alignment horizontal="center" wrapText="1"/>
    </xf>
    <xf numFmtId="0" fontId="27" fillId="1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10" fillId="3" borderId="3" xfId="0" applyFont="1" applyFill="1" applyBorder="1" applyAlignment="1" applyProtection="1">
      <alignment horizontal="left" vertical="center"/>
    </xf>
    <xf numFmtId="0" fontId="10" fillId="3" borderId="15" xfId="0" applyFont="1" applyFill="1" applyBorder="1" applyAlignment="1" applyProtection="1">
      <alignment horizontal="left" vertical="center"/>
    </xf>
    <xf numFmtId="0" fontId="10" fillId="3" borderId="13" xfId="0" applyFont="1" applyFill="1" applyBorder="1" applyAlignment="1" applyProtection="1">
      <alignment horizontal="left" vertical="center"/>
    </xf>
    <xf numFmtId="0" fontId="10" fillId="3" borderId="1" xfId="0" applyFont="1" applyFill="1" applyBorder="1" applyAlignment="1" applyProtection="1">
      <alignment horizontal="center" vertical="center" wrapText="1"/>
    </xf>
    <xf numFmtId="164" fontId="3" fillId="3" borderId="15" xfId="0" applyNumberFormat="1" applyFont="1" applyFill="1" applyBorder="1" applyAlignment="1">
      <alignment horizontal="right" vertical="center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167" fontId="3" fillId="4" borderId="1" xfId="0" applyNumberFormat="1" applyFont="1" applyFill="1" applyBorder="1" applyAlignment="1" applyProtection="1">
      <alignment horizontal="center" vertical="center"/>
    </xf>
    <xf numFmtId="167" fontId="3" fillId="3" borderId="1" xfId="0" applyNumberFormat="1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5" xfId="0" applyNumberFormat="1" applyFont="1" applyFill="1" applyBorder="1" applyAlignment="1" applyProtection="1">
      <alignment horizontal="center" vertical="center"/>
    </xf>
    <xf numFmtId="0" fontId="10" fillId="3" borderId="10" xfId="0" applyNumberFormat="1" applyFont="1" applyFill="1" applyBorder="1" applyAlignment="1" applyProtection="1">
      <alignment horizontal="center" vertical="center"/>
    </xf>
    <xf numFmtId="0" fontId="10" fillId="3" borderId="7" xfId="0" applyNumberFormat="1" applyFont="1" applyFill="1" applyBorder="1" applyAlignment="1" applyProtection="1">
      <alignment horizontal="center" vertical="center"/>
    </xf>
    <xf numFmtId="0" fontId="10" fillId="3" borderId="8" xfId="4" applyNumberFormat="1" applyFont="1" applyFill="1" applyBorder="1" applyAlignment="1" applyProtection="1">
      <alignment horizontal="center" vertical="center" wrapText="1"/>
    </xf>
    <xf numFmtId="0" fontId="10" fillId="3" borderId="6" xfId="4" applyNumberFormat="1" applyFont="1" applyFill="1" applyBorder="1" applyAlignment="1" applyProtection="1">
      <alignment horizontal="center" vertical="center" wrapText="1"/>
    </xf>
    <xf numFmtId="0" fontId="10" fillId="3" borderId="12" xfId="4" applyNumberFormat="1" applyFont="1" applyFill="1" applyBorder="1" applyAlignment="1" applyProtection="1">
      <alignment horizontal="center" vertical="center" wrapText="1"/>
    </xf>
    <xf numFmtId="0" fontId="10" fillId="3" borderId="14" xfId="4" applyNumberFormat="1" applyFont="1" applyFill="1" applyBorder="1" applyAlignment="1" applyProtection="1">
      <alignment horizontal="center" vertical="center" wrapText="1"/>
    </xf>
    <xf numFmtId="0" fontId="10" fillId="3" borderId="4" xfId="4" applyNumberFormat="1" applyFont="1" applyFill="1" applyBorder="1" applyAlignment="1" applyProtection="1">
      <alignment horizontal="center" vertical="center" wrapText="1"/>
    </xf>
    <xf numFmtId="0" fontId="10" fillId="3" borderId="9" xfId="4" applyNumberFormat="1" applyFont="1" applyFill="1" applyBorder="1" applyAlignment="1" applyProtection="1">
      <alignment horizontal="center" vertical="center" wrapText="1"/>
    </xf>
    <xf numFmtId="0" fontId="10" fillId="3" borderId="5" xfId="0" applyNumberFormat="1" applyFont="1" applyFill="1" applyBorder="1" applyAlignment="1" applyProtection="1">
      <alignment horizontal="center" vertical="center" wrapText="1"/>
    </xf>
    <xf numFmtId="0" fontId="10" fillId="3" borderId="10" xfId="0" applyNumberFormat="1" applyFont="1" applyFill="1" applyBorder="1" applyAlignment="1" applyProtection="1">
      <alignment horizontal="center" vertical="center" wrapText="1"/>
    </xf>
    <xf numFmtId="0" fontId="10" fillId="3" borderId="7" xfId="0" applyNumberFormat="1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43" fillId="11" borderId="8" xfId="0" applyFont="1" applyFill="1" applyBorder="1" applyAlignment="1" applyProtection="1">
      <alignment horizontal="center" vertical="center"/>
    </xf>
    <xf numFmtId="0" fontId="43" fillId="11" borderId="11" xfId="0" applyFont="1" applyFill="1" applyBorder="1" applyAlignment="1" applyProtection="1">
      <alignment horizontal="center" vertical="center"/>
    </xf>
    <xf numFmtId="0" fontId="43" fillId="11" borderId="6" xfId="0" applyFont="1" applyFill="1" applyBorder="1" applyAlignment="1" applyProtection="1">
      <alignment horizontal="center" vertical="center"/>
    </xf>
    <xf numFmtId="2" fontId="141" fillId="0" borderId="0" xfId="0" applyNumberFormat="1" applyFont="1" applyAlignment="1">
      <alignment horizontal="center" vertical="center"/>
    </xf>
    <xf numFmtId="2" fontId="141" fillId="0" borderId="0" xfId="0" applyNumberFormat="1" applyFont="1" applyAlignment="1">
      <alignment horizontal="center" vertical="center" wrapText="1"/>
    </xf>
    <xf numFmtId="2" fontId="141" fillId="0" borderId="41" xfId="0" applyNumberFormat="1" applyFont="1" applyBorder="1" applyAlignment="1">
      <alignment horizontal="center" vertical="center"/>
    </xf>
    <xf numFmtId="2" fontId="141" fillId="0" borderId="42" xfId="0" applyNumberFormat="1" applyFont="1" applyBorder="1" applyAlignment="1">
      <alignment horizontal="center" vertical="center"/>
    </xf>
    <xf numFmtId="2" fontId="141" fillId="0" borderId="45" xfId="0" applyNumberFormat="1" applyFont="1" applyBorder="1" applyAlignment="1">
      <alignment horizontal="center" vertical="center"/>
    </xf>
    <xf numFmtId="2" fontId="140" fillId="0" borderId="0" xfId="0" applyNumberFormat="1" applyFont="1" applyAlignment="1">
      <alignment horizontal="center" vertical="center"/>
    </xf>
    <xf numFmtId="2" fontId="140" fillId="0" borderId="0" xfId="0" applyNumberFormat="1" applyFont="1" applyAlignment="1">
      <alignment horizontal="center" vertical="center" wrapText="1"/>
    </xf>
    <xf numFmtId="2" fontId="141" fillId="0" borderId="30" xfId="0" applyNumberFormat="1" applyFont="1" applyBorder="1" applyAlignment="1">
      <alignment horizontal="center" vertical="center"/>
    </xf>
    <xf numFmtId="2" fontId="141" fillId="0" borderId="35" xfId="0" applyNumberFormat="1" applyFont="1" applyBorder="1" applyAlignment="1">
      <alignment horizontal="center" vertical="center"/>
    </xf>
    <xf numFmtId="2" fontId="141" fillId="0" borderId="36" xfId="0" applyNumberFormat="1" applyFont="1" applyBorder="1" applyAlignment="1">
      <alignment horizontal="center" vertical="center"/>
    </xf>
    <xf numFmtId="2" fontId="141" fillId="0" borderId="37" xfId="0" applyNumberFormat="1" applyFont="1" applyBorder="1" applyAlignment="1">
      <alignment horizontal="center" vertical="center"/>
    </xf>
    <xf numFmtId="2" fontId="141" fillId="0" borderId="38" xfId="0" applyNumberFormat="1" applyFont="1" applyBorder="1" applyAlignment="1">
      <alignment horizontal="center" vertical="center"/>
    </xf>
    <xf numFmtId="2" fontId="141" fillId="0" borderId="39" xfId="0" applyNumberFormat="1" applyFont="1" applyBorder="1" applyAlignment="1">
      <alignment horizontal="center" vertical="center"/>
    </xf>
    <xf numFmtId="0" fontId="121" fillId="0" borderId="3" xfId="4" applyFont="1" applyBorder="1" applyAlignment="1">
      <alignment horizontal="left" vertical="top" wrapText="1"/>
    </xf>
    <xf numFmtId="0" fontId="121" fillId="0" borderId="15" xfId="4" applyFont="1" applyBorder="1" applyAlignment="1">
      <alignment horizontal="left" vertical="top" wrapText="1"/>
    </xf>
    <xf numFmtId="0" fontId="118" fillId="0" borderId="0" xfId="4" applyFont="1" applyAlignment="1">
      <alignment horizontal="center" vertical="center"/>
    </xf>
    <xf numFmtId="185" fontId="120" fillId="0" borderId="0" xfId="4" quotePrefix="1" applyNumberFormat="1" applyFont="1" applyAlignment="1">
      <alignment horizontal="center" vertical="center"/>
    </xf>
    <xf numFmtId="185" fontId="120" fillId="0" borderId="0" xfId="4" applyNumberFormat="1" applyFont="1" applyAlignment="1">
      <alignment horizontal="center" vertical="center"/>
    </xf>
    <xf numFmtId="0" fontId="121" fillId="0" borderId="0" xfId="4" applyFont="1" applyAlignment="1">
      <alignment horizontal="center"/>
    </xf>
    <xf numFmtId="0" fontId="122" fillId="0" borderId="0" xfId="4" applyFont="1" applyAlignment="1">
      <alignment horizontal="right" vertical="center"/>
    </xf>
    <xf numFmtId="0" fontId="117" fillId="11" borderId="37" xfId="4" applyFont="1" applyFill="1" applyBorder="1" applyAlignment="1">
      <alignment horizontal="center"/>
    </xf>
    <xf numFmtId="0" fontId="117" fillId="11" borderId="38" xfId="4" applyFont="1" applyFill="1" applyBorder="1" applyAlignment="1">
      <alignment horizontal="center"/>
    </xf>
    <xf numFmtId="0" fontId="117" fillId="11" borderId="39" xfId="4" applyFont="1" applyFill="1" applyBorder="1" applyAlignment="1">
      <alignment horizontal="center"/>
    </xf>
    <xf numFmtId="0" fontId="120" fillId="0" borderId="0" xfId="4" quotePrefix="1" applyFont="1" applyAlignment="1">
      <alignment horizontal="left"/>
    </xf>
    <xf numFmtId="0" fontId="121" fillId="0" borderId="0" xfId="4" applyFont="1" applyAlignment="1">
      <alignment horizontal="left" vertical="center" wrapText="1"/>
    </xf>
    <xf numFmtId="0" fontId="123" fillId="0" borderId="0" xfId="4" quotePrefix="1" applyFont="1" applyAlignment="1">
      <alignment horizontal="left" vertical="center" wrapText="1"/>
    </xf>
    <xf numFmtId="11" fontId="120" fillId="0" borderId="0" xfId="4" quotePrefix="1" applyNumberFormat="1" applyFont="1" applyAlignment="1">
      <alignment horizontal="left"/>
    </xf>
    <xf numFmtId="0" fontId="120" fillId="0" borderId="0" xfId="4" applyFont="1" applyAlignment="1">
      <alignment horizontal="left"/>
    </xf>
    <xf numFmtId="0" fontId="123" fillId="0" borderId="0" xfId="4" applyFont="1" applyAlignment="1">
      <alignment horizontal="left" vertical="center" wrapText="1"/>
    </xf>
    <xf numFmtId="0" fontId="121" fillId="0" borderId="0" xfId="4" applyFont="1" applyAlignment="1">
      <alignment horizontal="left" vertical="top" wrapText="1"/>
    </xf>
    <xf numFmtId="0" fontId="121" fillId="0" borderId="0" xfId="4" applyFont="1" applyAlignment="1" applyProtection="1">
      <alignment horizontal="justify" vertical="top" wrapText="1"/>
      <protection locked="0"/>
    </xf>
    <xf numFmtId="187" fontId="120" fillId="0" borderId="0" xfId="4" quotePrefix="1" applyNumberFormat="1" applyFont="1" applyAlignment="1">
      <alignment horizontal="left" vertical="center"/>
    </xf>
    <xf numFmtId="187" fontId="120" fillId="0" borderId="0" xfId="4" applyNumberFormat="1" applyFont="1" applyAlignment="1">
      <alignment horizontal="left" vertical="center"/>
    </xf>
    <xf numFmtId="0" fontId="115" fillId="0" borderId="0" xfId="4" applyFont="1" applyAlignment="1">
      <alignment horizontal="center"/>
    </xf>
    <xf numFmtId="188" fontId="121" fillId="0" borderId="0" xfId="4" applyNumberFormat="1" applyFont="1" applyAlignment="1">
      <alignment horizontal="left" vertical="center" wrapText="1"/>
    </xf>
    <xf numFmtId="0" fontId="41" fillId="0" borderId="0" xfId="4" applyFont="1" applyAlignment="1">
      <alignment horizontal="left" vertical="center" wrapText="1"/>
    </xf>
    <xf numFmtId="187" fontId="121" fillId="0" borderId="0" xfId="4" applyNumberFormat="1" applyFont="1" applyAlignment="1">
      <alignment horizontal="left" vertical="top" wrapText="1"/>
    </xf>
    <xf numFmtId="185" fontId="121" fillId="0" borderId="0" xfId="4" applyNumberFormat="1" applyFont="1" applyAlignment="1">
      <alignment horizontal="left" vertical="top" wrapText="1"/>
    </xf>
    <xf numFmtId="0" fontId="121" fillId="0" borderId="0" xfId="4" applyFont="1" applyAlignment="1">
      <alignment horizontal="justify" vertical="center" wrapText="1"/>
    </xf>
    <xf numFmtId="0" fontId="128" fillId="0" borderId="0" xfId="4" applyFont="1" applyAlignment="1">
      <alignment horizontal="left" vertical="center" wrapText="1"/>
    </xf>
    <xf numFmtId="0" fontId="123" fillId="0" borderId="0" xfId="4" quotePrefix="1" applyFont="1" applyAlignment="1">
      <alignment horizontal="center" vertical="center" wrapText="1"/>
    </xf>
    <xf numFmtId="0" fontId="6" fillId="0" borderId="0" xfId="4" applyAlignment="1">
      <alignment horizontal="center" vertical="center"/>
    </xf>
    <xf numFmtId="0" fontId="126" fillId="0" borderId="0" xfId="4" applyFont="1" applyAlignment="1">
      <alignment horizontal="center" vertical="center"/>
    </xf>
    <xf numFmtId="187" fontId="120" fillId="0" borderId="0" xfId="4" quotePrefix="1" applyNumberFormat="1" applyFont="1" applyAlignment="1">
      <alignment horizontal="center" vertical="center"/>
    </xf>
    <xf numFmtId="187" fontId="120" fillId="0" borderId="0" xfId="4" applyNumberFormat="1" applyFont="1" applyAlignment="1">
      <alignment horizontal="center" vertical="center"/>
    </xf>
    <xf numFmtId="0" fontId="127" fillId="0" borderId="0" xfId="4" applyFont="1" applyAlignment="1">
      <alignment horizontal="center" vertical="center"/>
    </xf>
    <xf numFmtId="11" fontId="120" fillId="0" borderId="0" xfId="4" quotePrefix="1" applyNumberFormat="1" applyFont="1" applyAlignment="1">
      <alignment horizontal="center" vertical="center"/>
    </xf>
    <xf numFmtId="0" fontId="120" fillId="0" borderId="0" xfId="4" applyFont="1" applyAlignment="1">
      <alignment horizontal="center" vertical="center"/>
    </xf>
    <xf numFmtId="0" fontId="128" fillId="0" borderId="3" xfId="4" applyFont="1" applyBorder="1" applyAlignment="1">
      <alignment horizontal="center" vertical="center"/>
    </xf>
    <xf numFmtId="0" fontId="128" fillId="0" borderId="13" xfId="4" applyFont="1" applyBorder="1" applyAlignment="1">
      <alignment horizontal="center" vertical="center"/>
    </xf>
    <xf numFmtId="0" fontId="128" fillId="0" borderId="3" xfId="4" applyFont="1" applyBorder="1" applyAlignment="1">
      <alignment horizontal="center" vertical="center" wrapText="1"/>
    </xf>
    <xf numFmtId="0" fontId="128" fillId="0" borderId="13" xfId="4" applyFont="1" applyBorder="1" applyAlignment="1">
      <alignment horizontal="center" vertical="center" wrapText="1"/>
    </xf>
    <xf numFmtId="0" fontId="128" fillId="0" borderId="0" xfId="4" applyFont="1" applyAlignment="1">
      <alignment horizontal="left" vertical="center"/>
    </xf>
    <xf numFmtId="0" fontId="128" fillId="0" borderId="0" xfId="4" applyFont="1" applyAlignment="1">
      <alignment horizontal="center"/>
    </xf>
    <xf numFmtId="0" fontId="127" fillId="0" borderId="0" xfId="4" applyFont="1" applyAlignment="1">
      <alignment horizontal="center"/>
    </xf>
    <xf numFmtId="1" fontId="49" fillId="7" borderId="5" xfId="0" quotePrefix="1" applyNumberFormat="1" applyFont="1" applyFill="1" applyBorder="1" applyAlignment="1" applyProtection="1">
      <alignment horizontal="center" vertical="center"/>
      <protection hidden="1"/>
    </xf>
    <xf numFmtId="1" fontId="49" fillId="7" borderId="10" xfId="0" quotePrefix="1" applyNumberFormat="1" applyFont="1" applyFill="1" applyBorder="1" applyAlignment="1" applyProtection="1">
      <alignment horizontal="center" vertical="center"/>
      <protection hidden="1"/>
    </xf>
    <xf numFmtId="1" fontId="49" fillId="7" borderId="7" xfId="0" quotePrefix="1" applyNumberFormat="1" applyFont="1" applyFill="1" applyBorder="1" applyAlignment="1" applyProtection="1">
      <alignment horizontal="center" vertical="center"/>
      <protection hidden="1"/>
    </xf>
    <xf numFmtId="1" fontId="49" fillId="8" borderId="5" xfId="0" quotePrefix="1" applyNumberFormat="1" applyFont="1" applyFill="1" applyBorder="1" applyAlignment="1" applyProtection="1">
      <alignment horizontal="center" vertical="center"/>
      <protection hidden="1"/>
    </xf>
    <xf numFmtId="1" fontId="49" fillId="8" borderId="10" xfId="0" quotePrefix="1" applyNumberFormat="1" applyFont="1" applyFill="1" applyBorder="1" applyAlignment="1" applyProtection="1">
      <alignment horizontal="center" vertical="center"/>
      <protection hidden="1"/>
    </xf>
    <xf numFmtId="1" fontId="49" fillId="8" borderId="7" xfId="0" quotePrefix="1" applyNumberFormat="1" applyFont="1" applyFill="1" applyBorder="1" applyAlignment="1" applyProtection="1">
      <alignment horizontal="center" vertical="center"/>
      <protection hidden="1"/>
    </xf>
    <xf numFmtId="1" fontId="49" fillId="13" borderId="5" xfId="0" quotePrefix="1" applyNumberFormat="1" applyFont="1" applyFill="1" applyBorder="1" applyAlignment="1" applyProtection="1">
      <alignment horizontal="center" vertical="center"/>
      <protection hidden="1"/>
    </xf>
    <xf numFmtId="1" fontId="49" fillId="13" borderId="10" xfId="0" quotePrefix="1" applyNumberFormat="1" applyFont="1" applyFill="1" applyBorder="1" applyAlignment="1" applyProtection="1">
      <alignment horizontal="center" vertical="center"/>
      <protection hidden="1"/>
    </xf>
    <xf numFmtId="1" fontId="49" fillId="13" borderId="7" xfId="0" quotePrefix="1" applyNumberFormat="1" applyFont="1" applyFill="1" applyBorder="1" applyAlignment="1" applyProtection="1">
      <alignment horizontal="center" vertical="center"/>
      <protection hidden="1"/>
    </xf>
    <xf numFmtId="1" fontId="49" fillId="12" borderId="1" xfId="0" quotePrefix="1" applyNumberFormat="1" applyFont="1" applyFill="1" applyBorder="1" applyAlignment="1" applyProtection="1">
      <alignment horizontal="center" vertical="center"/>
      <protection hidden="1"/>
    </xf>
    <xf numFmtId="1" fontId="49" fillId="13" borderId="1" xfId="0" quotePrefix="1" applyNumberFormat="1" applyFont="1" applyFill="1" applyBorder="1" applyAlignment="1" applyProtection="1">
      <alignment horizontal="center" vertical="center"/>
      <protection hidden="1"/>
    </xf>
    <xf numFmtId="1" fontId="48" fillId="0" borderId="1" xfId="0" applyNumberFormat="1" applyFont="1" applyBorder="1" applyAlignment="1" applyProtection="1">
      <alignment horizontal="center"/>
      <protection hidden="1"/>
    </xf>
    <xf numFmtId="1" fontId="7" fillId="3" borderId="3" xfId="0" applyNumberFormat="1" applyFont="1" applyFill="1" applyBorder="1" applyAlignment="1" applyProtection="1">
      <alignment horizontal="center"/>
      <protection hidden="1"/>
    </xf>
    <xf numFmtId="1" fontId="7" fillId="3" borderId="15" xfId="0" applyNumberFormat="1" applyFont="1" applyFill="1" applyBorder="1" applyAlignment="1" applyProtection="1">
      <alignment horizontal="center"/>
      <protection hidden="1"/>
    </xf>
    <xf numFmtId="1" fontId="7" fillId="3" borderId="13" xfId="0" applyNumberFormat="1" applyFont="1" applyFill="1" applyBorder="1" applyAlignment="1" applyProtection="1">
      <alignment horizontal="center"/>
      <protection hidden="1"/>
    </xf>
    <xf numFmtId="1" fontId="4" fillId="4" borderId="7" xfId="0" applyNumberFormat="1" applyFont="1" applyFill="1" applyBorder="1" applyAlignment="1" applyProtection="1">
      <alignment horizontal="center" vertical="center"/>
      <protection hidden="1"/>
    </xf>
    <xf numFmtId="1" fontId="6" fillId="8" borderId="7" xfId="0" applyNumberFormat="1" applyFont="1" applyFill="1" applyBorder="1" applyAlignment="1" applyProtection="1">
      <alignment horizontal="center"/>
      <protection hidden="1"/>
    </xf>
    <xf numFmtId="1" fontId="0" fillId="8" borderId="7" xfId="0" applyNumberFormat="1" applyFill="1" applyBorder="1" applyAlignment="1" applyProtection="1">
      <alignment horizontal="center"/>
      <protection hidden="1"/>
    </xf>
    <xf numFmtId="1" fontId="49" fillId="7" borderId="1" xfId="0" quotePrefix="1" applyNumberFormat="1" applyFont="1" applyFill="1" applyBorder="1" applyAlignment="1" applyProtection="1">
      <alignment horizontal="center" vertical="center"/>
      <protection hidden="1"/>
    </xf>
  </cellXfs>
  <cellStyles count="6">
    <cellStyle name="Normal" xfId="0" builtinId="0"/>
    <cellStyle name="Normal 2" xfId="4" xr:uid="{00000000-0005-0000-0000-000001000000}"/>
    <cellStyle name="Normal 2 3" xfId="5" xr:uid="{2CF726F4-37A1-4642-B762-2F5705B2C1D5}"/>
    <cellStyle name="Normal_Daftar kelistrikan (ecg)" xfId="1" xr:uid="{00000000-0005-0000-0000-000002000000}"/>
    <cellStyle name="Normal_Sheet1" xfId="2" xr:uid="{00000000-0005-0000-0000-000003000000}"/>
    <cellStyle name="Normal_THERMOHYGRO 2010" xfId="3" xr:uid="{00000000-0005-0000-0000-000004000000}"/>
  </cellStyles>
  <dxfs count="0"/>
  <tableStyles count="0" defaultTableStyle="TableStyleMedium9" defaultPivotStyle="PivotStyleLight16"/>
  <colors>
    <mruColors>
      <color rgb="FF00FF00"/>
      <color rgb="FFFF0066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PUT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hyperlink" Target="#'HASIL AKHIR, PRINT PREVIEW'!A1"/><Relationship Id="rId1" Type="http://schemas.openxmlformats.org/officeDocument/2006/relationships/hyperlink" Target="#PENYELIA!A1"/><Relationship Id="rId5" Type="http://schemas.openxmlformats.org/officeDocument/2006/relationships/image" Target="../media/image3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0</xdr:colOff>
      <xdr:row>18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308860" y="998220"/>
          <a:ext cx="0" cy="1905000"/>
          <a:chOff x="2676525" y="857250"/>
          <a:chExt cx="171450" cy="243840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/>
        </xdr:nvSpPr>
        <xdr:spPr>
          <a:xfrm>
            <a:off x="2676525" y="14573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2676525" y="8572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2676525" y="10572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2676525" y="12573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2676525" y="16573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2676525" y="18573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2676525" y="20574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2676525" y="22574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2676525" y="24574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2676525" y="26574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2676525" y="28575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2676525" y="30575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33</xdr:row>
      <xdr:rowOff>0</xdr:rowOff>
    </xdr:from>
    <xdr:to>
      <xdr:col>19</xdr:col>
      <xdr:colOff>457200</xdr:colOff>
      <xdr:row>35</xdr:row>
      <xdr:rowOff>95250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106150" y="5962650"/>
          <a:ext cx="914400" cy="7239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95250</xdr:colOff>
      <xdr:row>23</xdr:row>
      <xdr:rowOff>104775</xdr:rowOff>
    </xdr:from>
    <xdr:to>
      <xdr:col>16</xdr:col>
      <xdr:colOff>571500</xdr:colOff>
      <xdr:row>23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H="1">
          <a:off x="10963275" y="4772025"/>
          <a:ext cx="476250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  <a:effectLst>
          <a:glow rad="101600">
            <a:schemeClr val="accent1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33</xdr:row>
      <xdr:rowOff>0</xdr:rowOff>
    </xdr:from>
    <xdr:to>
      <xdr:col>14</xdr:col>
      <xdr:colOff>323850</xdr:colOff>
      <xdr:row>35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8505825" y="5791200"/>
          <a:ext cx="771525" cy="657225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33</xdr:row>
      <xdr:rowOff>0</xdr:rowOff>
    </xdr:from>
    <xdr:to>
      <xdr:col>14</xdr:col>
      <xdr:colOff>323850</xdr:colOff>
      <xdr:row>35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503D57-370A-4CC9-8004-DE06E40EBC4D}"/>
            </a:ext>
          </a:extLst>
        </xdr:cNvPr>
        <xdr:cNvSpPr/>
      </xdr:nvSpPr>
      <xdr:spPr>
        <a:xfrm>
          <a:off x="9591675" y="6353175"/>
          <a:ext cx="771525" cy="4000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33</xdr:row>
      <xdr:rowOff>0</xdr:rowOff>
    </xdr:from>
    <xdr:to>
      <xdr:col>14</xdr:col>
      <xdr:colOff>323850</xdr:colOff>
      <xdr:row>35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4DE95-5B42-421A-A949-F204D2709D61}"/>
            </a:ext>
          </a:extLst>
        </xdr:cNvPr>
        <xdr:cNvSpPr/>
      </xdr:nvSpPr>
      <xdr:spPr>
        <a:xfrm>
          <a:off x="9591675" y="6353175"/>
          <a:ext cx="771525" cy="4000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33</xdr:row>
      <xdr:rowOff>0</xdr:rowOff>
    </xdr:from>
    <xdr:to>
      <xdr:col>14</xdr:col>
      <xdr:colOff>323850</xdr:colOff>
      <xdr:row>35</xdr:row>
      <xdr:rowOff>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389A4B-B570-44B5-AC32-228E8E77723F}"/>
            </a:ext>
          </a:extLst>
        </xdr:cNvPr>
        <xdr:cNvSpPr/>
      </xdr:nvSpPr>
      <xdr:spPr>
        <a:xfrm>
          <a:off x="9591675" y="6353175"/>
          <a:ext cx="771525" cy="40005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1495425</xdr:colOff>
      <xdr:row>3</xdr:row>
      <xdr:rowOff>0</xdr:rowOff>
    </xdr:from>
    <xdr:to>
      <xdr:col>3</xdr:col>
      <xdr:colOff>1666875</xdr:colOff>
      <xdr:row>16</xdr:row>
      <xdr:rowOff>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2790825" y="678180"/>
          <a:ext cx="0" cy="1981200"/>
          <a:chOff x="2676525" y="857250"/>
          <a:chExt cx="171450" cy="2438400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676525" y="14573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2676525" y="8572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2676525" y="10572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2676525" y="12573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2676525" y="16573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2676525" y="18573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/>
        </xdr:nvSpPr>
        <xdr:spPr>
          <a:xfrm>
            <a:off x="2676525" y="20574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2676525" y="22574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2676525" y="245745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2676525" y="265747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 txBox="1"/>
        </xdr:nvSpPr>
        <xdr:spPr>
          <a:xfrm>
            <a:off x="2676525" y="2857500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SpPr txBox="1"/>
        </xdr:nvSpPr>
        <xdr:spPr>
          <a:xfrm>
            <a:off x="2676525" y="3057525"/>
            <a:ext cx="171450" cy="238125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d-ID" sz="1100"/>
              <a:t>:</a:t>
            </a:r>
          </a:p>
        </xdr:txBody>
      </xdr:sp>
    </xdr:grpSp>
    <xdr:clientData/>
  </xdr:twoCellAnchor>
  <xdr:twoCellAnchor>
    <xdr:from>
      <xdr:col>2</xdr:col>
      <xdr:colOff>923925</xdr:colOff>
      <xdr:row>35</xdr:row>
      <xdr:rowOff>0</xdr:rowOff>
    </xdr:from>
    <xdr:to>
      <xdr:col>3</xdr:col>
      <xdr:colOff>47625</xdr:colOff>
      <xdr:row>36</xdr:row>
      <xdr:rowOff>55010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2105025" y="2286000"/>
          <a:ext cx="219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d-ID" sz="1100"/>
            <a:t>:</a:t>
          </a:r>
        </a:p>
      </xdr:txBody>
    </xdr:sp>
    <xdr:clientData/>
  </xdr:twoCellAnchor>
  <xdr:twoCellAnchor>
    <xdr:from>
      <xdr:col>23</xdr:col>
      <xdr:colOff>476250</xdr:colOff>
      <xdr:row>55</xdr:row>
      <xdr:rowOff>190500</xdr:rowOff>
    </xdr:from>
    <xdr:to>
      <xdr:col>24</xdr:col>
      <xdr:colOff>514350</xdr:colOff>
      <xdr:row>59</xdr:row>
      <xdr:rowOff>161925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0" y="8067675"/>
          <a:ext cx="828675" cy="85725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428625</xdr:colOff>
      <xdr:row>50</xdr:row>
      <xdr:rowOff>190500</xdr:rowOff>
    </xdr:from>
    <xdr:to>
      <xdr:col>24</xdr:col>
      <xdr:colOff>571500</xdr:colOff>
      <xdr:row>54</xdr:row>
      <xdr:rowOff>190500</xdr:rowOff>
    </xdr:to>
    <xdr:sp macro="" textlink="">
      <xdr:nvSpPr>
        <xdr:cNvPr id="4" name="Oval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0239375" y="7067550"/>
          <a:ext cx="933450" cy="800100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59</xdr:col>
      <xdr:colOff>0</xdr:colOff>
      <xdr:row>5</xdr:row>
      <xdr:rowOff>104775</xdr:rowOff>
    </xdr:from>
    <xdr:to>
      <xdr:col>62</xdr:col>
      <xdr:colOff>319087</xdr:colOff>
      <xdr:row>28</xdr:row>
      <xdr:rowOff>15425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03CFCA4-42EA-4E18-8466-326FB7814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36100" y="1190625"/>
          <a:ext cx="2724150" cy="171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626269</xdr:colOff>
      <xdr:row>9</xdr:row>
      <xdr:rowOff>88106</xdr:rowOff>
    </xdr:from>
    <xdr:to>
      <xdr:col>68</xdr:col>
      <xdr:colOff>130969</xdr:colOff>
      <xdr:row>16</xdr:row>
      <xdr:rowOff>11906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4112C2F-D37A-4229-B811-966B57C1E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43644" y="1981200"/>
          <a:ext cx="2886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63</xdr:col>
      <xdr:colOff>638175</xdr:colOff>
      <xdr:row>5</xdr:row>
      <xdr:rowOff>95250</xdr:rowOff>
    </xdr:from>
    <xdr:to>
      <xdr:col>66</xdr:col>
      <xdr:colOff>49674</xdr:colOff>
      <xdr:row>8</xdr:row>
      <xdr:rowOff>161925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2B0220E-BD70-43BF-893F-E3EE0114D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93600" y="1181100"/>
          <a:ext cx="148080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369094</xdr:colOff>
      <xdr:row>44</xdr:row>
      <xdr:rowOff>71438</xdr:rowOff>
    </xdr:from>
    <xdr:to>
      <xdr:col>73</xdr:col>
      <xdr:colOff>433388</xdr:colOff>
      <xdr:row>46</xdr:row>
      <xdr:rowOff>245269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277AD5-D639-485B-925D-BD21B5DB5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20313" y="6703219"/>
          <a:ext cx="28860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69</xdr:col>
      <xdr:colOff>404812</xdr:colOff>
      <xdr:row>51</xdr:row>
      <xdr:rowOff>95250</xdr:rowOff>
    </xdr:from>
    <xdr:to>
      <xdr:col>72</xdr:col>
      <xdr:colOff>392906</xdr:colOff>
      <xdr:row>51</xdr:row>
      <xdr:rowOff>119062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95EBB50-56DA-4236-A093-2890BE4015B0}"/>
            </a:ext>
          </a:extLst>
        </xdr:cNvPr>
        <xdr:cNvCxnSpPr/>
      </xdr:nvCxnSpPr>
      <xdr:spPr>
        <a:xfrm>
          <a:off x="48256031" y="8370094"/>
          <a:ext cx="2202656" cy="238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4565fa0888591d4/SOFTWARE%20PASSWORD%202020/SOFTWARE%20Bukan%20Lingkup%20Akreditasi/SOFTWARE%20TEKANAN/SUCTION%20PUMP%20OUTPUT%20(MURNI)%20TEST%20KELISTRIKAN%2014.%20berbe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PK/Downloads/FETAL-DOPPLER%20edit%204.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PK/Downloads/5.%20sphygmomanometer%2013.4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imbangan%20dewasa%2014.12.2021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-PK/Downloads/Pulse%20Oxymetri%2030.4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4565fa0888591d4/SOFTWARE%20PASSWORD%202020/SOFTWARE%20Bukan%20Lingkup%20Akreditasi/SOFTWARE%20TEKANAN/SUCTION%20PUMP%20MASIH%20PROSES%203%20(MURNI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KONVERSI SATUAN"/>
      <sheetName val="INPUT"/>
      <sheetName val="BUDGET KTP NAIK"/>
      <sheetName val="BUDGET KTP TURUN"/>
      <sheetName val="PENYELIA"/>
      <sheetName val="PELANGGAN"/>
      <sheetName val="JENIS KALIBRATOR"/>
      <sheetName val="SERTIFIKAT DPM"/>
      <sheetName val="SERTIFIKAT THERMOHYGROMETER"/>
      <sheetName val="TEMUAN SERTIFIKAT"/>
      <sheetName val="ESA VOLT"/>
      <sheetName val="EARTH LEAKAGE"/>
      <sheetName val="PE MOhm"/>
      <sheetName val="RESISTANCE Ohm"/>
      <sheetName val="KETERANGAN"/>
      <sheetName val="KELAS 1"/>
      <sheetName val="KELAS 2"/>
      <sheetName val="LOGIKA ISENG"/>
      <sheetName val="PERUBAHAN"/>
    </sheetNames>
    <sheetDataSet>
      <sheetData sheetId="0"/>
      <sheetData sheetId="1"/>
      <sheetData sheetId="2">
        <row r="32">
          <cell r="M32" t="str">
            <v>BATERAI</v>
          </cell>
        </row>
        <row r="37">
          <cell r="M37" t="str">
            <v>G_NO KELUAR_NC MASUK_HIJAU (TANPA ALAT BANTU)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>
        <row r="8">
          <cell r="E8">
            <v>1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WAYAT REVISI"/>
      <sheetName val="KETERANGAN"/>
      <sheetName val="SERTIFIKAT THERMOHYGROMETER"/>
      <sheetName val="SERTIFIKAT DPM"/>
      <sheetName val="SERTIFIKAT STOPWATCH"/>
      <sheetName val="LK"/>
      <sheetName val="ID"/>
      <sheetName val="INTERPOLASI  "/>
      <sheetName val="DATA 1"/>
      <sheetName val="BUDGET NAIK"/>
      <sheetName val="BUDGET TURUN"/>
      <sheetName val="PENYELIA"/>
      <sheetName val="LH"/>
      <sheetName val="SERTIFIKAT"/>
      <sheetName val="SERTIFIKAT NA"/>
      <sheetName val="SURAT KETERANGAN NA"/>
      <sheetName val="DB SERTIFIKAT NA"/>
      <sheetName val="RESOLUSI STANDAR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B22">
            <v>25.6</v>
          </cell>
        </row>
        <row r="43">
          <cell r="B43">
            <v>8.1999999999999993</v>
          </cell>
        </row>
        <row r="54">
          <cell r="B54">
            <v>8.52</v>
          </cell>
        </row>
        <row r="73">
          <cell r="I73">
            <v>248</v>
          </cell>
        </row>
      </sheetData>
      <sheetData sheetId="7"/>
      <sheetData sheetId="8">
        <row r="6">
          <cell r="B6">
            <v>0</v>
          </cell>
          <cell r="F6">
            <v>0</v>
          </cell>
          <cell r="H6">
            <v>0.05</v>
          </cell>
        </row>
        <row r="7">
          <cell r="B7">
            <v>50</v>
          </cell>
          <cell r="F7">
            <v>0.3</v>
          </cell>
          <cell r="H7">
            <v>0.15</v>
          </cell>
        </row>
        <row r="8">
          <cell r="B8">
            <v>100</v>
          </cell>
          <cell r="F8">
            <v>0</v>
          </cell>
          <cell r="H8">
            <v>0</v>
          </cell>
        </row>
        <row r="9">
          <cell r="B9">
            <v>150</v>
          </cell>
          <cell r="F9">
            <v>0</v>
          </cell>
          <cell r="H9">
            <v>0</v>
          </cell>
        </row>
        <row r="10">
          <cell r="B10">
            <v>200</v>
          </cell>
          <cell r="F10">
            <v>-0.1</v>
          </cell>
          <cell r="H10">
            <v>0.05</v>
          </cell>
        </row>
        <row r="11">
          <cell r="B11">
            <v>250</v>
          </cell>
          <cell r="F11">
            <v>-0.1</v>
          </cell>
          <cell r="H11">
            <v>0.05</v>
          </cell>
        </row>
        <row r="12">
          <cell r="B12">
            <v>300</v>
          </cell>
          <cell r="F12">
            <v>0.1</v>
          </cell>
          <cell r="H12">
            <v>0.05</v>
          </cell>
        </row>
        <row r="13">
          <cell r="B13" t="str">
            <v/>
          </cell>
          <cell r="F13" t="str">
            <v/>
          </cell>
          <cell r="H13" t="str">
            <v/>
          </cell>
        </row>
        <row r="14">
          <cell r="B14" t="str">
            <v/>
          </cell>
          <cell r="F14" t="str">
            <v/>
          </cell>
          <cell r="H14" t="str">
            <v/>
          </cell>
        </row>
      </sheetData>
      <sheetData sheetId="9">
        <row r="10">
          <cell r="C10">
            <v>9.9999999999999995E-7</v>
          </cell>
        </row>
        <row r="40">
          <cell r="O40">
            <v>247.86260000000001</v>
          </cell>
        </row>
      </sheetData>
      <sheetData sheetId="10">
        <row r="10">
          <cell r="C10">
            <v>1.00199998E-6</v>
          </cell>
        </row>
        <row r="40">
          <cell r="O40">
            <v>247.89599999999999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K"/>
      <sheetName val="Riwayat Revisi"/>
      <sheetName val="INPUT DATA"/>
      <sheetName val="BUDGETING"/>
      <sheetName val="PENYELIA"/>
      <sheetName val="LHK"/>
      <sheetName val="SERTIFIKAT"/>
      <sheetName val="SURAT KETERANGAN"/>
      <sheetName val="DB SERTIFIKAT"/>
      <sheetName val="DB Thermohygro"/>
      <sheetName val="Setifikat "/>
      <sheetName val="Cetik Cetik"/>
    </sheetNames>
    <sheetDataSet>
      <sheetData sheetId="0" refreshError="1"/>
      <sheetData sheetId="1" refreshError="1"/>
      <sheetData sheetId="2" refreshError="1"/>
      <sheetData sheetId="3">
        <row r="2">
          <cell r="G2" t="str">
            <v>3 / I - 17 / E - 015.36 DL</v>
          </cell>
        </row>
      </sheetData>
      <sheetData sheetId="4" refreshError="1"/>
      <sheetData sheetId="5" refreshError="1"/>
      <sheetData sheetId="6">
        <row r="4">
          <cell r="D4" t="str">
            <v>-</v>
          </cell>
        </row>
        <row r="7">
          <cell r="C7" t="str">
            <v>:</v>
          </cell>
          <cell r="D7">
            <v>0.1</v>
          </cell>
        </row>
      </sheetData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mbar Kerja"/>
      <sheetName val="Riwayat Revisi"/>
      <sheetName val="Input"/>
      <sheetName val="Ketidakpastian BPM"/>
      <sheetName val="Ketidakpastian SPO2"/>
      <sheetName val="Penyelia"/>
      <sheetName val="LHK"/>
      <sheetName val="SERTIFIKAT"/>
      <sheetName val="SURAT KETERANGAN"/>
      <sheetName val="DB SERTIFIKAT"/>
      <sheetName val="DB ESA"/>
      <sheetName val="DB Suhu"/>
      <sheetName val="Cetik cetik"/>
      <sheetName val="kesimpulan"/>
      <sheetName val="DATA SERTIFIKAT(BPM)"/>
      <sheetName val="DATA SERTIFIKAT(O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G19" t="str">
            <v>Kalibrasi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K"/>
      <sheetName val="KONVERSI SATUAN"/>
      <sheetName val="INPUT"/>
      <sheetName val="BUDGET NAIK"/>
      <sheetName val="BUDGET TURUN"/>
      <sheetName val="PENYELIA"/>
      <sheetName val="LHK"/>
      <sheetName val="JENIS KALIBRATOR"/>
      <sheetName val="SERTIFIKAT DPM"/>
      <sheetName val="SERTIFIKAT THERMOHYGROMETER"/>
      <sheetName val="TEMUAN SERTIFIKAT"/>
      <sheetName val="ESA VOLT"/>
      <sheetName val="EARTH LEAKAGE"/>
      <sheetName val="PE MOhm"/>
      <sheetName val="RESISTANCE Ohm"/>
      <sheetName val="KETERANGAN"/>
      <sheetName val="PERUBAHAN"/>
    </sheetNames>
    <sheetDataSet>
      <sheetData sheetId="0" refreshError="1"/>
      <sheetData sheetId="1" refreshError="1"/>
      <sheetData sheetId="2" refreshError="1">
        <row r="83">
          <cell r="A83" t="str">
            <v>Electrical Safety Analyzer, Merek : FLUKE, Model : ESA620, SN : 1837056</v>
          </cell>
        </row>
        <row r="95">
          <cell r="C95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rgb="FF002060"/>
  </sheetPr>
  <dimension ref="A2:I100"/>
  <sheetViews>
    <sheetView topLeftCell="A17" workbookViewId="0">
      <selection activeCell="D20" sqref="D20"/>
    </sheetView>
  </sheetViews>
  <sheetFormatPr defaultRowHeight="13.2" x14ac:dyDescent="0.25"/>
  <cols>
    <col min="2" max="2" width="20.44140625" customWidth="1"/>
    <col min="3" max="3" width="39.6640625" customWidth="1"/>
    <col min="4" max="4" width="78.33203125" customWidth="1"/>
    <col min="5" max="5" width="9.109375" style="1109"/>
  </cols>
  <sheetData>
    <row r="2" spans="1:9" x14ac:dyDescent="0.25">
      <c r="A2" s="1264" t="s">
        <v>100</v>
      </c>
      <c r="B2" s="1264" t="s">
        <v>101</v>
      </c>
      <c r="C2" s="1264" t="s">
        <v>102</v>
      </c>
      <c r="D2" s="1264"/>
      <c r="E2" s="1265" t="s">
        <v>265</v>
      </c>
    </row>
    <row r="3" spans="1:9" x14ac:dyDescent="0.25">
      <c r="A3" s="1264"/>
      <c r="B3" s="1264"/>
      <c r="C3" s="923" t="s">
        <v>103</v>
      </c>
      <c r="D3" s="921" t="s">
        <v>104</v>
      </c>
      <c r="E3" s="1265"/>
    </row>
    <row r="4" spans="1:9" x14ac:dyDescent="0.25">
      <c r="A4" s="650">
        <v>1</v>
      </c>
      <c r="B4" s="629">
        <v>44229</v>
      </c>
      <c r="C4" s="1048" t="s">
        <v>105</v>
      </c>
      <c r="D4" s="1046" t="s">
        <v>0</v>
      </c>
      <c r="E4" s="1108"/>
    </row>
    <row r="5" spans="1:9" ht="26.4" x14ac:dyDescent="0.25">
      <c r="A5" s="650">
        <v>2</v>
      </c>
      <c r="B5" s="630"/>
      <c r="C5" s="1049" t="s">
        <v>106</v>
      </c>
      <c r="D5" s="1046"/>
      <c r="E5" s="919"/>
      <c r="F5" s="631"/>
      <c r="G5" s="631"/>
      <c r="H5" s="631"/>
      <c r="I5" s="631"/>
    </row>
    <row r="6" spans="1:9" x14ac:dyDescent="0.25">
      <c r="A6" s="650">
        <v>3</v>
      </c>
      <c r="B6" s="630" t="s">
        <v>442</v>
      </c>
      <c r="C6" s="1050" t="s">
        <v>111</v>
      </c>
      <c r="D6" s="1047" t="s">
        <v>443</v>
      </c>
      <c r="E6" s="924" t="s">
        <v>487</v>
      </c>
    </row>
    <row r="7" spans="1:9" x14ac:dyDescent="0.25">
      <c r="A7" s="650">
        <v>4</v>
      </c>
      <c r="B7" s="630" t="s">
        <v>442</v>
      </c>
      <c r="C7" s="1050" t="s">
        <v>111</v>
      </c>
      <c r="D7" s="1047" t="s">
        <v>444</v>
      </c>
      <c r="E7" s="924" t="s">
        <v>487</v>
      </c>
    </row>
    <row r="8" spans="1:9" x14ac:dyDescent="0.25">
      <c r="A8" s="650">
        <v>5</v>
      </c>
      <c r="B8" s="630" t="s">
        <v>447</v>
      </c>
      <c r="C8" s="1050" t="s">
        <v>448</v>
      </c>
      <c r="D8" s="1047" t="s">
        <v>449</v>
      </c>
      <c r="E8" s="920" t="s">
        <v>485</v>
      </c>
    </row>
    <row r="9" spans="1:9" x14ac:dyDescent="0.25">
      <c r="A9" s="650">
        <v>6</v>
      </c>
      <c r="B9" s="630" t="s">
        <v>447</v>
      </c>
      <c r="C9" s="1050" t="s">
        <v>453</v>
      </c>
      <c r="D9" s="1047" t="s">
        <v>454</v>
      </c>
      <c r="E9" s="920" t="s">
        <v>485</v>
      </c>
    </row>
    <row r="10" spans="1:9" x14ac:dyDescent="0.25">
      <c r="A10" s="804">
        <v>7</v>
      </c>
      <c r="B10" s="630" t="s">
        <v>479</v>
      </c>
      <c r="C10" s="1050" t="s">
        <v>480</v>
      </c>
      <c r="D10" s="1047" t="s">
        <v>481</v>
      </c>
      <c r="E10" s="920" t="s">
        <v>485</v>
      </c>
    </row>
    <row r="11" spans="1:9" x14ac:dyDescent="0.25">
      <c r="A11" s="804">
        <v>8</v>
      </c>
      <c r="B11" s="630" t="s">
        <v>479</v>
      </c>
      <c r="C11" s="1050" t="s">
        <v>482</v>
      </c>
      <c r="D11" s="1047" t="s">
        <v>481</v>
      </c>
      <c r="E11" s="920" t="s">
        <v>485</v>
      </c>
    </row>
    <row r="12" spans="1:9" ht="39.6" x14ac:dyDescent="0.25">
      <c r="A12" s="918">
        <v>9</v>
      </c>
      <c r="B12" s="630" t="s">
        <v>486</v>
      </c>
      <c r="C12" s="917" t="s">
        <v>488</v>
      </c>
      <c r="D12" s="922" t="s">
        <v>484</v>
      </c>
      <c r="E12" s="920" t="s">
        <v>485</v>
      </c>
    </row>
    <row r="13" spans="1:9" x14ac:dyDescent="0.25">
      <c r="A13" s="918">
        <v>10</v>
      </c>
      <c r="B13" s="1051" t="s">
        <v>486</v>
      </c>
      <c r="C13" s="1050" t="s">
        <v>520</v>
      </c>
      <c r="D13" s="1047" t="s">
        <v>521</v>
      </c>
      <c r="E13" s="920" t="s">
        <v>485</v>
      </c>
    </row>
    <row r="14" spans="1:9" x14ac:dyDescent="0.25">
      <c r="A14" s="918">
        <v>11</v>
      </c>
      <c r="B14" s="1051" t="s">
        <v>522</v>
      </c>
      <c r="C14" s="1050" t="s">
        <v>523</v>
      </c>
      <c r="D14" s="1047" t="s">
        <v>524</v>
      </c>
      <c r="E14" s="1052" t="s">
        <v>487</v>
      </c>
    </row>
    <row r="15" spans="1:9" ht="34.5" customHeight="1" x14ac:dyDescent="0.25">
      <c r="A15" s="829"/>
      <c r="B15" s="1051" t="s">
        <v>522</v>
      </c>
      <c r="C15" s="1053"/>
      <c r="D15" s="922" t="s">
        <v>527</v>
      </c>
      <c r="E15" s="1052" t="s">
        <v>487</v>
      </c>
    </row>
    <row r="16" spans="1:9" x14ac:dyDescent="0.25">
      <c r="A16" s="829"/>
      <c r="B16" s="1051" t="s">
        <v>776</v>
      </c>
      <c r="C16" s="1053"/>
      <c r="D16" s="1047" t="s">
        <v>775</v>
      </c>
      <c r="E16" s="1052" t="s">
        <v>487</v>
      </c>
    </row>
    <row r="17" spans="1:5" ht="26.4" x14ac:dyDescent="0.25">
      <c r="A17" s="981">
        <v>12</v>
      </c>
      <c r="B17" s="630" t="s">
        <v>779</v>
      </c>
      <c r="C17" s="917" t="s">
        <v>777</v>
      </c>
      <c r="D17" s="922" t="s">
        <v>778</v>
      </c>
      <c r="E17" s="920" t="s">
        <v>485</v>
      </c>
    </row>
    <row r="18" spans="1:5" ht="26.4" x14ac:dyDescent="0.25">
      <c r="A18" s="1107">
        <v>13</v>
      </c>
      <c r="B18" s="1113" t="s">
        <v>796</v>
      </c>
      <c r="C18" s="1112" t="s">
        <v>794</v>
      </c>
      <c r="D18" s="1111" t="s">
        <v>795</v>
      </c>
      <c r="E18" s="920" t="s">
        <v>485</v>
      </c>
    </row>
    <row r="19" spans="1:5" ht="26.4" x14ac:dyDescent="0.25">
      <c r="A19" s="1107">
        <v>14</v>
      </c>
      <c r="B19" s="630" t="s">
        <v>797</v>
      </c>
      <c r="C19" s="917" t="s">
        <v>794</v>
      </c>
      <c r="D19" s="922" t="s">
        <v>798</v>
      </c>
      <c r="E19" s="1114" t="s">
        <v>485</v>
      </c>
    </row>
    <row r="20" spans="1:5" ht="26.4" x14ac:dyDescent="0.25">
      <c r="A20" s="1107">
        <v>15</v>
      </c>
      <c r="B20" s="630" t="s">
        <v>797</v>
      </c>
      <c r="C20" s="917" t="s">
        <v>799</v>
      </c>
      <c r="D20" s="922" t="s">
        <v>800</v>
      </c>
      <c r="E20" s="1114" t="s">
        <v>485</v>
      </c>
    </row>
    <row r="21" spans="1:5" ht="26.4" x14ac:dyDescent="0.25">
      <c r="A21" s="1107">
        <v>16</v>
      </c>
      <c r="B21" s="630" t="s">
        <v>797</v>
      </c>
      <c r="C21" s="917" t="s">
        <v>801</v>
      </c>
      <c r="D21" s="922" t="s">
        <v>802</v>
      </c>
      <c r="E21" s="1114" t="s">
        <v>485</v>
      </c>
    </row>
    <row r="22" spans="1:5" ht="26.4" x14ac:dyDescent="0.25">
      <c r="A22" s="1107">
        <v>17</v>
      </c>
      <c r="B22" s="630" t="s">
        <v>797</v>
      </c>
      <c r="C22" s="917" t="s">
        <v>159</v>
      </c>
      <c r="D22" s="922" t="s">
        <v>803</v>
      </c>
      <c r="E22" s="1114" t="s">
        <v>485</v>
      </c>
    </row>
    <row r="23" spans="1:5" ht="26.4" x14ac:dyDescent="0.25">
      <c r="A23" s="1107">
        <v>18</v>
      </c>
      <c r="B23" s="630" t="s">
        <v>804</v>
      </c>
      <c r="C23" s="917" t="s">
        <v>805</v>
      </c>
      <c r="D23" s="922" t="s">
        <v>806</v>
      </c>
      <c r="E23" s="1114" t="s">
        <v>485</v>
      </c>
    </row>
    <row r="24" spans="1:5" x14ac:dyDescent="0.25">
      <c r="A24" s="1107">
        <v>19</v>
      </c>
      <c r="B24" s="630" t="s">
        <v>797</v>
      </c>
      <c r="C24" s="1115" t="s">
        <v>807</v>
      </c>
      <c r="D24" s="922" t="s">
        <v>808</v>
      </c>
      <c r="E24" s="1114" t="s">
        <v>485</v>
      </c>
    </row>
    <row r="25" spans="1:5" x14ac:dyDescent="0.25">
      <c r="A25" s="1110">
        <v>20</v>
      </c>
      <c r="B25" s="1051" t="s">
        <v>804</v>
      </c>
      <c r="C25" s="917" t="s">
        <v>814</v>
      </c>
      <c r="D25" s="1126" t="s">
        <v>815</v>
      </c>
      <c r="E25" s="1114" t="s">
        <v>485</v>
      </c>
    </row>
    <row r="26" spans="1:5" x14ac:dyDescent="0.25">
      <c r="A26" s="918">
        <v>21</v>
      </c>
      <c r="B26" s="1051" t="s">
        <v>819</v>
      </c>
      <c r="C26" s="1163" t="s">
        <v>823</v>
      </c>
      <c r="D26" s="1126" t="s">
        <v>824</v>
      </c>
      <c r="E26" s="1114" t="s">
        <v>485</v>
      </c>
    </row>
    <row r="27" spans="1:5" x14ac:dyDescent="0.25">
      <c r="A27" s="918">
        <v>22</v>
      </c>
      <c r="B27" s="1051" t="s">
        <v>819</v>
      </c>
      <c r="C27" s="917" t="s">
        <v>821</v>
      </c>
      <c r="D27" s="922" t="s">
        <v>822</v>
      </c>
      <c r="E27" s="1114" t="s">
        <v>485</v>
      </c>
    </row>
    <row r="100" spans="1:1" x14ac:dyDescent="0.25">
      <c r="A100" s="1054" t="s">
        <v>780</v>
      </c>
    </row>
  </sheetData>
  <sheetProtection algorithmName="SHA-512" hashValue="EsAwKOVadL1o9Pke2ZyUj41LfEFzGjpxq7q1FExa0M3wmCmEo4GkY/NT9AQgNwN1kCoZTDa7GLcTbzDzPZOxSA==" saltValue="1JC8cM+gNv0CwZKBFKem2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3F47-E093-481C-B6A0-C974BC17665A}">
  <sheetPr codeName="Sheet24">
    <tabColor rgb="FF00FF00"/>
  </sheetPr>
  <dimension ref="A1:IN216"/>
  <sheetViews>
    <sheetView showGridLines="0" view="pageBreakPreview" zoomScaleNormal="100" zoomScaleSheetLayoutView="100" workbookViewId="0">
      <selection activeCell="G10" sqref="G10"/>
    </sheetView>
  </sheetViews>
  <sheetFormatPr defaultColWidth="9.109375" defaultRowHeight="15.6" x14ac:dyDescent="0.3"/>
  <cols>
    <col min="1" max="1" width="5.44140625" style="409" customWidth="1"/>
    <col min="2" max="2" width="4" style="372" customWidth="1"/>
    <col min="3" max="3" width="18.88671875" style="372" customWidth="1"/>
    <col min="4" max="4" width="0.5546875" style="372" hidden="1" customWidth="1"/>
    <col min="5" max="5" width="1.44140625" style="372" customWidth="1"/>
    <col min="6" max="6" width="17.109375" style="372" customWidth="1"/>
    <col min="7" max="7" width="13.6640625" style="372" customWidth="1"/>
    <col min="8" max="8" width="13.88671875" style="372" customWidth="1"/>
    <col min="9" max="9" width="13.33203125" style="372" customWidth="1"/>
    <col min="10" max="10" width="16.109375" style="372" customWidth="1"/>
    <col min="11" max="12" width="16" style="372" customWidth="1"/>
    <col min="13" max="223" width="9.109375" style="372" customWidth="1"/>
    <col min="224" max="247" width="10.33203125" style="372" customWidth="1"/>
    <col min="248" max="248" width="7.5546875" style="372" customWidth="1"/>
    <col min="249" max="249" width="8.6640625" style="372" customWidth="1"/>
    <col min="250" max="255" width="8.88671875" style="372" customWidth="1"/>
    <col min="256" max="16384" width="9.109375" style="372"/>
  </cols>
  <sheetData>
    <row r="1" spans="1:248" ht="17.399999999999999" x14ac:dyDescent="0.3">
      <c r="A1" s="1454" t="s">
        <v>226</v>
      </c>
      <c r="B1" s="1454"/>
      <c r="C1" s="1454"/>
      <c r="D1" s="1454"/>
      <c r="E1" s="1454"/>
      <c r="F1" s="1454"/>
      <c r="G1" s="1454"/>
      <c r="H1" s="1454"/>
      <c r="I1" s="1454"/>
      <c r="J1" s="1454"/>
      <c r="K1" s="1454"/>
      <c r="L1" s="1454"/>
      <c r="M1" s="371"/>
      <c r="N1" s="371"/>
      <c r="O1" s="371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  <c r="DW1" s="743"/>
      <c r="DX1" s="743"/>
      <c r="DY1" s="743"/>
      <c r="DZ1" s="743"/>
      <c r="EA1" s="743"/>
      <c r="EB1" s="743"/>
      <c r="EC1" s="743"/>
      <c r="ED1" s="743"/>
      <c r="EE1" s="743"/>
      <c r="EF1" s="743"/>
      <c r="EG1" s="743"/>
      <c r="EH1" s="743"/>
      <c r="EI1" s="743"/>
      <c r="EJ1" s="743"/>
      <c r="EK1" s="743"/>
      <c r="EL1" s="743"/>
      <c r="EM1" s="743"/>
      <c r="EN1" s="743"/>
      <c r="EO1" s="743"/>
      <c r="EP1" s="743"/>
      <c r="EQ1" s="743"/>
      <c r="ER1" s="743"/>
      <c r="ES1" s="743"/>
      <c r="ET1" s="743"/>
      <c r="EU1" s="743"/>
      <c r="EV1" s="743"/>
      <c r="EW1" s="743"/>
      <c r="EX1" s="743"/>
      <c r="EY1" s="743"/>
      <c r="EZ1" s="743"/>
      <c r="FA1" s="743"/>
      <c r="FB1" s="743"/>
      <c r="FC1" s="743"/>
      <c r="FD1" s="743"/>
      <c r="FE1" s="743"/>
      <c r="FF1" s="743"/>
      <c r="FG1" s="743"/>
      <c r="FH1" s="743"/>
      <c r="FI1" s="743"/>
      <c r="FJ1" s="743"/>
      <c r="FK1" s="743"/>
      <c r="FL1" s="743"/>
      <c r="FM1" s="743"/>
      <c r="FN1" s="743"/>
      <c r="FO1" s="743"/>
      <c r="FP1" s="743"/>
      <c r="FQ1" s="743"/>
      <c r="FR1" s="743"/>
      <c r="FS1" s="743"/>
      <c r="FT1" s="743"/>
      <c r="FU1" s="743"/>
      <c r="FV1" s="743"/>
      <c r="FW1" s="743"/>
      <c r="FX1" s="743"/>
      <c r="FY1" s="743"/>
      <c r="FZ1" s="743"/>
      <c r="GA1" s="743"/>
      <c r="GB1" s="743"/>
      <c r="GC1" s="743"/>
      <c r="GD1" s="743"/>
      <c r="GE1" s="743"/>
      <c r="GF1" s="743"/>
      <c r="GG1" s="743"/>
      <c r="GH1" s="743"/>
      <c r="GI1" s="743"/>
      <c r="GJ1" s="743"/>
      <c r="GK1" s="743"/>
      <c r="GL1" s="743"/>
      <c r="GM1" s="743"/>
      <c r="GN1" s="743"/>
      <c r="GO1" s="743"/>
      <c r="GP1" s="743"/>
      <c r="GQ1" s="743"/>
      <c r="GR1" s="743"/>
      <c r="GS1" s="743"/>
      <c r="GT1" s="743"/>
      <c r="GU1" s="743"/>
      <c r="GV1" s="743"/>
      <c r="GW1" s="743"/>
      <c r="GX1" s="743"/>
      <c r="GY1" s="743"/>
      <c r="GZ1" s="743"/>
      <c r="HA1" s="743"/>
      <c r="HB1" s="743"/>
      <c r="HC1" s="743"/>
      <c r="HD1" s="743"/>
      <c r="HE1" s="743"/>
      <c r="HF1" s="743"/>
      <c r="HG1" s="743"/>
      <c r="HH1" s="743"/>
      <c r="HI1" s="743"/>
      <c r="HJ1" s="743"/>
      <c r="HK1" s="743"/>
      <c r="HL1" s="743"/>
      <c r="HM1" s="743"/>
      <c r="HN1" s="743"/>
      <c r="HO1" s="743"/>
      <c r="HP1" s="743"/>
      <c r="HQ1" s="743"/>
      <c r="HR1" s="743"/>
      <c r="HS1" s="743"/>
      <c r="HT1" s="743"/>
      <c r="HU1" s="743"/>
      <c r="HV1" s="743"/>
      <c r="HW1" s="743"/>
      <c r="HX1" s="743"/>
      <c r="HY1" s="743"/>
      <c r="HZ1" s="743"/>
      <c r="IA1" s="743"/>
      <c r="IB1" s="743"/>
      <c r="IC1" s="743"/>
      <c r="ID1" s="743"/>
      <c r="IE1" s="743"/>
      <c r="IF1" s="743"/>
      <c r="IG1" s="743"/>
      <c r="IH1" s="743"/>
      <c r="II1" s="743"/>
      <c r="IJ1" s="743"/>
      <c r="IK1" s="743"/>
      <c r="IL1" s="743"/>
      <c r="IM1" s="743"/>
      <c r="IN1" s="744"/>
    </row>
    <row r="2" spans="1:248" ht="16.8" x14ac:dyDescent="0.3">
      <c r="A2" s="1456" t="str">
        <f>PENYELIA!A2</f>
        <v>Nomor sertifikat : 9 /2 / II - 20 / E - 015.38 DL</v>
      </c>
      <c r="B2" s="1456"/>
      <c r="C2" s="1456"/>
      <c r="D2" s="1456"/>
      <c r="E2" s="1456"/>
      <c r="F2" s="1456"/>
      <c r="G2" s="1456"/>
      <c r="H2" s="1456"/>
      <c r="I2" s="1456"/>
      <c r="J2" s="1456"/>
      <c r="K2" s="1456"/>
      <c r="L2" s="1456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  <c r="DW2" s="743"/>
      <c r="DX2" s="743"/>
      <c r="DY2" s="743"/>
      <c r="DZ2" s="743"/>
      <c r="EA2" s="743"/>
      <c r="EB2" s="743"/>
      <c r="EC2" s="743"/>
      <c r="ED2" s="743"/>
      <c r="EE2" s="743"/>
      <c r="EF2" s="743"/>
      <c r="EG2" s="743"/>
      <c r="EH2" s="743"/>
      <c r="EI2" s="743"/>
      <c r="EJ2" s="743"/>
      <c r="EK2" s="743"/>
      <c r="EL2" s="743"/>
      <c r="EM2" s="743"/>
      <c r="EN2" s="743"/>
      <c r="EO2" s="743"/>
      <c r="EP2" s="743"/>
      <c r="EQ2" s="743"/>
      <c r="ER2" s="743"/>
      <c r="ES2" s="743"/>
      <c r="ET2" s="743"/>
      <c r="EU2" s="743"/>
      <c r="EV2" s="743"/>
      <c r="EW2" s="743"/>
      <c r="EX2" s="743"/>
      <c r="EY2" s="743"/>
      <c r="EZ2" s="743"/>
      <c r="FA2" s="743"/>
      <c r="FB2" s="743"/>
      <c r="FC2" s="743"/>
      <c r="FD2" s="743"/>
      <c r="FE2" s="743"/>
      <c r="FF2" s="743"/>
      <c r="FG2" s="743"/>
      <c r="FH2" s="743"/>
      <c r="FI2" s="743"/>
      <c r="FJ2" s="743"/>
      <c r="FK2" s="743"/>
      <c r="FL2" s="743"/>
      <c r="FM2" s="743"/>
      <c r="FN2" s="743"/>
      <c r="FO2" s="743"/>
      <c r="FP2" s="743"/>
      <c r="FQ2" s="743"/>
      <c r="FR2" s="743"/>
      <c r="FS2" s="743"/>
      <c r="FT2" s="743"/>
      <c r="FU2" s="743"/>
      <c r="FV2" s="743"/>
      <c r="FW2" s="743"/>
      <c r="FX2" s="743"/>
      <c r="FY2" s="743"/>
      <c r="FZ2" s="743"/>
      <c r="GA2" s="743"/>
      <c r="GB2" s="743"/>
      <c r="GC2" s="743"/>
      <c r="GD2" s="743"/>
      <c r="GE2" s="743"/>
      <c r="GF2" s="743"/>
      <c r="GG2" s="743"/>
      <c r="GH2" s="743"/>
      <c r="GI2" s="743"/>
      <c r="GJ2" s="743"/>
      <c r="GK2" s="743"/>
      <c r="GL2" s="743"/>
      <c r="GM2" s="743"/>
      <c r="GN2" s="743"/>
      <c r="GO2" s="743"/>
      <c r="GP2" s="743"/>
      <c r="GQ2" s="743"/>
      <c r="GR2" s="743"/>
      <c r="GS2" s="743"/>
      <c r="GT2" s="743"/>
      <c r="GU2" s="743"/>
      <c r="GV2" s="743"/>
      <c r="GW2" s="743"/>
      <c r="GX2" s="743"/>
      <c r="GY2" s="743"/>
      <c r="GZ2" s="743"/>
      <c r="HA2" s="743"/>
      <c r="HB2" s="743"/>
      <c r="HC2" s="743"/>
      <c r="HD2" s="743"/>
      <c r="HE2" s="743"/>
      <c r="HF2" s="743"/>
      <c r="HG2" s="743"/>
      <c r="HH2" s="743"/>
      <c r="HI2" s="743"/>
      <c r="HJ2" s="743"/>
      <c r="HK2" s="743"/>
      <c r="HL2" s="743"/>
      <c r="HM2" s="743"/>
      <c r="HN2" s="743"/>
      <c r="HO2" s="743"/>
      <c r="HP2" s="743"/>
      <c r="HQ2" s="743"/>
      <c r="HR2" s="743"/>
      <c r="HS2" s="743"/>
      <c r="HT2" s="743"/>
      <c r="HU2" s="743"/>
      <c r="HV2" s="743"/>
      <c r="HW2" s="743"/>
      <c r="HX2" s="743"/>
      <c r="HY2" s="743"/>
      <c r="HZ2" s="743"/>
      <c r="IA2" s="743"/>
      <c r="IB2" s="743"/>
      <c r="IC2" s="743"/>
      <c r="ID2" s="743"/>
      <c r="IE2" s="743"/>
      <c r="IF2" s="743"/>
      <c r="IG2" s="743"/>
      <c r="IH2" s="743"/>
      <c r="II2" s="743"/>
      <c r="IJ2" s="743"/>
      <c r="IK2" s="743"/>
      <c r="IL2" s="743"/>
      <c r="IM2" s="743"/>
      <c r="IN2" s="744" t="s">
        <v>227</v>
      </c>
    </row>
    <row r="3" spans="1:248" s="373" customFormat="1" ht="9" customHeight="1" x14ac:dyDescent="0.3">
      <c r="A3" s="1136"/>
      <c r="B3" s="1136"/>
      <c r="C3" s="1136"/>
      <c r="D3" s="1136"/>
      <c r="E3" s="1136"/>
      <c r="F3" s="1136"/>
      <c r="G3" s="1136"/>
      <c r="H3" s="1136"/>
      <c r="I3" s="1136"/>
      <c r="J3" s="1136"/>
      <c r="K3" s="1136"/>
      <c r="IN3" s="374"/>
    </row>
    <row r="4" spans="1:248" x14ac:dyDescent="0.3">
      <c r="A4" s="1455" t="str">
        <f>ID!B4</f>
        <v>Merek</v>
      </c>
      <c r="B4" s="1455"/>
      <c r="C4" s="1455"/>
      <c r="D4" s="375" t="s">
        <v>7</v>
      </c>
      <c r="E4" s="375" t="s">
        <v>7</v>
      </c>
      <c r="F4" s="1136" t="str">
        <f>ID!E4</f>
        <v>OMRON</v>
      </c>
      <c r="G4" s="1136"/>
      <c r="H4" s="1136"/>
      <c r="I4" s="1136"/>
      <c r="J4" s="376"/>
      <c r="K4" s="376"/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3"/>
      <c r="X4" s="743"/>
      <c r="Y4" s="743"/>
      <c r="Z4" s="743"/>
      <c r="AA4" s="743"/>
      <c r="AB4" s="743"/>
      <c r="AC4" s="743"/>
      <c r="AD4" s="743"/>
      <c r="AE4" s="743"/>
      <c r="AF4" s="743"/>
      <c r="AG4" s="743"/>
      <c r="AH4" s="743"/>
      <c r="AI4" s="743"/>
      <c r="AJ4" s="743"/>
      <c r="AK4" s="743"/>
      <c r="AL4" s="743"/>
      <c r="AM4" s="743"/>
      <c r="AN4" s="743"/>
      <c r="AO4" s="743"/>
      <c r="AP4" s="743"/>
      <c r="AQ4" s="743"/>
      <c r="AR4" s="743"/>
      <c r="AS4" s="743"/>
      <c r="AT4" s="743"/>
      <c r="AU4" s="743"/>
      <c r="AV4" s="743"/>
      <c r="AW4" s="743"/>
      <c r="AX4" s="743"/>
      <c r="AY4" s="743"/>
      <c r="AZ4" s="743"/>
      <c r="BA4" s="743"/>
      <c r="BB4" s="743"/>
      <c r="BC4" s="743"/>
      <c r="BD4" s="743"/>
      <c r="BE4" s="743"/>
      <c r="BF4" s="743"/>
      <c r="BG4" s="743"/>
      <c r="BH4" s="743"/>
      <c r="BI4" s="743"/>
      <c r="BJ4" s="743"/>
      <c r="BK4" s="743"/>
      <c r="BL4" s="743"/>
      <c r="BM4" s="743"/>
      <c r="BN4" s="743"/>
      <c r="BO4" s="743"/>
      <c r="BP4" s="743"/>
      <c r="BQ4" s="743"/>
      <c r="BR4" s="743"/>
      <c r="BS4" s="743"/>
      <c r="BT4" s="743"/>
      <c r="BU4" s="743"/>
      <c r="BV4" s="743"/>
      <c r="BW4" s="743"/>
      <c r="BX4" s="743"/>
      <c r="BY4" s="743"/>
      <c r="BZ4" s="743"/>
      <c r="CA4" s="743"/>
      <c r="CB4" s="743"/>
      <c r="CC4" s="743"/>
      <c r="CD4" s="743"/>
      <c r="CE4" s="743"/>
      <c r="CF4" s="743"/>
      <c r="CG4" s="743"/>
      <c r="CH4" s="743"/>
      <c r="CI4" s="743"/>
      <c r="CJ4" s="743"/>
      <c r="CK4" s="743"/>
      <c r="CL4" s="743"/>
      <c r="CM4" s="743"/>
      <c r="CN4" s="743"/>
      <c r="CO4" s="743"/>
      <c r="CP4" s="743"/>
      <c r="CQ4" s="743"/>
      <c r="CR4" s="743"/>
      <c r="CS4" s="743"/>
      <c r="CT4" s="743"/>
      <c r="CU4" s="743"/>
      <c r="CV4" s="743"/>
      <c r="CW4" s="743"/>
      <c r="CX4" s="743"/>
      <c r="CY4" s="743"/>
      <c r="CZ4" s="743"/>
      <c r="DA4" s="743"/>
      <c r="DB4" s="743"/>
      <c r="DC4" s="743"/>
      <c r="DD4" s="743"/>
      <c r="DE4" s="743"/>
      <c r="DF4" s="743"/>
      <c r="DG4" s="743"/>
      <c r="DH4" s="743"/>
      <c r="DI4" s="743"/>
      <c r="DJ4" s="743"/>
      <c r="DK4" s="743"/>
      <c r="DL4" s="743"/>
      <c r="DM4" s="743"/>
      <c r="DN4" s="743"/>
      <c r="DO4" s="743"/>
      <c r="DP4" s="743"/>
      <c r="DQ4" s="743"/>
      <c r="DR4" s="743"/>
      <c r="DS4" s="743"/>
      <c r="DT4" s="743"/>
      <c r="DU4" s="743"/>
      <c r="DV4" s="743"/>
      <c r="DW4" s="743"/>
      <c r="DX4" s="743"/>
      <c r="DY4" s="743"/>
      <c r="DZ4" s="743"/>
      <c r="EA4" s="743"/>
      <c r="EB4" s="743"/>
      <c r="EC4" s="743"/>
      <c r="ED4" s="743"/>
      <c r="EE4" s="743"/>
      <c r="EF4" s="743"/>
      <c r="EG4" s="743"/>
      <c r="EH4" s="743"/>
      <c r="EI4" s="743"/>
      <c r="EJ4" s="743"/>
      <c r="EK4" s="743"/>
      <c r="EL4" s="743"/>
      <c r="EM4" s="743"/>
      <c r="EN4" s="743"/>
      <c r="EO4" s="743"/>
      <c r="EP4" s="743"/>
      <c r="EQ4" s="743"/>
      <c r="ER4" s="743"/>
      <c r="ES4" s="743"/>
      <c r="ET4" s="743"/>
      <c r="EU4" s="743"/>
      <c r="EV4" s="743"/>
      <c r="EW4" s="743"/>
      <c r="EX4" s="743"/>
      <c r="EY4" s="743"/>
      <c r="EZ4" s="743"/>
      <c r="FA4" s="743"/>
      <c r="FB4" s="743"/>
      <c r="FC4" s="743"/>
      <c r="FD4" s="743"/>
      <c r="FE4" s="743"/>
      <c r="FF4" s="743"/>
      <c r="FG4" s="743"/>
      <c r="FH4" s="743"/>
      <c r="FI4" s="743"/>
      <c r="FJ4" s="743"/>
      <c r="FK4" s="743"/>
      <c r="FL4" s="743"/>
      <c r="FM4" s="743"/>
      <c r="FN4" s="743"/>
      <c r="FO4" s="743"/>
      <c r="FP4" s="743"/>
      <c r="FQ4" s="743"/>
      <c r="FR4" s="743"/>
      <c r="FS4" s="743"/>
      <c r="FT4" s="743"/>
      <c r="FU4" s="743"/>
      <c r="FV4" s="743"/>
      <c r="FW4" s="743"/>
      <c r="FX4" s="743"/>
      <c r="FY4" s="743"/>
      <c r="FZ4" s="743"/>
      <c r="GA4" s="743"/>
      <c r="GB4" s="743"/>
      <c r="GC4" s="743"/>
      <c r="GD4" s="743"/>
      <c r="GE4" s="743"/>
      <c r="GF4" s="743"/>
      <c r="GG4" s="743"/>
      <c r="GH4" s="743"/>
      <c r="GI4" s="743"/>
      <c r="GJ4" s="743"/>
      <c r="GK4" s="743"/>
      <c r="GL4" s="743"/>
      <c r="GM4" s="743"/>
      <c r="GN4" s="743"/>
      <c r="GO4" s="743"/>
      <c r="GP4" s="743"/>
      <c r="GQ4" s="743"/>
      <c r="GR4" s="743"/>
      <c r="GS4" s="743"/>
      <c r="GT4" s="743"/>
      <c r="GU4" s="743"/>
      <c r="GV4" s="743"/>
      <c r="GW4" s="743"/>
      <c r="GX4" s="743"/>
      <c r="GY4" s="743"/>
      <c r="GZ4" s="743"/>
      <c r="HA4" s="743"/>
      <c r="HB4" s="743"/>
      <c r="HC4" s="743"/>
      <c r="HD4" s="743"/>
      <c r="HE4" s="743"/>
      <c r="HF4" s="743"/>
      <c r="HG4" s="743"/>
      <c r="HH4" s="743"/>
      <c r="HI4" s="743"/>
      <c r="HJ4" s="743"/>
      <c r="HK4" s="743"/>
      <c r="HL4" s="743"/>
      <c r="HM4" s="743"/>
      <c r="HN4" s="743"/>
      <c r="HO4" s="743"/>
      <c r="HP4" s="743"/>
      <c r="HQ4" s="743"/>
      <c r="HR4" s="743"/>
      <c r="HS4" s="743"/>
      <c r="HT4" s="743"/>
      <c r="HU4" s="743"/>
      <c r="HV4" s="743"/>
      <c r="HW4" s="743"/>
      <c r="HX4" s="743"/>
      <c r="HY4" s="743"/>
      <c r="HZ4" s="743"/>
      <c r="IA4" s="743"/>
      <c r="IB4" s="743"/>
      <c r="IC4" s="743"/>
      <c r="ID4" s="743"/>
      <c r="IE4" s="743"/>
      <c r="IF4" s="743"/>
      <c r="IG4" s="743"/>
      <c r="IH4" s="743"/>
      <c r="II4" s="743"/>
      <c r="IJ4" s="743"/>
      <c r="IK4" s="743"/>
      <c r="IL4" s="743"/>
      <c r="IM4" s="743"/>
      <c r="IN4" s="744" t="s">
        <v>228</v>
      </c>
    </row>
    <row r="5" spans="1:248" x14ac:dyDescent="0.3">
      <c r="A5" s="1455" t="str">
        <f>ID!B5</f>
        <v>Model/ tipe</v>
      </c>
      <c r="B5" s="1455"/>
      <c r="C5" s="1455"/>
      <c r="D5" s="375" t="s">
        <v>7</v>
      </c>
      <c r="E5" s="375" t="s">
        <v>7</v>
      </c>
      <c r="F5" s="1136" t="str">
        <f>ID!E5</f>
        <v>HEM-8712</v>
      </c>
      <c r="G5" s="1136"/>
      <c r="H5" s="1136"/>
      <c r="I5" s="1136"/>
      <c r="J5" s="376"/>
      <c r="K5" s="376"/>
      <c r="L5" s="743"/>
      <c r="M5" s="743"/>
      <c r="N5" s="743"/>
      <c r="O5" s="743"/>
      <c r="P5" s="743"/>
      <c r="Q5" s="743"/>
      <c r="R5" s="743"/>
      <c r="S5" s="743"/>
      <c r="T5" s="743"/>
      <c r="U5" s="743"/>
      <c r="V5" s="743"/>
      <c r="W5" s="743"/>
      <c r="X5" s="743"/>
      <c r="Y5" s="743"/>
      <c r="Z5" s="743"/>
      <c r="AA5" s="743"/>
      <c r="AB5" s="743"/>
      <c r="AC5" s="743"/>
      <c r="AD5" s="743"/>
      <c r="AE5" s="743"/>
      <c r="AF5" s="743"/>
      <c r="AG5" s="743"/>
      <c r="AH5" s="743"/>
      <c r="AI5" s="743"/>
      <c r="AJ5" s="743"/>
      <c r="AK5" s="743"/>
      <c r="AL5" s="743"/>
      <c r="AM5" s="743"/>
      <c r="AN5" s="743"/>
      <c r="AO5" s="743"/>
      <c r="AP5" s="743"/>
      <c r="AQ5" s="743"/>
      <c r="AR5" s="743"/>
      <c r="AS5" s="743"/>
      <c r="AT5" s="743"/>
      <c r="AU5" s="743"/>
      <c r="AV5" s="743"/>
      <c r="AW5" s="743"/>
      <c r="AX5" s="743"/>
      <c r="AY5" s="743"/>
      <c r="AZ5" s="743"/>
      <c r="BA5" s="743"/>
      <c r="BB5" s="743"/>
      <c r="BC5" s="743"/>
      <c r="BD5" s="743"/>
      <c r="BE5" s="743"/>
      <c r="BF5" s="743"/>
      <c r="BG5" s="743"/>
      <c r="BH5" s="743"/>
      <c r="BI5" s="743"/>
      <c r="BJ5" s="743"/>
      <c r="BK5" s="743"/>
      <c r="BL5" s="743"/>
      <c r="BM5" s="743"/>
      <c r="BN5" s="743"/>
      <c r="BO5" s="743"/>
      <c r="BP5" s="743"/>
      <c r="BQ5" s="743"/>
      <c r="BR5" s="743"/>
      <c r="BS5" s="743"/>
      <c r="BT5" s="743"/>
      <c r="BU5" s="743"/>
      <c r="BV5" s="743"/>
      <c r="BW5" s="743"/>
      <c r="BX5" s="743"/>
      <c r="BY5" s="743"/>
      <c r="BZ5" s="743"/>
      <c r="CA5" s="743"/>
      <c r="CB5" s="743"/>
      <c r="CC5" s="743"/>
      <c r="CD5" s="743"/>
      <c r="CE5" s="743"/>
      <c r="CF5" s="743"/>
      <c r="CG5" s="743"/>
      <c r="CH5" s="743"/>
      <c r="CI5" s="743"/>
      <c r="CJ5" s="743"/>
      <c r="CK5" s="743"/>
      <c r="CL5" s="743"/>
      <c r="CM5" s="743"/>
      <c r="CN5" s="743"/>
      <c r="CO5" s="743"/>
      <c r="CP5" s="743"/>
      <c r="CQ5" s="743"/>
      <c r="CR5" s="743"/>
      <c r="CS5" s="743"/>
      <c r="CT5" s="743"/>
      <c r="CU5" s="743"/>
      <c r="CV5" s="743"/>
      <c r="CW5" s="743"/>
      <c r="CX5" s="743"/>
      <c r="CY5" s="743"/>
      <c r="CZ5" s="743"/>
      <c r="DA5" s="743"/>
      <c r="DB5" s="743"/>
      <c r="DC5" s="743"/>
      <c r="DD5" s="743"/>
      <c r="DE5" s="743"/>
      <c r="DF5" s="743"/>
      <c r="DG5" s="743"/>
      <c r="DH5" s="743"/>
      <c r="DI5" s="743"/>
      <c r="DJ5" s="743"/>
      <c r="DK5" s="743"/>
      <c r="DL5" s="743"/>
      <c r="DM5" s="743"/>
      <c r="DN5" s="743"/>
      <c r="DO5" s="743"/>
      <c r="DP5" s="743"/>
      <c r="DQ5" s="743"/>
      <c r="DR5" s="743"/>
      <c r="DS5" s="743"/>
      <c r="DT5" s="743"/>
      <c r="DU5" s="743"/>
      <c r="DV5" s="743"/>
      <c r="DW5" s="743"/>
      <c r="DX5" s="743"/>
      <c r="DY5" s="743"/>
      <c r="DZ5" s="743"/>
      <c r="EA5" s="743"/>
      <c r="EB5" s="743"/>
      <c r="EC5" s="743"/>
      <c r="ED5" s="743"/>
      <c r="EE5" s="743"/>
      <c r="EF5" s="743"/>
      <c r="EG5" s="743"/>
      <c r="EH5" s="743"/>
      <c r="EI5" s="743"/>
      <c r="EJ5" s="743"/>
      <c r="EK5" s="743"/>
      <c r="EL5" s="743"/>
      <c r="EM5" s="743"/>
      <c r="EN5" s="743"/>
      <c r="EO5" s="743"/>
      <c r="EP5" s="743"/>
      <c r="EQ5" s="743"/>
      <c r="ER5" s="743"/>
      <c r="ES5" s="743"/>
      <c r="ET5" s="743"/>
      <c r="EU5" s="743"/>
      <c r="EV5" s="743"/>
      <c r="EW5" s="743"/>
      <c r="EX5" s="743"/>
      <c r="EY5" s="743"/>
      <c r="EZ5" s="743"/>
      <c r="FA5" s="743"/>
      <c r="FB5" s="743"/>
      <c r="FC5" s="743"/>
      <c r="FD5" s="743"/>
      <c r="FE5" s="743"/>
      <c r="FF5" s="743"/>
      <c r="FG5" s="743"/>
      <c r="FH5" s="743"/>
      <c r="FI5" s="743"/>
      <c r="FJ5" s="743"/>
      <c r="FK5" s="743"/>
      <c r="FL5" s="743"/>
      <c r="FM5" s="743"/>
      <c r="FN5" s="743"/>
      <c r="FO5" s="743"/>
      <c r="FP5" s="743"/>
      <c r="FQ5" s="743"/>
      <c r="FR5" s="743"/>
      <c r="FS5" s="743"/>
      <c r="FT5" s="743"/>
      <c r="FU5" s="743"/>
      <c r="FV5" s="743"/>
      <c r="FW5" s="743"/>
      <c r="FX5" s="743"/>
      <c r="FY5" s="743"/>
      <c r="FZ5" s="743"/>
      <c r="GA5" s="743"/>
      <c r="GB5" s="743"/>
      <c r="GC5" s="743"/>
      <c r="GD5" s="743"/>
      <c r="GE5" s="743"/>
      <c r="GF5" s="743"/>
      <c r="GG5" s="743"/>
      <c r="GH5" s="743"/>
      <c r="GI5" s="743"/>
      <c r="GJ5" s="743"/>
      <c r="GK5" s="743"/>
      <c r="GL5" s="743"/>
      <c r="GM5" s="743"/>
      <c r="GN5" s="743"/>
      <c r="GO5" s="743"/>
      <c r="GP5" s="743"/>
      <c r="GQ5" s="743"/>
      <c r="GR5" s="743"/>
      <c r="GS5" s="743"/>
      <c r="GT5" s="743"/>
      <c r="GU5" s="743"/>
      <c r="GV5" s="743"/>
      <c r="GW5" s="743"/>
      <c r="GX5" s="743"/>
      <c r="GY5" s="743"/>
      <c r="GZ5" s="743"/>
      <c r="HA5" s="743"/>
      <c r="HB5" s="743"/>
      <c r="HC5" s="743"/>
      <c r="HD5" s="743"/>
      <c r="HE5" s="743"/>
      <c r="HF5" s="743"/>
      <c r="HG5" s="743"/>
      <c r="HH5" s="743"/>
      <c r="HI5" s="743"/>
      <c r="HJ5" s="743"/>
      <c r="HK5" s="743"/>
      <c r="HL5" s="743"/>
      <c r="HM5" s="743"/>
      <c r="HN5" s="743"/>
      <c r="HO5" s="743"/>
      <c r="HP5" s="743"/>
      <c r="HQ5" s="743"/>
      <c r="HR5" s="743"/>
      <c r="HS5" s="743"/>
      <c r="HT5" s="743"/>
      <c r="HU5" s="743"/>
      <c r="HV5" s="743"/>
      <c r="HW5" s="743"/>
      <c r="HX5" s="743"/>
      <c r="HY5" s="743"/>
      <c r="HZ5" s="743"/>
      <c r="IA5" s="743"/>
      <c r="IB5" s="743"/>
      <c r="IC5" s="743"/>
      <c r="ID5" s="743"/>
      <c r="IE5" s="743"/>
      <c r="IF5" s="743"/>
      <c r="IG5" s="743"/>
      <c r="IH5" s="743"/>
      <c r="II5" s="743"/>
      <c r="IJ5" s="743"/>
      <c r="IK5" s="743"/>
      <c r="IL5" s="743"/>
      <c r="IM5" s="743"/>
      <c r="IN5" s="743"/>
    </row>
    <row r="6" spans="1:248" x14ac:dyDescent="0.3">
      <c r="A6" s="1455" t="str">
        <f>ID!B6</f>
        <v>Nomor seri</v>
      </c>
      <c r="B6" s="1455"/>
      <c r="C6" s="1455"/>
      <c r="D6" s="375" t="s">
        <v>7</v>
      </c>
      <c r="E6" s="375" t="s">
        <v>7</v>
      </c>
      <c r="F6" s="1136" t="str">
        <f>ID!E6</f>
        <v>-</v>
      </c>
      <c r="G6" s="1136"/>
      <c r="H6" s="1136"/>
      <c r="I6" s="1136"/>
      <c r="J6" s="376"/>
      <c r="K6" s="376"/>
      <c r="L6" s="743"/>
      <c r="M6" s="743"/>
      <c r="N6" s="743"/>
      <c r="O6" s="743"/>
      <c r="P6" s="743"/>
      <c r="Q6" s="743"/>
      <c r="R6" s="743"/>
      <c r="S6" s="743"/>
      <c r="T6" s="743"/>
      <c r="U6" s="743"/>
      <c r="V6" s="743"/>
      <c r="W6" s="743"/>
      <c r="X6" s="743"/>
      <c r="Y6" s="743"/>
      <c r="Z6" s="743"/>
      <c r="AA6" s="743"/>
      <c r="AB6" s="743"/>
      <c r="AC6" s="743"/>
      <c r="AD6" s="743"/>
      <c r="AE6" s="743"/>
      <c r="AF6" s="743"/>
      <c r="AG6" s="743"/>
      <c r="AH6" s="743"/>
      <c r="AI6" s="743"/>
      <c r="AJ6" s="743"/>
      <c r="AK6" s="743"/>
      <c r="AL6" s="743"/>
      <c r="AM6" s="743"/>
      <c r="AN6" s="743"/>
      <c r="AO6" s="743"/>
      <c r="AP6" s="743"/>
      <c r="AQ6" s="743"/>
      <c r="AR6" s="743"/>
      <c r="AS6" s="743"/>
      <c r="AT6" s="743"/>
      <c r="AU6" s="743"/>
      <c r="AV6" s="743"/>
      <c r="AW6" s="743"/>
      <c r="AX6" s="743"/>
      <c r="AY6" s="743"/>
      <c r="AZ6" s="743"/>
      <c r="BA6" s="743"/>
      <c r="BB6" s="743"/>
      <c r="BC6" s="743"/>
      <c r="BD6" s="743"/>
      <c r="BE6" s="743"/>
      <c r="BF6" s="743"/>
      <c r="BG6" s="743"/>
      <c r="BH6" s="743"/>
      <c r="BI6" s="743"/>
      <c r="BJ6" s="743"/>
      <c r="BK6" s="743"/>
      <c r="BL6" s="743"/>
      <c r="BM6" s="743"/>
      <c r="BN6" s="743"/>
      <c r="BO6" s="743"/>
      <c r="BP6" s="743"/>
      <c r="BQ6" s="743"/>
      <c r="BR6" s="743"/>
      <c r="BS6" s="743"/>
      <c r="BT6" s="743"/>
      <c r="BU6" s="743"/>
      <c r="BV6" s="743"/>
      <c r="BW6" s="743"/>
      <c r="BX6" s="743"/>
      <c r="BY6" s="743"/>
      <c r="BZ6" s="743"/>
      <c r="CA6" s="743"/>
      <c r="CB6" s="743"/>
      <c r="CC6" s="743"/>
      <c r="CD6" s="743"/>
      <c r="CE6" s="743"/>
      <c r="CF6" s="743"/>
      <c r="CG6" s="743"/>
      <c r="CH6" s="743"/>
      <c r="CI6" s="743"/>
      <c r="CJ6" s="743"/>
      <c r="CK6" s="743"/>
      <c r="CL6" s="743"/>
      <c r="CM6" s="743"/>
      <c r="CN6" s="743"/>
      <c r="CO6" s="743"/>
      <c r="CP6" s="743"/>
      <c r="CQ6" s="743"/>
      <c r="CR6" s="743"/>
      <c r="CS6" s="743"/>
      <c r="CT6" s="743"/>
      <c r="CU6" s="743"/>
      <c r="CV6" s="743"/>
      <c r="CW6" s="743"/>
      <c r="CX6" s="743"/>
      <c r="CY6" s="743"/>
      <c r="CZ6" s="743"/>
      <c r="DA6" s="743"/>
      <c r="DB6" s="743"/>
      <c r="DC6" s="743"/>
      <c r="DD6" s="743"/>
      <c r="DE6" s="743"/>
      <c r="DF6" s="743"/>
      <c r="DG6" s="743"/>
      <c r="DH6" s="743"/>
      <c r="DI6" s="743"/>
      <c r="DJ6" s="743"/>
      <c r="DK6" s="743"/>
      <c r="DL6" s="743"/>
      <c r="DM6" s="743"/>
      <c r="DN6" s="743"/>
      <c r="DO6" s="743"/>
      <c r="DP6" s="743"/>
      <c r="DQ6" s="743"/>
      <c r="DR6" s="743"/>
      <c r="DS6" s="743"/>
      <c r="DT6" s="743"/>
      <c r="DU6" s="743"/>
      <c r="DV6" s="743"/>
      <c r="DW6" s="743"/>
      <c r="DX6" s="743"/>
      <c r="DY6" s="743"/>
      <c r="DZ6" s="743"/>
      <c r="EA6" s="743"/>
      <c r="EB6" s="743"/>
      <c r="EC6" s="743"/>
      <c r="ED6" s="743"/>
      <c r="EE6" s="743"/>
      <c r="EF6" s="743"/>
      <c r="EG6" s="743"/>
      <c r="EH6" s="743"/>
      <c r="EI6" s="743"/>
      <c r="EJ6" s="743"/>
      <c r="EK6" s="743"/>
      <c r="EL6" s="743"/>
      <c r="EM6" s="743"/>
      <c r="EN6" s="743"/>
      <c r="EO6" s="743"/>
      <c r="EP6" s="743"/>
      <c r="EQ6" s="743"/>
      <c r="ER6" s="743"/>
      <c r="ES6" s="743"/>
      <c r="ET6" s="743"/>
      <c r="EU6" s="743"/>
      <c r="EV6" s="743"/>
      <c r="EW6" s="743"/>
      <c r="EX6" s="743"/>
      <c r="EY6" s="743"/>
      <c r="EZ6" s="743"/>
      <c r="FA6" s="743"/>
      <c r="FB6" s="743"/>
      <c r="FC6" s="743"/>
      <c r="FD6" s="743"/>
      <c r="FE6" s="743"/>
      <c r="FF6" s="743"/>
      <c r="FG6" s="743"/>
      <c r="FH6" s="743"/>
      <c r="FI6" s="743"/>
      <c r="FJ6" s="743"/>
      <c r="FK6" s="743"/>
      <c r="FL6" s="743"/>
      <c r="FM6" s="743"/>
      <c r="FN6" s="743"/>
      <c r="FO6" s="743"/>
      <c r="FP6" s="743"/>
      <c r="FQ6" s="743"/>
      <c r="FR6" s="743"/>
      <c r="FS6" s="743"/>
      <c r="FT6" s="743"/>
      <c r="FU6" s="743"/>
      <c r="FV6" s="743"/>
      <c r="FW6" s="743"/>
      <c r="FX6" s="743"/>
      <c r="FY6" s="743"/>
      <c r="FZ6" s="743"/>
      <c r="GA6" s="743"/>
      <c r="GB6" s="743"/>
      <c r="GC6" s="743"/>
      <c r="GD6" s="743"/>
      <c r="GE6" s="743"/>
      <c r="GF6" s="743"/>
      <c r="GG6" s="743"/>
      <c r="GH6" s="743"/>
      <c r="GI6" s="743"/>
      <c r="GJ6" s="743"/>
      <c r="GK6" s="743"/>
      <c r="GL6" s="743"/>
      <c r="GM6" s="743"/>
      <c r="GN6" s="743"/>
      <c r="GO6" s="743"/>
      <c r="GP6" s="743"/>
      <c r="GQ6" s="743"/>
      <c r="GR6" s="743"/>
      <c r="GS6" s="743"/>
      <c r="GT6" s="743"/>
      <c r="GU6" s="743"/>
      <c r="GV6" s="743"/>
      <c r="GW6" s="743"/>
      <c r="GX6" s="743"/>
      <c r="GY6" s="743"/>
      <c r="GZ6" s="743"/>
      <c r="HA6" s="743"/>
      <c r="HB6" s="743"/>
      <c r="HC6" s="743"/>
      <c r="HD6" s="743"/>
      <c r="HE6" s="743"/>
      <c r="HF6" s="743"/>
      <c r="HG6" s="743"/>
      <c r="HH6" s="743"/>
      <c r="HI6" s="743"/>
      <c r="HJ6" s="743"/>
      <c r="HK6" s="743"/>
      <c r="HL6" s="743"/>
      <c r="HM6" s="743"/>
      <c r="HN6" s="743"/>
      <c r="HO6" s="743"/>
      <c r="HP6" s="743"/>
      <c r="HQ6" s="743"/>
      <c r="HR6" s="743"/>
      <c r="HS6" s="743"/>
      <c r="HT6" s="743"/>
      <c r="HU6" s="743"/>
      <c r="HV6" s="743"/>
      <c r="HW6" s="743"/>
      <c r="HX6" s="743"/>
      <c r="HY6" s="743"/>
      <c r="HZ6" s="743"/>
      <c r="IA6" s="743"/>
      <c r="IB6" s="743"/>
      <c r="IC6" s="743"/>
      <c r="ID6" s="743"/>
      <c r="IE6" s="743"/>
      <c r="IF6" s="743"/>
      <c r="IG6" s="743"/>
      <c r="IH6" s="743"/>
      <c r="II6" s="743"/>
      <c r="IJ6" s="743"/>
      <c r="IK6" s="743"/>
      <c r="IL6" s="743"/>
      <c r="IM6" s="743"/>
      <c r="IN6" s="743"/>
    </row>
    <row r="7" spans="1:248" x14ac:dyDescent="0.3">
      <c r="A7" s="1136" t="str">
        <f>PENYELIA!A7</f>
        <v>Tanggal penerimaan alat</v>
      </c>
      <c r="B7" s="1136"/>
      <c r="C7" s="1136"/>
      <c r="D7" s="375"/>
      <c r="E7" s="375" t="s">
        <v>7</v>
      </c>
      <c r="F7" s="1236">
        <f>PENYELIA!F7</f>
        <v>44564</v>
      </c>
      <c r="G7" s="1136"/>
      <c r="H7" s="1136"/>
      <c r="I7" s="1136"/>
      <c r="J7" s="376"/>
      <c r="K7" s="376"/>
      <c r="L7" s="743"/>
      <c r="M7" s="743"/>
      <c r="N7" s="743"/>
      <c r="O7" s="743"/>
      <c r="P7" s="743"/>
      <c r="Q7" s="743"/>
      <c r="R7" s="743"/>
      <c r="S7" s="743"/>
      <c r="T7" s="743"/>
      <c r="U7" s="743"/>
      <c r="V7" s="743"/>
      <c r="W7" s="743"/>
      <c r="X7" s="743"/>
      <c r="Y7" s="743"/>
      <c r="Z7" s="743"/>
      <c r="AA7" s="743"/>
      <c r="AB7" s="743"/>
      <c r="AC7" s="743"/>
      <c r="AD7" s="743"/>
      <c r="AE7" s="743"/>
      <c r="AF7" s="743"/>
      <c r="AG7" s="743"/>
      <c r="AH7" s="743"/>
      <c r="AI7" s="743"/>
      <c r="AJ7" s="743"/>
      <c r="AK7" s="743"/>
      <c r="AL7" s="743"/>
      <c r="AM7" s="743"/>
      <c r="AN7" s="743"/>
      <c r="AO7" s="743"/>
      <c r="AP7" s="743"/>
      <c r="AQ7" s="743"/>
      <c r="AR7" s="743"/>
      <c r="AS7" s="743"/>
      <c r="AT7" s="743"/>
      <c r="AU7" s="743"/>
      <c r="AV7" s="743"/>
      <c r="AW7" s="743"/>
      <c r="AX7" s="743"/>
      <c r="AY7" s="743"/>
      <c r="AZ7" s="743"/>
      <c r="BA7" s="743"/>
      <c r="BB7" s="743"/>
      <c r="BC7" s="743"/>
      <c r="BD7" s="743"/>
      <c r="BE7" s="743"/>
      <c r="BF7" s="743"/>
      <c r="BG7" s="743"/>
      <c r="BH7" s="743"/>
      <c r="BI7" s="743"/>
      <c r="BJ7" s="743"/>
      <c r="BK7" s="743"/>
      <c r="BL7" s="743"/>
      <c r="BM7" s="743"/>
      <c r="BN7" s="743"/>
      <c r="BO7" s="743"/>
      <c r="BP7" s="743"/>
      <c r="BQ7" s="743"/>
      <c r="BR7" s="743"/>
      <c r="BS7" s="743"/>
      <c r="BT7" s="743"/>
      <c r="BU7" s="743"/>
      <c r="BV7" s="743"/>
      <c r="BW7" s="743"/>
      <c r="BX7" s="743"/>
      <c r="BY7" s="743"/>
      <c r="BZ7" s="743"/>
      <c r="CA7" s="743"/>
      <c r="CB7" s="743"/>
      <c r="CC7" s="743"/>
      <c r="CD7" s="743"/>
      <c r="CE7" s="743"/>
      <c r="CF7" s="743"/>
      <c r="CG7" s="743"/>
      <c r="CH7" s="743"/>
      <c r="CI7" s="743"/>
      <c r="CJ7" s="743"/>
      <c r="CK7" s="743"/>
      <c r="CL7" s="743"/>
      <c r="CM7" s="743"/>
      <c r="CN7" s="743"/>
      <c r="CO7" s="743"/>
      <c r="CP7" s="743"/>
      <c r="CQ7" s="743"/>
      <c r="CR7" s="743"/>
      <c r="CS7" s="743"/>
      <c r="CT7" s="743"/>
      <c r="CU7" s="743"/>
      <c r="CV7" s="743"/>
      <c r="CW7" s="743"/>
      <c r="CX7" s="743"/>
      <c r="CY7" s="743"/>
      <c r="CZ7" s="743"/>
      <c r="DA7" s="743"/>
      <c r="DB7" s="743"/>
      <c r="DC7" s="743"/>
      <c r="DD7" s="743"/>
      <c r="DE7" s="743"/>
      <c r="DF7" s="743"/>
      <c r="DG7" s="743"/>
      <c r="DH7" s="743"/>
      <c r="DI7" s="743"/>
      <c r="DJ7" s="743"/>
      <c r="DK7" s="743"/>
      <c r="DL7" s="743"/>
      <c r="DM7" s="743"/>
      <c r="DN7" s="743"/>
      <c r="DO7" s="743"/>
      <c r="DP7" s="743"/>
      <c r="DQ7" s="743"/>
      <c r="DR7" s="743"/>
      <c r="DS7" s="743"/>
      <c r="DT7" s="743"/>
      <c r="DU7" s="743"/>
      <c r="DV7" s="743"/>
      <c r="DW7" s="743"/>
      <c r="DX7" s="743"/>
      <c r="DY7" s="743"/>
      <c r="DZ7" s="743"/>
      <c r="EA7" s="743"/>
      <c r="EB7" s="743"/>
      <c r="EC7" s="743"/>
      <c r="ED7" s="743"/>
      <c r="EE7" s="743"/>
      <c r="EF7" s="743"/>
      <c r="EG7" s="743"/>
      <c r="EH7" s="743"/>
      <c r="EI7" s="743"/>
      <c r="EJ7" s="743"/>
      <c r="EK7" s="743"/>
      <c r="EL7" s="743"/>
      <c r="EM7" s="743"/>
      <c r="EN7" s="743"/>
      <c r="EO7" s="743"/>
      <c r="EP7" s="743"/>
      <c r="EQ7" s="743"/>
      <c r="ER7" s="743"/>
      <c r="ES7" s="743"/>
      <c r="ET7" s="743"/>
      <c r="EU7" s="743"/>
      <c r="EV7" s="743"/>
      <c r="EW7" s="743"/>
      <c r="EX7" s="743"/>
      <c r="EY7" s="743"/>
      <c r="EZ7" s="743"/>
      <c r="FA7" s="743"/>
      <c r="FB7" s="743"/>
      <c r="FC7" s="743"/>
      <c r="FD7" s="743"/>
      <c r="FE7" s="743"/>
      <c r="FF7" s="743"/>
      <c r="FG7" s="743"/>
      <c r="FH7" s="743"/>
      <c r="FI7" s="743"/>
      <c r="FJ7" s="743"/>
      <c r="FK7" s="743"/>
      <c r="FL7" s="743"/>
      <c r="FM7" s="743"/>
      <c r="FN7" s="743"/>
      <c r="FO7" s="743"/>
      <c r="FP7" s="743"/>
      <c r="FQ7" s="743"/>
      <c r="FR7" s="743"/>
      <c r="FS7" s="743"/>
      <c r="FT7" s="743"/>
      <c r="FU7" s="743"/>
      <c r="FV7" s="743"/>
      <c r="FW7" s="743"/>
      <c r="FX7" s="743"/>
      <c r="FY7" s="743"/>
      <c r="FZ7" s="743"/>
      <c r="GA7" s="743"/>
      <c r="GB7" s="743"/>
      <c r="GC7" s="743"/>
      <c r="GD7" s="743"/>
      <c r="GE7" s="743"/>
      <c r="GF7" s="743"/>
      <c r="GG7" s="743"/>
      <c r="GH7" s="743"/>
      <c r="GI7" s="743"/>
      <c r="GJ7" s="743"/>
      <c r="GK7" s="743"/>
      <c r="GL7" s="743"/>
      <c r="GM7" s="743"/>
      <c r="GN7" s="743"/>
      <c r="GO7" s="743"/>
      <c r="GP7" s="743"/>
      <c r="GQ7" s="743"/>
      <c r="GR7" s="743"/>
      <c r="GS7" s="743"/>
      <c r="GT7" s="743"/>
      <c r="GU7" s="743"/>
      <c r="GV7" s="743"/>
      <c r="GW7" s="743"/>
      <c r="GX7" s="743"/>
      <c r="GY7" s="743"/>
      <c r="GZ7" s="743"/>
      <c r="HA7" s="743"/>
      <c r="HB7" s="743"/>
      <c r="HC7" s="743"/>
      <c r="HD7" s="743"/>
      <c r="HE7" s="743"/>
      <c r="HF7" s="743"/>
      <c r="HG7" s="743"/>
      <c r="HH7" s="743"/>
      <c r="HI7" s="743"/>
      <c r="HJ7" s="743"/>
      <c r="HK7" s="743"/>
      <c r="HL7" s="743"/>
      <c r="HM7" s="743"/>
      <c r="HN7" s="743"/>
      <c r="HO7" s="743"/>
      <c r="HP7" s="743"/>
      <c r="HQ7" s="743"/>
      <c r="HR7" s="743"/>
      <c r="HS7" s="743"/>
      <c r="HT7" s="743"/>
      <c r="HU7" s="743"/>
      <c r="HV7" s="743"/>
      <c r="HW7" s="743"/>
      <c r="HX7" s="743"/>
      <c r="HY7" s="743"/>
      <c r="HZ7" s="743"/>
      <c r="IA7" s="743"/>
      <c r="IB7" s="743"/>
      <c r="IC7" s="743"/>
      <c r="ID7" s="743"/>
      <c r="IE7" s="743"/>
      <c r="IF7" s="743"/>
      <c r="IG7" s="743"/>
      <c r="IH7" s="743"/>
      <c r="II7" s="743"/>
      <c r="IJ7" s="743"/>
      <c r="IK7" s="743"/>
      <c r="IL7" s="743"/>
      <c r="IM7" s="743"/>
      <c r="IN7" s="743"/>
    </row>
    <row r="8" spans="1:248" x14ac:dyDescent="0.3">
      <c r="A8" s="1136" t="str">
        <f>ID!B8</f>
        <v>Tanggal kalibrasi</v>
      </c>
      <c r="B8" s="1136"/>
      <c r="C8" s="1136"/>
      <c r="D8" s="375"/>
      <c r="E8" s="375" t="s">
        <v>7</v>
      </c>
      <c r="F8" s="1236">
        <f>ID!E8</f>
        <v>44564</v>
      </c>
      <c r="G8" s="377"/>
      <c r="H8" s="377"/>
      <c r="I8" s="377"/>
      <c r="J8" s="376"/>
      <c r="K8" s="376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3"/>
      <c r="AD8" s="743"/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3"/>
      <c r="BB8" s="743"/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3"/>
      <c r="BZ8" s="743"/>
      <c r="CA8" s="743"/>
      <c r="CB8" s="743"/>
      <c r="CC8" s="743"/>
      <c r="CD8" s="743"/>
      <c r="CE8" s="743"/>
      <c r="CF8" s="743"/>
      <c r="CG8" s="743"/>
      <c r="CH8" s="743"/>
      <c r="CI8" s="743"/>
      <c r="CJ8" s="743"/>
      <c r="CK8" s="743"/>
      <c r="CL8" s="743"/>
      <c r="CM8" s="743"/>
      <c r="CN8" s="743"/>
      <c r="CO8" s="743"/>
      <c r="CP8" s="743"/>
      <c r="CQ8" s="743"/>
      <c r="CR8" s="743"/>
      <c r="CS8" s="743"/>
      <c r="CT8" s="743"/>
      <c r="CU8" s="743"/>
      <c r="CV8" s="743"/>
      <c r="CW8" s="743"/>
      <c r="CX8" s="743"/>
      <c r="CY8" s="743"/>
      <c r="CZ8" s="743"/>
      <c r="DA8" s="743"/>
      <c r="DB8" s="743"/>
      <c r="DC8" s="743"/>
      <c r="DD8" s="743"/>
      <c r="DE8" s="743"/>
      <c r="DF8" s="743"/>
      <c r="DG8" s="743"/>
      <c r="DH8" s="743"/>
      <c r="DI8" s="743"/>
      <c r="DJ8" s="743"/>
      <c r="DK8" s="743"/>
      <c r="DL8" s="743"/>
      <c r="DM8" s="743"/>
      <c r="DN8" s="743"/>
      <c r="DO8" s="743"/>
      <c r="DP8" s="743"/>
      <c r="DQ8" s="743"/>
      <c r="DR8" s="743"/>
      <c r="DS8" s="743"/>
      <c r="DT8" s="743"/>
      <c r="DU8" s="743"/>
      <c r="DV8" s="743"/>
      <c r="DW8" s="743"/>
      <c r="DX8" s="743"/>
      <c r="DY8" s="743"/>
      <c r="DZ8" s="743"/>
      <c r="EA8" s="743"/>
      <c r="EB8" s="743"/>
      <c r="EC8" s="743"/>
      <c r="ED8" s="743"/>
      <c r="EE8" s="743"/>
      <c r="EF8" s="743"/>
      <c r="EG8" s="743"/>
      <c r="EH8" s="743"/>
      <c r="EI8" s="743"/>
      <c r="EJ8" s="743"/>
      <c r="EK8" s="743"/>
      <c r="EL8" s="743"/>
      <c r="EM8" s="743"/>
      <c r="EN8" s="743"/>
      <c r="EO8" s="743"/>
      <c r="EP8" s="743"/>
      <c r="EQ8" s="743"/>
      <c r="ER8" s="743"/>
      <c r="ES8" s="743"/>
      <c r="ET8" s="743"/>
      <c r="EU8" s="743"/>
      <c r="EV8" s="743"/>
      <c r="EW8" s="743"/>
      <c r="EX8" s="743"/>
      <c r="EY8" s="743"/>
      <c r="EZ8" s="743"/>
      <c r="FA8" s="743"/>
      <c r="FB8" s="743"/>
      <c r="FC8" s="743"/>
      <c r="FD8" s="743"/>
      <c r="FE8" s="743"/>
      <c r="FF8" s="743"/>
      <c r="FG8" s="743"/>
      <c r="FH8" s="743"/>
      <c r="FI8" s="743"/>
      <c r="FJ8" s="743"/>
      <c r="FK8" s="743"/>
      <c r="FL8" s="743"/>
      <c r="FM8" s="743"/>
      <c r="FN8" s="743"/>
      <c r="FO8" s="743"/>
      <c r="FP8" s="743"/>
      <c r="FQ8" s="743"/>
      <c r="FR8" s="743"/>
      <c r="FS8" s="743"/>
      <c r="FT8" s="743"/>
      <c r="FU8" s="743"/>
      <c r="FV8" s="743"/>
      <c r="FW8" s="743"/>
      <c r="FX8" s="743"/>
      <c r="FY8" s="743"/>
      <c r="FZ8" s="743"/>
      <c r="GA8" s="743"/>
      <c r="GB8" s="743"/>
      <c r="GC8" s="743"/>
      <c r="GD8" s="743"/>
      <c r="GE8" s="743"/>
      <c r="GF8" s="743"/>
      <c r="GG8" s="743"/>
      <c r="GH8" s="743"/>
      <c r="GI8" s="743"/>
      <c r="GJ8" s="743"/>
      <c r="GK8" s="743"/>
      <c r="GL8" s="743"/>
      <c r="GM8" s="743"/>
      <c r="GN8" s="743"/>
      <c r="GO8" s="743"/>
      <c r="GP8" s="743"/>
      <c r="GQ8" s="743"/>
      <c r="GR8" s="743"/>
      <c r="GS8" s="743"/>
      <c r="GT8" s="743"/>
      <c r="GU8" s="743"/>
      <c r="GV8" s="743"/>
      <c r="GW8" s="743"/>
      <c r="GX8" s="743"/>
      <c r="GY8" s="743"/>
      <c r="GZ8" s="743"/>
      <c r="HA8" s="743"/>
      <c r="HB8" s="743"/>
      <c r="HC8" s="743"/>
      <c r="HD8" s="743"/>
      <c r="HE8" s="743"/>
      <c r="HF8" s="743"/>
      <c r="HG8" s="743"/>
      <c r="HH8" s="743"/>
      <c r="HI8" s="743"/>
      <c r="HJ8" s="743"/>
      <c r="HK8" s="743"/>
      <c r="HL8" s="743"/>
      <c r="HM8" s="743"/>
      <c r="HN8" s="743"/>
      <c r="HO8" s="743"/>
      <c r="HP8" s="743"/>
      <c r="HQ8" s="743"/>
      <c r="HR8" s="743"/>
      <c r="HS8" s="743"/>
      <c r="HT8" s="743"/>
      <c r="HU8" s="743"/>
      <c r="HV8" s="743"/>
      <c r="HW8" s="743"/>
      <c r="HX8" s="743"/>
      <c r="HY8" s="743"/>
      <c r="HZ8" s="743"/>
      <c r="IA8" s="743"/>
      <c r="IB8" s="743"/>
      <c r="IC8" s="743"/>
      <c r="ID8" s="743"/>
      <c r="IE8" s="743"/>
      <c r="IF8" s="743"/>
      <c r="IG8" s="743"/>
      <c r="IH8" s="743"/>
      <c r="II8" s="743"/>
      <c r="IJ8" s="743"/>
      <c r="IK8" s="743"/>
      <c r="IL8" s="743"/>
      <c r="IM8" s="743"/>
      <c r="IN8" s="743"/>
    </row>
    <row r="9" spans="1:248" x14ac:dyDescent="0.3">
      <c r="A9" s="1455" t="str">
        <f>ID!B9</f>
        <v>Tempat kalibrasi</v>
      </c>
      <c r="B9" s="1455"/>
      <c r="C9" s="1455"/>
      <c r="D9" s="375" t="s">
        <v>7</v>
      </c>
      <c r="E9" s="375" t="s">
        <v>7</v>
      </c>
      <c r="F9" s="1136" t="str">
        <f>ID!E9</f>
        <v>-</v>
      </c>
      <c r="G9" s="377"/>
      <c r="H9" s="377"/>
      <c r="I9" s="377"/>
      <c r="J9" s="376"/>
      <c r="K9" s="376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743"/>
      <c r="AF9" s="743"/>
      <c r="AG9" s="743"/>
      <c r="AH9" s="743"/>
      <c r="AI9" s="743"/>
      <c r="AJ9" s="743"/>
      <c r="AK9" s="743"/>
      <c r="AL9" s="743"/>
      <c r="AM9" s="743"/>
      <c r="AN9" s="743"/>
      <c r="AO9" s="743"/>
      <c r="AP9" s="743"/>
      <c r="AQ9" s="743"/>
      <c r="AR9" s="743"/>
      <c r="AS9" s="743"/>
      <c r="AT9" s="743"/>
      <c r="AU9" s="743"/>
      <c r="AV9" s="743"/>
      <c r="AW9" s="743"/>
      <c r="AX9" s="743"/>
      <c r="AY9" s="743"/>
      <c r="AZ9" s="743"/>
      <c r="BA9" s="743"/>
      <c r="BB9" s="743"/>
      <c r="BC9" s="743"/>
      <c r="BD9" s="743"/>
      <c r="BE9" s="743"/>
      <c r="BF9" s="743"/>
      <c r="BG9" s="743"/>
      <c r="BH9" s="743"/>
      <c r="BI9" s="743"/>
      <c r="BJ9" s="743"/>
      <c r="BK9" s="743"/>
      <c r="BL9" s="743"/>
      <c r="BM9" s="743"/>
      <c r="BN9" s="743"/>
      <c r="BO9" s="743"/>
      <c r="BP9" s="743"/>
      <c r="BQ9" s="743"/>
      <c r="BR9" s="743"/>
      <c r="BS9" s="743"/>
      <c r="BT9" s="743"/>
      <c r="BU9" s="743"/>
      <c r="BV9" s="743"/>
      <c r="BW9" s="743"/>
      <c r="BX9" s="743"/>
      <c r="BY9" s="743"/>
      <c r="BZ9" s="743"/>
      <c r="CA9" s="743"/>
      <c r="CB9" s="743"/>
      <c r="CC9" s="743"/>
      <c r="CD9" s="743"/>
      <c r="CE9" s="743"/>
      <c r="CF9" s="743"/>
      <c r="CG9" s="743"/>
      <c r="CH9" s="743"/>
      <c r="CI9" s="743"/>
      <c r="CJ9" s="743"/>
      <c r="CK9" s="743"/>
      <c r="CL9" s="743"/>
      <c r="CM9" s="743"/>
      <c r="CN9" s="743"/>
      <c r="CO9" s="743"/>
      <c r="CP9" s="743"/>
      <c r="CQ9" s="743"/>
      <c r="CR9" s="743"/>
      <c r="CS9" s="743"/>
      <c r="CT9" s="743"/>
      <c r="CU9" s="743"/>
      <c r="CV9" s="743"/>
      <c r="CW9" s="743"/>
      <c r="CX9" s="743"/>
      <c r="CY9" s="743"/>
      <c r="CZ9" s="743"/>
      <c r="DA9" s="743"/>
      <c r="DB9" s="743"/>
      <c r="DC9" s="743"/>
      <c r="DD9" s="743"/>
      <c r="DE9" s="743"/>
      <c r="DF9" s="743"/>
      <c r="DG9" s="743"/>
      <c r="DH9" s="743"/>
      <c r="DI9" s="743"/>
      <c r="DJ9" s="743"/>
      <c r="DK9" s="743"/>
      <c r="DL9" s="743"/>
      <c r="DM9" s="743"/>
      <c r="DN9" s="743"/>
      <c r="DO9" s="743"/>
      <c r="DP9" s="743"/>
      <c r="DQ9" s="743"/>
      <c r="DR9" s="743"/>
      <c r="DS9" s="743"/>
      <c r="DT9" s="743"/>
      <c r="DU9" s="743"/>
      <c r="DV9" s="743"/>
      <c r="DW9" s="743"/>
      <c r="DX9" s="743"/>
      <c r="DY9" s="743"/>
      <c r="DZ9" s="743"/>
      <c r="EA9" s="743"/>
      <c r="EB9" s="743"/>
      <c r="EC9" s="743"/>
      <c r="ED9" s="743"/>
      <c r="EE9" s="743"/>
      <c r="EF9" s="743"/>
      <c r="EG9" s="743"/>
      <c r="EH9" s="743"/>
      <c r="EI9" s="743"/>
      <c r="EJ9" s="743"/>
      <c r="EK9" s="743"/>
      <c r="EL9" s="743"/>
      <c r="EM9" s="743"/>
      <c r="EN9" s="743"/>
      <c r="EO9" s="743"/>
      <c r="EP9" s="743"/>
      <c r="EQ9" s="743"/>
      <c r="ER9" s="743"/>
      <c r="ES9" s="743"/>
      <c r="ET9" s="743"/>
      <c r="EU9" s="743"/>
      <c r="EV9" s="743"/>
      <c r="EW9" s="743"/>
      <c r="EX9" s="743"/>
      <c r="EY9" s="743"/>
      <c r="EZ9" s="743"/>
      <c r="FA9" s="743"/>
      <c r="FB9" s="743"/>
      <c r="FC9" s="743"/>
      <c r="FD9" s="743"/>
      <c r="FE9" s="743"/>
      <c r="FF9" s="743"/>
      <c r="FG9" s="743"/>
      <c r="FH9" s="743"/>
      <c r="FI9" s="743"/>
      <c r="FJ9" s="743"/>
      <c r="FK9" s="743"/>
      <c r="FL9" s="743"/>
      <c r="FM9" s="743"/>
      <c r="FN9" s="743"/>
      <c r="FO9" s="743"/>
      <c r="FP9" s="743"/>
      <c r="FQ9" s="743"/>
      <c r="FR9" s="743"/>
      <c r="FS9" s="743"/>
      <c r="FT9" s="743"/>
      <c r="FU9" s="743"/>
      <c r="FV9" s="743"/>
      <c r="FW9" s="743"/>
      <c r="FX9" s="743"/>
      <c r="FY9" s="743"/>
      <c r="FZ9" s="743"/>
      <c r="GA9" s="743"/>
      <c r="GB9" s="743"/>
      <c r="GC9" s="743"/>
      <c r="GD9" s="743"/>
      <c r="GE9" s="743"/>
      <c r="GF9" s="743"/>
      <c r="GG9" s="743"/>
      <c r="GH9" s="743"/>
      <c r="GI9" s="743"/>
      <c r="GJ9" s="743"/>
      <c r="GK9" s="743"/>
      <c r="GL9" s="743"/>
      <c r="GM9" s="743"/>
      <c r="GN9" s="743"/>
      <c r="GO9" s="743"/>
      <c r="GP9" s="743"/>
      <c r="GQ9" s="743"/>
      <c r="GR9" s="743"/>
      <c r="GS9" s="743"/>
      <c r="GT9" s="743"/>
      <c r="GU9" s="743"/>
      <c r="GV9" s="743"/>
      <c r="GW9" s="743"/>
      <c r="GX9" s="743"/>
      <c r="GY9" s="743"/>
      <c r="GZ9" s="743"/>
      <c r="HA9" s="743"/>
      <c r="HB9" s="743"/>
      <c r="HC9" s="743"/>
      <c r="HD9" s="743"/>
      <c r="HE9" s="743"/>
      <c r="HF9" s="743"/>
      <c r="HG9" s="743"/>
      <c r="HH9" s="743"/>
      <c r="HI9" s="743"/>
      <c r="HJ9" s="743"/>
      <c r="HK9" s="743"/>
      <c r="HL9" s="743"/>
      <c r="HM9" s="743"/>
      <c r="HN9" s="743"/>
      <c r="HO9" s="743"/>
      <c r="HP9" s="743"/>
      <c r="HQ9" s="743"/>
      <c r="HR9" s="743"/>
      <c r="HS9" s="743"/>
      <c r="HT9" s="743"/>
      <c r="HU9" s="743"/>
      <c r="HV9" s="743"/>
      <c r="HW9" s="743"/>
      <c r="HX9" s="743"/>
      <c r="HY9" s="743"/>
      <c r="HZ9" s="743"/>
      <c r="IA9" s="743"/>
      <c r="IB9" s="743"/>
      <c r="IC9" s="743"/>
      <c r="ID9" s="743"/>
      <c r="IE9" s="743"/>
      <c r="IF9" s="743"/>
      <c r="IG9" s="743"/>
      <c r="IH9" s="743"/>
      <c r="II9" s="743"/>
      <c r="IJ9" s="743"/>
      <c r="IK9" s="743"/>
      <c r="IL9" s="743"/>
      <c r="IM9" s="743"/>
      <c r="IN9" s="743"/>
    </row>
    <row r="10" spans="1:248" x14ac:dyDescent="0.3">
      <c r="A10" s="1136" t="str">
        <f>ID!B10</f>
        <v>Nama ruang</v>
      </c>
      <c r="B10" s="1136"/>
      <c r="C10" s="1136"/>
      <c r="D10" s="375"/>
      <c r="E10" s="375" t="s">
        <v>7</v>
      </c>
      <c r="F10" s="1136" t="str">
        <f>ID!E10</f>
        <v>-</v>
      </c>
      <c r="G10" s="377"/>
      <c r="H10" s="377"/>
      <c r="I10" s="377"/>
      <c r="J10" s="376"/>
      <c r="K10" s="376"/>
      <c r="L10" s="743"/>
      <c r="M10" s="743"/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3"/>
      <c r="AD10" s="743"/>
      <c r="AE10" s="743"/>
      <c r="AF10" s="743"/>
      <c r="AG10" s="743"/>
      <c r="AH10" s="743"/>
      <c r="AI10" s="743"/>
      <c r="AJ10" s="743"/>
      <c r="AK10" s="743"/>
      <c r="AL10" s="743"/>
      <c r="AM10" s="743"/>
      <c r="AN10" s="743"/>
      <c r="AO10" s="743"/>
      <c r="AP10" s="743"/>
      <c r="AQ10" s="743"/>
      <c r="AR10" s="743"/>
      <c r="AS10" s="743"/>
      <c r="AT10" s="743"/>
      <c r="AU10" s="743"/>
      <c r="AV10" s="743"/>
      <c r="AW10" s="743"/>
      <c r="AX10" s="743"/>
      <c r="AY10" s="743"/>
      <c r="AZ10" s="743"/>
      <c r="BA10" s="743"/>
      <c r="BB10" s="743"/>
      <c r="BC10" s="743"/>
      <c r="BD10" s="743"/>
      <c r="BE10" s="743"/>
      <c r="BF10" s="743"/>
      <c r="BG10" s="743"/>
      <c r="BH10" s="743"/>
      <c r="BI10" s="743"/>
      <c r="BJ10" s="743"/>
      <c r="BK10" s="743"/>
      <c r="BL10" s="743"/>
      <c r="BM10" s="743"/>
      <c r="BN10" s="743"/>
      <c r="BO10" s="743"/>
      <c r="BP10" s="743"/>
      <c r="BQ10" s="743"/>
      <c r="BR10" s="743"/>
      <c r="BS10" s="743"/>
      <c r="BT10" s="743"/>
      <c r="BU10" s="743"/>
      <c r="BV10" s="743"/>
      <c r="BW10" s="743"/>
      <c r="BX10" s="743"/>
      <c r="BY10" s="743"/>
      <c r="BZ10" s="743"/>
      <c r="CA10" s="743"/>
      <c r="CB10" s="743"/>
      <c r="CC10" s="743"/>
      <c r="CD10" s="743"/>
      <c r="CE10" s="743"/>
      <c r="CF10" s="743"/>
      <c r="CG10" s="743"/>
      <c r="CH10" s="743"/>
      <c r="CI10" s="743"/>
      <c r="CJ10" s="743"/>
      <c r="CK10" s="743"/>
      <c r="CL10" s="743"/>
      <c r="CM10" s="743"/>
      <c r="CN10" s="743"/>
      <c r="CO10" s="743"/>
      <c r="CP10" s="743"/>
      <c r="CQ10" s="743"/>
      <c r="CR10" s="743"/>
      <c r="CS10" s="743"/>
      <c r="CT10" s="743"/>
      <c r="CU10" s="743"/>
      <c r="CV10" s="743"/>
      <c r="CW10" s="743"/>
      <c r="CX10" s="743"/>
      <c r="CY10" s="743"/>
      <c r="CZ10" s="743"/>
      <c r="DA10" s="743"/>
      <c r="DB10" s="743"/>
      <c r="DC10" s="743"/>
      <c r="DD10" s="743"/>
      <c r="DE10" s="743"/>
      <c r="DF10" s="743"/>
      <c r="DG10" s="743"/>
      <c r="DH10" s="743"/>
      <c r="DI10" s="743"/>
      <c r="DJ10" s="743"/>
      <c r="DK10" s="743"/>
      <c r="DL10" s="743"/>
      <c r="DM10" s="743"/>
      <c r="DN10" s="743"/>
      <c r="DO10" s="743"/>
      <c r="DP10" s="743"/>
      <c r="DQ10" s="743"/>
      <c r="DR10" s="743"/>
      <c r="DS10" s="743"/>
      <c r="DT10" s="743"/>
      <c r="DU10" s="743"/>
      <c r="DV10" s="743"/>
      <c r="DW10" s="743"/>
      <c r="DX10" s="743"/>
      <c r="DY10" s="743"/>
      <c r="DZ10" s="743"/>
      <c r="EA10" s="743"/>
      <c r="EB10" s="743"/>
      <c r="EC10" s="743"/>
      <c r="ED10" s="743"/>
      <c r="EE10" s="743"/>
      <c r="EF10" s="743"/>
      <c r="EG10" s="743"/>
      <c r="EH10" s="743"/>
      <c r="EI10" s="743"/>
      <c r="EJ10" s="743"/>
      <c r="EK10" s="743"/>
      <c r="EL10" s="743"/>
      <c r="EM10" s="743"/>
      <c r="EN10" s="743"/>
      <c r="EO10" s="743"/>
      <c r="EP10" s="743"/>
      <c r="EQ10" s="743"/>
      <c r="ER10" s="743"/>
      <c r="ES10" s="743"/>
      <c r="ET10" s="743"/>
      <c r="EU10" s="743"/>
      <c r="EV10" s="743"/>
      <c r="EW10" s="743"/>
      <c r="EX10" s="743"/>
      <c r="EY10" s="743"/>
      <c r="EZ10" s="743"/>
      <c r="FA10" s="743"/>
      <c r="FB10" s="743"/>
      <c r="FC10" s="743"/>
      <c r="FD10" s="743"/>
      <c r="FE10" s="743"/>
      <c r="FF10" s="743"/>
      <c r="FG10" s="743"/>
      <c r="FH10" s="743"/>
      <c r="FI10" s="743"/>
      <c r="FJ10" s="743"/>
      <c r="FK10" s="743"/>
      <c r="FL10" s="743"/>
      <c r="FM10" s="743"/>
      <c r="FN10" s="743"/>
      <c r="FO10" s="743"/>
      <c r="FP10" s="743"/>
      <c r="FQ10" s="743"/>
      <c r="FR10" s="743"/>
      <c r="FS10" s="743"/>
      <c r="FT10" s="743"/>
      <c r="FU10" s="743"/>
      <c r="FV10" s="743"/>
      <c r="FW10" s="743"/>
      <c r="FX10" s="743"/>
      <c r="FY10" s="743"/>
      <c r="FZ10" s="743"/>
      <c r="GA10" s="743"/>
      <c r="GB10" s="743"/>
      <c r="GC10" s="743"/>
      <c r="GD10" s="743"/>
      <c r="GE10" s="743"/>
      <c r="GF10" s="743"/>
      <c r="GG10" s="743"/>
      <c r="GH10" s="743"/>
      <c r="GI10" s="743"/>
      <c r="GJ10" s="743"/>
      <c r="GK10" s="743"/>
      <c r="GL10" s="743"/>
      <c r="GM10" s="743"/>
      <c r="GN10" s="743"/>
      <c r="GO10" s="743"/>
      <c r="GP10" s="743"/>
      <c r="GQ10" s="743"/>
      <c r="GR10" s="743"/>
      <c r="GS10" s="743"/>
      <c r="GT10" s="743"/>
      <c r="GU10" s="743"/>
      <c r="GV10" s="743"/>
      <c r="GW10" s="743"/>
      <c r="GX10" s="743"/>
      <c r="GY10" s="743"/>
      <c r="GZ10" s="743"/>
      <c r="HA10" s="743"/>
      <c r="HB10" s="743"/>
      <c r="HC10" s="743"/>
      <c r="HD10" s="743"/>
      <c r="HE10" s="743"/>
      <c r="HF10" s="743"/>
      <c r="HG10" s="743"/>
      <c r="HH10" s="743"/>
      <c r="HI10" s="743"/>
      <c r="HJ10" s="743"/>
      <c r="HK10" s="743"/>
      <c r="HL10" s="743"/>
      <c r="HM10" s="743"/>
      <c r="HN10" s="743"/>
      <c r="HO10" s="743"/>
      <c r="HP10" s="743"/>
      <c r="HQ10" s="743"/>
      <c r="HR10" s="743"/>
      <c r="HS10" s="743"/>
      <c r="HT10" s="743"/>
      <c r="HU10" s="743"/>
      <c r="HV10" s="743"/>
      <c r="HW10" s="743"/>
      <c r="HX10" s="743"/>
      <c r="HY10" s="743"/>
      <c r="HZ10" s="743"/>
      <c r="IA10" s="743"/>
      <c r="IB10" s="743"/>
      <c r="IC10" s="743"/>
      <c r="ID10" s="743"/>
      <c r="IE10" s="743"/>
      <c r="IF10" s="743"/>
      <c r="IG10" s="743"/>
      <c r="IH10" s="743"/>
      <c r="II10" s="743"/>
      <c r="IJ10" s="743"/>
      <c r="IK10" s="743"/>
      <c r="IL10" s="743"/>
      <c r="IM10" s="743"/>
      <c r="IN10" s="743"/>
    </row>
    <row r="11" spans="1:248" x14ac:dyDescent="0.3">
      <c r="A11" s="1136" t="str">
        <f>ID!B17</f>
        <v>Metode kerja</v>
      </c>
      <c r="B11" s="1136"/>
      <c r="C11" s="1136"/>
      <c r="D11" s="375"/>
      <c r="E11" s="375" t="s">
        <v>7</v>
      </c>
      <c r="F11" s="1136" t="str">
        <f>ID!E17</f>
        <v>MK 014-18</v>
      </c>
      <c r="G11" s="377"/>
      <c r="H11" s="377"/>
      <c r="I11" s="377"/>
      <c r="J11" s="376"/>
      <c r="K11" s="376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  <c r="DD11" s="743"/>
      <c r="DE11" s="743"/>
      <c r="DF11" s="743"/>
      <c r="DG11" s="743"/>
      <c r="DH11" s="743"/>
      <c r="DI11" s="743"/>
      <c r="DJ11" s="743"/>
      <c r="DK11" s="743"/>
      <c r="DL11" s="743"/>
      <c r="DM11" s="743"/>
      <c r="DN11" s="743"/>
      <c r="DO11" s="743"/>
      <c r="DP11" s="743"/>
      <c r="DQ11" s="743"/>
      <c r="DR11" s="743"/>
      <c r="DS11" s="743"/>
      <c r="DT11" s="743"/>
      <c r="DU11" s="743"/>
      <c r="DV11" s="743"/>
      <c r="DW11" s="743"/>
      <c r="DX11" s="743"/>
      <c r="DY11" s="743"/>
      <c r="DZ11" s="743"/>
      <c r="EA11" s="743"/>
      <c r="EB11" s="743"/>
      <c r="EC11" s="743"/>
      <c r="ED11" s="743"/>
      <c r="EE11" s="743"/>
      <c r="EF11" s="743"/>
      <c r="EG11" s="743"/>
      <c r="EH11" s="743"/>
      <c r="EI11" s="743"/>
      <c r="EJ11" s="743"/>
      <c r="EK11" s="743"/>
      <c r="EL11" s="743"/>
      <c r="EM11" s="743"/>
      <c r="EN11" s="743"/>
      <c r="EO11" s="743"/>
      <c r="EP11" s="743"/>
      <c r="EQ11" s="743"/>
      <c r="ER11" s="743"/>
      <c r="ES11" s="743"/>
      <c r="ET11" s="743"/>
      <c r="EU11" s="743"/>
      <c r="EV11" s="743"/>
      <c r="EW11" s="743"/>
      <c r="EX11" s="743"/>
      <c r="EY11" s="743"/>
      <c r="EZ11" s="743"/>
      <c r="FA11" s="743"/>
      <c r="FB11" s="743"/>
      <c r="FC11" s="743"/>
      <c r="FD11" s="743"/>
      <c r="FE11" s="743"/>
      <c r="FF11" s="743"/>
      <c r="FG11" s="743"/>
      <c r="FH11" s="743"/>
      <c r="FI11" s="743"/>
      <c r="FJ11" s="743"/>
      <c r="FK11" s="743"/>
      <c r="FL11" s="743"/>
      <c r="FM11" s="743"/>
      <c r="FN11" s="743"/>
      <c r="FO11" s="743"/>
      <c r="FP11" s="743"/>
      <c r="FQ11" s="743"/>
      <c r="FR11" s="743"/>
      <c r="FS11" s="743"/>
      <c r="FT11" s="743"/>
      <c r="FU11" s="743"/>
      <c r="FV11" s="743"/>
      <c r="FW11" s="743"/>
      <c r="FX11" s="743"/>
      <c r="FY11" s="743"/>
      <c r="FZ11" s="743"/>
      <c r="GA11" s="743"/>
      <c r="GB11" s="743"/>
      <c r="GC11" s="743"/>
      <c r="GD11" s="743"/>
      <c r="GE11" s="743"/>
      <c r="GF11" s="743"/>
      <c r="GG11" s="743"/>
      <c r="GH11" s="743"/>
      <c r="GI11" s="743"/>
      <c r="GJ11" s="743"/>
      <c r="GK11" s="743"/>
      <c r="GL11" s="743"/>
      <c r="GM11" s="743"/>
      <c r="GN11" s="743"/>
      <c r="GO11" s="743"/>
      <c r="GP11" s="743"/>
      <c r="GQ11" s="743"/>
      <c r="GR11" s="743"/>
      <c r="GS11" s="743"/>
      <c r="GT11" s="743"/>
      <c r="GU11" s="743"/>
      <c r="GV11" s="743"/>
      <c r="GW11" s="743"/>
      <c r="GX11" s="743"/>
      <c r="GY11" s="743"/>
      <c r="GZ11" s="743"/>
      <c r="HA11" s="743"/>
      <c r="HB11" s="743"/>
      <c r="HC11" s="743"/>
      <c r="HD11" s="743"/>
      <c r="HE11" s="743"/>
      <c r="HF11" s="743"/>
      <c r="HG11" s="743"/>
      <c r="HH11" s="743"/>
      <c r="HI11" s="743"/>
      <c r="HJ11" s="743"/>
      <c r="HK11" s="743"/>
      <c r="HL11" s="743"/>
      <c r="HM11" s="743"/>
      <c r="HN11" s="743"/>
      <c r="HO11" s="743"/>
      <c r="HP11" s="743"/>
      <c r="HQ11" s="743"/>
      <c r="HR11" s="743"/>
      <c r="HS11" s="743"/>
      <c r="HT11" s="743"/>
      <c r="HU11" s="743"/>
      <c r="HV11" s="743"/>
      <c r="HW11" s="743"/>
      <c r="HX11" s="743"/>
      <c r="HY11" s="743"/>
      <c r="HZ11" s="743"/>
      <c r="IA11" s="743"/>
      <c r="IB11" s="743"/>
      <c r="IC11" s="743"/>
      <c r="ID11" s="743"/>
      <c r="IE11" s="743"/>
      <c r="IF11" s="743"/>
      <c r="IG11" s="743"/>
      <c r="IH11" s="743"/>
      <c r="II11" s="743"/>
      <c r="IJ11" s="743"/>
      <c r="IK11" s="743"/>
      <c r="IL11" s="743"/>
      <c r="IM11" s="743"/>
      <c r="IN11" s="743"/>
    </row>
    <row r="12" spans="1:248" ht="5.25" customHeight="1" x14ac:dyDescent="0.3">
      <c r="A12" s="745"/>
      <c r="B12" s="745"/>
      <c r="C12" s="745"/>
      <c r="D12" s="393"/>
      <c r="E12" s="393"/>
      <c r="F12" s="746"/>
      <c r="G12" s="747"/>
      <c r="H12" s="747"/>
      <c r="I12" s="747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  <c r="U12" s="743"/>
      <c r="V12" s="743"/>
      <c r="W12" s="743"/>
      <c r="X12" s="743"/>
      <c r="Y12" s="743"/>
      <c r="Z12" s="743"/>
      <c r="AA12" s="743"/>
      <c r="AB12" s="743"/>
      <c r="AC12" s="743"/>
      <c r="AD12" s="743"/>
      <c r="AE12" s="743"/>
      <c r="AF12" s="743"/>
      <c r="AG12" s="743"/>
      <c r="AH12" s="743"/>
      <c r="AI12" s="743"/>
      <c r="AJ12" s="743"/>
      <c r="AK12" s="743"/>
      <c r="AL12" s="743"/>
      <c r="AM12" s="743"/>
      <c r="AN12" s="743"/>
      <c r="AO12" s="743"/>
      <c r="AP12" s="743"/>
      <c r="AQ12" s="743"/>
      <c r="AR12" s="743"/>
      <c r="AS12" s="743"/>
      <c r="AT12" s="743"/>
      <c r="AU12" s="743"/>
      <c r="AV12" s="743"/>
      <c r="AW12" s="743"/>
      <c r="AX12" s="743"/>
      <c r="AY12" s="743"/>
      <c r="AZ12" s="743"/>
      <c r="BA12" s="743"/>
      <c r="BB12" s="743"/>
      <c r="BC12" s="743"/>
      <c r="BD12" s="743"/>
      <c r="BE12" s="743"/>
      <c r="BF12" s="743"/>
      <c r="BG12" s="743"/>
      <c r="BH12" s="743"/>
      <c r="BI12" s="743"/>
      <c r="BJ12" s="743"/>
      <c r="BK12" s="743"/>
      <c r="BL12" s="743"/>
      <c r="BM12" s="743"/>
      <c r="BN12" s="743"/>
      <c r="BO12" s="743"/>
      <c r="BP12" s="743"/>
      <c r="BQ12" s="743"/>
      <c r="BR12" s="743"/>
      <c r="BS12" s="743"/>
      <c r="BT12" s="743"/>
      <c r="BU12" s="743"/>
      <c r="BV12" s="743"/>
      <c r="BW12" s="743"/>
      <c r="BX12" s="743"/>
      <c r="BY12" s="743"/>
      <c r="BZ12" s="743"/>
      <c r="CA12" s="743"/>
      <c r="CB12" s="743"/>
      <c r="CC12" s="743"/>
      <c r="CD12" s="743"/>
      <c r="CE12" s="743"/>
      <c r="CF12" s="743"/>
      <c r="CG12" s="743"/>
      <c r="CH12" s="743"/>
      <c r="CI12" s="743"/>
      <c r="CJ12" s="743"/>
      <c r="CK12" s="743"/>
      <c r="CL12" s="743"/>
      <c r="CM12" s="743"/>
      <c r="CN12" s="743"/>
      <c r="CO12" s="743"/>
      <c r="CP12" s="743"/>
      <c r="CQ12" s="743"/>
      <c r="CR12" s="743"/>
      <c r="CS12" s="743"/>
      <c r="CT12" s="743"/>
      <c r="CU12" s="743"/>
      <c r="CV12" s="743"/>
      <c r="CW12" s="743"/>
      <c r="CX12" s="743"/>
      <c r="CY12" s="743"/>
      <c r="CZ12" s="743"/>
      <c r="DA12" s="743"/>
      <c r="DB12" s="743"/>
      <c r="DC12" s="743"/>
      <c r="DD12" s="743"/>
      <c r="DE12" s="743"/>
      <c r="DF12" s="743"/>
      <c r="DG12" s="743"/>
      <c r="DH12" s="743"/>
      <c r="DI12" s="743"/>
      <c r="DJ12" s="743"/>
      <c r="DK12" s="743"/>
      <c r="DL12" s="743"/>
      <c r="DM12" s="743"/>
      <c r="DN12" s="743"/>
      <c r="DO12" s="743"/>
      <c r="DP12" s="743"/>
      <c r="DQ12" s="743"/>
      <c r="DR12" s="743"/>
      <c r="DS12" s="743"/>
      <c r="DT12" s="743"/>
      <c r="DU12" s="743"/>
      <c r="DV12" s="743"/>
      <c r="DW12" s="743"/>
      <c r="DX12" s="743"/>
      <c r="DY12" s="743"/>
      <c r="DZ12" s="743"/>
      <c r="EA12" s="743"/>
      <c r="EB12" s="743"/>
      <c r="EC12" s="743"/>
      <c r="ED12" s="743"/>
      <c r="EE12" s="743"/>
      <c r="EF12" s="743"/>
      <c r="EG12" s="743"/>
      <c r="EH12" s="743"/>
      <c r="EI12" s="743"/>
      <c r="EJ12" s="743"/>
      <c r="EK12" s="743"/>
      <c r="EL12" s="743"/>
      <c r="EM12" s="743"/>
      <c r="EN12" s="743"/>
      <c r="EO12" s="743"/>
      <c r="EP12" s="743"/>
      <c r="EQ12" s="743"/>
      <c r="ER12" s="743"/>
      <c r="ES12" s="743"/>
      <c r="ET12" s="743"/>
      <c r="EU12" s="743"/>
      <c r="EV12" s="743"/>
      <c r="EW12" s="743"/>
      <c r="EX12" s="743"/>
      <c r="EY12" s="743"/>
      <c r="EZ12" s="743"/>
      <c r="FA12" s="743"/>
      <c r="FB12" s="743"/>
      <c r="FC12" s="743"/>
      <c r="FD12" s="743"/>
      <c r="FE12" s="743"/>
      <c r="FF12" s="743"/>
      <c r="FG12" s="743"/>
      <c r="FH12" s="743"/>
      <c r="FI12" s="743"/>
      <c r="FJ12" s="743"/>
      <c r="FK12" s="743"/>
      <c r="FL12" s="743"/>
      <c r="FM12" s="743"/>
      <c r="FN12" s="743"/>
      <c r="FO12" s="743"/>
      <c r="FP12" s="743"/>
      <c r="FQ12" s="743"/>
      <c r="FR12" s="743"/>
      <c r="FS12" s="743"/>
      <c r="FT12" s="743"/>
      <c r="FU12" s="743"/>
      <c r="FV12" s="743"/>
      <c r="FW12" s="743"/>
      <c r="FX12" s="743"/>
      <c r="FY12" s="743"/>
      <c r="FZ12" s="743"/>
      <c r="GA12" s="743"/>
      <c r="GB12" s="743"/>
      <c r="GC12" s="743"/>
      <c r="GD12" s="743"/>
      <c r="GE12" s="743"/>
      <c r="GF12" s="743"/>
      <c r="GG12" s="743"/>
      <c r="GH12" s="743"/>
      <c r="GI12" s="743"/>
      <c r="GJ12" s="743"/>
      <c r="GK12" s="743"/>
      <c r="GL12" s="743"/>
      <c r="GM12" s="743"/>
      <c r="GN12" s="743"/>
      <c r="GO12" s="743"/>
      <c r="GP12" s="743"/>
      <c r="GQ12" s="743"/>
      <c r="GR12" s="743"/>
      <c r="GS12" s="743"/>
      <c r="GT12" s="743"/>
      <c r="GU12" s="743"/>
      <c r="GV12" s="743"/>
      <c r="GW12" s="743"/>
      <c r="GX12" s="743"/>
      <c r="GY12" s="743"/>
      <c r="GZ12" s="743"/>
      <c r="HA12" s="743"/>
      <c r="HB12" s="743"/>
      <c r="HC12" s="743"/>
      <c r="HD12" s="743"/>
      <c r="HE12" s="743"/>
      <c r="HF12" s="743"/>
      <c r="HG12" s="743"/>
      <c r="HH12" s="743"/>
      <c r="HI12" s="743"/>
      <c r="HJ12" s="743"/>
      <c r="HK12" s="743"/>
      <c r="HL12" s="743"/>
      <c r="HM12" s="743"/>
      <c r="HN12" s="743"/>
      <c r="HO12" s="743"/>
      <c r="HP12" s="743"/>
      <c r="HQ12" s="743"/>
      <c r="HR12" s="743"/>
      <c r="HS12" s="743"/>
      <c r="HT12" s="743"/>
      <c r="HU12" s="743"/>
      <c r="HV12" s="743"/>
      <c r="HW12" s="743"/>
      <c r="HX12" s="743"/>
      <c r="HY12" s="743"/>
      <c r="HZ12" s="743"/>
      <c r="IA12" s="743"/>
      <c r="IB12" s="743"/>
      <c r="IC12" s="743"/>
      <c r="ID12" s="743"/>
      <c r="IE12" s="743"/>
      <c r="IF12" s="743"/>
      <c r="IG12" s="743"/>
      <c r="IH12" s="743"/>
      <c r="II12" s="743"/>
      <c r="IJ12" s="743"/>
      <c r="IK12" s="743"/>
      <c r="IL12" s="743"/>
      <c r="IM12" s="743"/>
      <c r="IN12" s="743"/>
    </row>
    <row r="13" spans="1:248" x14ac:dyDescent="0.3">
      <c r="A13" s="1135" t="s">
        <v>229</v>
      </c>
      <c r="B13" s="1457" t="s">
        <v>230</v>
      </c>
      <c r="C13" s="1457"/>
      <c r="D13" s="1457"/>
      <c r="E13" s="1457"/>
      <c r="F13" s="1457"/>
      <c r="G13" s="1457"/>
      <c r="H13" s="393"/>
      <c r="I13" s="393"/>
      <c r="J13" s="743"/>
      <c r="K13" s="743"/>
      <c r="L13" s="743"/>
      <c r="M13" s="743"/>
      <c r="N13" s="743"/>
      <c r="O13" s="743"/>
      <c r="P13" s="743"/>
      <c r="Q13" s="743"/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43"/>
      <c r="AS13" s="743"/>
      <c r="AT13" s="743"/>
      <c r="AU13" s="743"/>
      <c r="AV13" s="743"/>
      <c r="AW13" s="743"/>
      <c r="AX13" s="743"/>
      <c r="AY13" s="743"/>
      <c r="AZ13" s="743"/>
      <c r="BA13" s="743"/>
      <c r="BB13" s="743"/>
      <c r="BC13" s="743"/>
      <c r="BD13" s="743"/>
      <c r="BE13" s="743"/>
      <c r="BF13" s="743"/>
      <c r="BG13" s="743"/>
      <c r="BH13" s="743"/>
      <c r="BI13" s="743"/>
      <c r="BJ13" s="743"/>
      <c r="BK13" s="743"/>
      <c r="BL13" s="743"/>
      <c r="BM13" s="743"/>
      <c r="BN13" s="743"/>
      <c r="BO13" s="743"/>
      <c r="BP13" s="743"/>
      <c r="BQ13" s="743"/>
      <c r="BR13" s="743"/>
      <c r="BS13" s="743"/>
      <c r="BT13" s="743"/>
      <c r="BU13" s="743"/>
      <c r="BV13" s="743"/>
      <c r="BW13" s="743"/>
      <c r="BX13" s="743"/>
      <c r="BY13" s="743"/>
      <c r="BZ13" s="743"/>
      <c r="CA13" s="743"/>
      <c r="CB13" s="743"/>
      <c r="CC13" s="743"/>
      <c r="CD13" s="743"/>
      <c r="CE13" s="743"/>
      <c r="CF13" s="743"/>
      <c r="CG13" s="743"/>
      <c r="CH13" s="743"/>
      <c r="CI13" s="743"/>
      <c r="CJ13" s="743"/>
      <c r="CK13" s="743"/>
      <c r="CL13" s="743"/>
      <c r="CM13" s="743"/>
      <c r="CN13" s="743"/>
      <c r="CO13" s="743"/>
      <c r="CP13" s="743"/>
      <c r="CQ13" s="743"/>
      <c r="CR13" s="743"/>
      <c r="CS13" s="743"/>
      <c r="CT13" s="743"/>
      <c r="CU13" s="743"/>
      <c r="CV13" s="743"/>
      <c r="CW13" s="743"/>
      <c r="CX13" s="743"/>
      <c r="CY13" s="743"/>
      <c r="CZ13" s="743"/>
      <c r="DA13" s="743"/>
      <c r="DB13" s="743"/>
      <c r="DC13" s="743"/>
      <c r="DD13" s="743"/>
      <c r="DE13" s="743"/>
      <c r="DF13" s="743"/>
      <c r="DG13" s="743"/>
      <c r="DH13" s="743"/>
      <c r="DI13" s="743"/>
      <c r="DJ13" s="743"/>
      <c r="DK13" s="743"/>
      <c r="DL13" s="743"/>
      <c r="DM13" s="743"/>
      <c r="DN13" s="743"/>
      <c r="DO13" s="743"/>
      <c r="DP13" s="743"/>
      <c r="DQ13" s="743"/>
      <c r="DR13" s="743"/>
      <c r="DS13" s="743"/>
      <c r="DT13" s="743"/>
      <c r="DU13" s="743"/>
      <c r="DV13" s="743"/>
      <c r="DW13" s="743"/>
      <c r="DX13" s="743"/>
      <c r="DY13" s="743"/>
      <c r="DZ13" s="743"/>
      <c r="EA13" s="743"/>
      <c r="EB13" s="743"/>
      <c r="EC13" s="743"/>
      <c r="ED13" s="743"/>
      <c r="EE13" s="743"/>
      <c r="EF13" s="743"/>
      <c r="EG13" s="743"/>
      <c r="EH13" s="743"/>
      <c r="EI13" s="743"/>
      <c r="EJ13" s="743"/>
      <c r="EK13" s="743"/>
      <c r="EL13" s="743"/>
      <c r="EM13" s="743"/>
      <c r="EN13" s="743"/>
      <c r="EO13" s="743"/>
      <c r="EP13" s="743"/>
      <c r="EQ13" s="743"/>
      <c r="ER13" s="743"/>
      <c r="ES13" s="743"/>
      <c r="ET13" s="743"/>
      <c r="EU13" s="743"/>
      <c r="EV13" s="743"/>
      <c r="EW13" s="743"/>
      <c r="EX13" s="743"/>
      <c r="EY13" s="743"/>
      <c r="EZ13" s="743"/>
      <c r="FA13" s="743"/>
      <c r="FB13" s="743"/>
      <c r="FC13" s="743"/>
      <c r="FD13" s="743"/>
      <c r="FE13" s="743"/>
      <c r="FF13" s="743"/>
      <c r="FG13" s="743"/>
      <c r="FH13" s="743"/>
      <c r="FI13" s="743"/>
      <c r="FJ13" s="743"/>
      <c r="FK13" s="743"/>
      <c r="FL13" s="743"/>
      <c r="FM13" s="743"/>
      <c r="FN13" s="743"/>
      <c r="FO13" s="743"/>
      <c r="FP13" s="743"/>
      <c r="FQ13" s="743"/>
      <c r="FR13" s="743"/>
      <c r="FS13" s="743"/>
      <c r="FT13" s="743"/>
      <c r="FU13" s="743"/>
      <c r="FV13" s="743"/>
      <c r="FW13" s="743"/>
      <c r="FX13" s="743"/>
      <c r="FY13" s="743"/>
      <c r="FZ13" s="743"/>
      <c r="GA13" s="743"/>
      <c r="GB13" s="743"/>
      <c r="GC13" s="743"/>
      <c r="GD13" s="743"/>
      <c r="GE13" s="743"/>
      <c r="GF13" s="743"/>
      <c r="GG13" s="743"/>
      <c r="GH13" s="743"/>
      <c r="GI13" s="743"/>
      <c r="GJ13" s="743"/>
      <c r="GK13" s="743"/>
      <c r="GL13" s="743"/>
      <c r="GM13" s="743"/>
      <c r="GN13" s="743"/>
      <c r="GO13" s="743"/>
      <c r="GP13" s="743"/>
      <c r="GQ13" s="743"/>
      <c r="GR13" s="743"/>
      <c r="GS13" s="743"/>
      <c r="GT13" s="743"/>
      <c r="GU13" s="743"/>
      <c r="GV13" s="743"/>
      <c r="GW13" s="743"/>
      <c r="GX13" s="743"/>
      <c r="GY13" s="743"/>
      <c r="GZ13" s="743"/>
      <c r="HA13" s="743"/>
      <c r="HB13" s="743"/>
      <c r="HC13" s="743"/>
      <c r="HD13" s="743"/>
      <c r="HE13" s="743"/>
      <c r="HF13" s="743"/>
      <c r="HG13" s="743"/>
      <c r="HH13" s="743"/>
      <c r="HI13" s="743"/>
      <c r="HJ13" s="743"/>
      <c r="HK13" s="743"/>
      <c r="HL13" s="743"/>
      <c r="HM13" s="743"/>
      <c r="HN13" s="743"/>
      <c r="HO13" s="743"/>
      <c r="HP13" s="743"/>
      <c r="HQ13" s="743"/>
      <c r="HR13" s="743"/>
      <c r="HS13" s="743"/>
      <c r="HT13" s="743"/>
      <c r="HU13" s="743"/>
      <c r="HV13" s="743"/>
      <c r="HW13" s="743"/>
      <c r="HX13" s="743"/>
      <c r="HY13" s="743"/>
      <c r="HZ13" s="743"/>
      <c r="IA13" s="743"/>
      <c r="IB13" s="743"/>
      <c r="IC13" s="743"/>
      <c r="ID13" s="743"/>
      <c r="IE13" s="743"/>
      <c r="IF13" s="743"/>
      <c r="IG13" s="743"/>
      <c r="IH13" s="743"/>
      <c r="II13" s="743"/>
      <c r="IJ13" s="743"/>
      <c r="IK13" s="743"/>
      <c r="IL13" s="743"/>
      <c r="IM13" s="743"/>
      <c r="IN13" s="743"/>
    </row>
    <row r="14" spans="1:248" x14ac:dyDescent="0.3">
      <c r="A14" s="1136"/>
      <c r="B14" s="1455" t="s">
        <v>231</v>
      </c>
      <c r="C14" s="1455"/>
      <c r="D14" s="375" t="s">
        <v>7</v>
      </c>
      <c r="E14" s="375" t="s">
        <v>7</v>
      </c>
      <c r="F14" s="1118">
        <f>PENYELIA!F14</f>
        <v>22.86</v>
      </c>
      <c r="G14" s="1125" t="s">
        <v>810</v>
      </c>
      <c r="H14" s="1117">
        <f>PENYELIA!H14</f>
        <v>0.8</v>
      </c>
      <c r="I14" s="745" t="str">
        <f>PENYELIA!I14</f>
        <v xml:space="preserve"> °C</v>
      </c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  <c r="DD14" s="743"/>
      <c r="DE14" s="743"/>
      <c r="DF14" s="743"/>
      <c r="DG14" s="743"/>
      <c r="DH14" s="743"/>
      <c r="DI14" s="743"/>
      <c r="DJ14" s="743"/>
      <c r="DK14" s="743"/>
      <c r="DL14" s="743"/>
      <c r="DM14" s="743"/>
      <c r="DN14" s="743"/>
      <c r="DO14" s="743"/>
      <c r="DP14" s="743"/>
      <c r="DQ14" s="743"/>
      <c r="DR14" s="743"/>
      <c r="DS14" s="743"/>
      <c r="DT14" s="743"/>
      <c r="DU14" s="743"/>
      <c r="DV14" s="743"/>
      <c r="DW14" s="743"/>
      <c r="DX14" s="743"/>
      <c r="DY14" s="743"/>
      <c r="DZ14" s="743"/>
      <c r="EA14" s="743"/>
      <c r="EB14" s="743"/>
      <c r="EC14" s="743"/>
      <c r="ED14" s="743"/>
      <c r="EE14" s="743"/>
      <c r="EF14" s="743"/>
      <c r="EG14" s="743"/>
      <c r="EH14" s="743"/>
      <c r="EI14" s="743"/>
      <c r="EJ14" s="743"/>
      <c r="EK14" s="743"/>
      <c r="EL14" s="743"/>
      <c r="EM14" s="743"/>
      <c r="EN14" s="743"/>
      <c r="EO14" s="743"/>
      <c r="EP14" s="743"/>
      <c r="EQ14" s="743"/>
      <c r="ER14" s="743"/>
      <c r="ES14" s="743"/>
      <c r="ET14" s="743"/>
      <c r="EU14" s="743"/>
      <c r="EV14" s="743"/>
      <c r="EW14" s="743"/>
      <c r="EX14" s="743"/>
      <c r="EY14" s="743"/>
      <c r="EZ14" s="743"/>
      <c r="FA14" s="743"/>
      <c r="FB14" s="743"/>
      <c r="FC14" s="743"/>
      <c r="FD14" s="743"/>
      <c r="FE14" s="743"/>
      <c r="FF14" s="743"/>
      <c r="FG14" s="743"/>
      <c r="FH14" s="743"/>
      <c r="FI14" s="743"/>
      <c r="FJ14" s="743"/>
      <c r="FK14" s="743"/>
      <c r="FL14" s="743"/>
      <c r="FM14" s="743"/>
      <c r="FN14" s="743"/>
      <c r="FO14" s="743"/>
      <c r="FP14" s="743"/>
      <c r="FQ14" s="743"/>
      <c r="FR14" s="743"/>
      <c r="FS14" s="743"/>
      <c r="FT14" s="743"/>
      <c r="FU14" s="743"/>
      <c r="FV14" s="743"/>
      <c r="FW14" s="743"/>
      <c r="FX14" s="743"/>
      <c r="FY14" s="743"/>
      <c r="FZ14" s="743"/>
      <c r="GA14" s="743"/>
      <c r="GB14" s="743"/>
      <c r="GC14" s="743"/>
      <c r="GD14" s="743"/>
      <c r="GE14" s="743"/>
      <c r="GF14" s="743"/>
      <c r="GG14" s="743"/>
      <c r="GH14" s="743"/>
      <c r="GI14" s="743"/>
      <c r="GJ14" s="743"/>
      <c r="GK14" s="743"/>
      <c r="GL14" s="743"/>
      <c r="GM14" s="743"/>
      <c r="GN14" s="743"/>
      <c r="GO14" s="743"/>
      <c r="GP14" s="743"/>
      <c r="GQ14" s="743"/>
      <c r="GR14" s="743"/>
      <c r="GS14" s="743"/>
      <c r="GT14" s="743"/>
      <c r="GU14" s="743"/>
      <c r="GV14" s="743"/>
      <c r="GW14" s="743"/>
      <c r="GX14" s="743"/>
      <c r="GY14" s="743"/>
      <c r="GZ14" s="743"/>
      <c r="HA14" s="743"/>
      <c r="HB14" s="743"/>
      <c r="HC14" s="743"/>
      <c r="HD14" s="743"/>
      <c r="HE14" s="743"/>
      <c r="HF14" s="743"/>
      <c r="HG14" s="743"/>
      <c r="HH14" s="743"/>
      <c r="HI14" s="743"/>
      <c r="HJ14" s="743"/>
      <c r="HK14" s="743"/>
      <c r="HL14" s="743"/>
      <c r="HM14" s="743"/>
      <c r="HN14" s="743"/>
      <c r="HO14" s="743"/>
      <c r="HP14" s="743"/>
      <c r="HQ14" s="743"/>
      <c r="HR14" s="743"/>
      <c r="HS14" s="743"/>
      <c r="HT14" s="743"/>
      <c r="HU14" s="743"/>
      <c r="HV14" s="743"/>
      <c r="HW14" s="743"/>
      <c r="HX14" s="743"/>
      <c r="HY14" s="743"/>
      <c r="HZ14" s="743"/>
      <c r="IA14" s="743"/>
      <c r="IB14" s="743"/>
      <c r="IC14" s="743"/>
      <c r="ID14" s="743"/>
      <c r="IE14" s="743"/>
      <c r="IF14" s="743"/>
      <c r="IG14" s="743"/>
      <c r="IH14" s="743"/>
      <c r="II14" s="743"/>
      <c r="IJ14" s="743"/>
      <c r="IK14" s="743"/>
      <c r="IL14" s="743"/>
      <c r="IM14" s="743"/>
      <c r="IN14" s="743"/>
    </row>
    <row r="15" spans="1:248" x14ac:dyDescent="0.3">
      <c r="A15" s="1136"/>
      <c r="B15" s="1455" t="s">
        <v>232</v>
      </c>
      <c r="C15" s="1455"/>
      <c r="D15" s="375" t="s">
        <v>7</v>
      </c>
      <c r="E15" s="375" t="s">
        <v>7</v>
      </c>
      <c r="F15" s="1118">
        <f>PENYELIA!F15</f>
        <v>55.265500000000003</v>
      </c>
      <c r="G15" s="1125" t="s">
        <v>810</v>
      </c>
      <c r="H15" s="1117">
        <f>PENYELIA!H15</f>
        <v>2.2000000000000002</v>
      </c>
      <c r="I15" s="745" t="str">
        <f>PENYELIA!I15</f>
        <v xml:space="preserve"> %RH</v>
      </c>
      <c r="J15" s="743"/>
      <c r="K15" s="743"/>
      <c r="L15" s="743"/>
      <c r="M15" s="743"/>
      <c r="N15" s="743"/>
      <c r="O15" s="743"/>
      <c r="P15" s="743"/>
      <c r="Q15" s="743"/>
      <c r="R15" s="743"/>
      <c r="S15" s="743"/>
      <c r="T15" s="743"/>
      <c r="U15" s="743"/>
      <c r="V15" s="743"/>
      <c r="W15" s="743"/>
      <c r="X15" s="743"/>
      <c r="Y15" s="743"/>
      <c r="Z15" s="743"/>
      <c r="AA15" s="743"/>
      <c r="AB15" s="743"/>
      <c r="AC15" s="743"/>
      <c r="AD15" s="743"/>
      <c r="AE15" s="743"/>
      <c r="AF15" s="743"/>
      <c r="AG15" s="743"/>
      <c r="AH15" s="743"/>
      <c r="AI15" s="743"/>
      <c r="AJ15" s="743"/>
      <c r="AK15" s="743"/>
      <c r="AL15" s="743"/>
      <c r="AM15" s="743"/>
      <c r="AN15" s="743"/>
      <c r="AO15" s="743"/>
      <c r="AP15" s="743"/>
      <c r="AQ15" s="743"/>
      <c r="AR15" s="743"/>
      <c r="AS15" s="743"/>
      <c r="AT15" s="743"/>
      <c r="AU15" s="743"/>
      <c r="AV15" s="743"/>
      <c r="AW15" s="743"/>
      <c r="AX15" s="743"/>
      <c r="AY15" s="743"/>
      <c r="AZ15" s="743"/>
      <c r="BA15" s="743"/>
      <c r="BB15" s="743"/>
      <c r="BC15" s="743"/>
      <c r="BD15" s="743"/>
      <c r="BE15" s="743"/>
      <c r="BF15" s="743"/>
      <c r="BG15" s="743"/>
      <c r="BH15" s="743"/>
      <c r="BI15" s="743"/>
      <c r="BJ15" s="743"/>
      <c r="BK15" s="743"/>
      <c r="BL15" s="743"/>
      <c r="BM15" s="743"/>
      <c r="BN15" s="743"/>
      <c r="BO15" s="743"/>
      <c r="BP15" s="743"/>
      <c r="BQ15" s="743"/>
      <c r="BR15" s="743"/>
      <c r="BS15" s="743"/>
      <c r="BT15" s="743"/>
      <c r="BU15" s="743"/>
      <c r="BV15" s="743"/>
      <c r="BW15" s="743"/>
      <c r="BX15" s="743"/>
      <c r="BY15" s="743"/>
      <c r="BZ15" s="743"/>
      <c r="CA15" s="743"/>
      <c r="CB15" s="743"/>
      <c r="CC15" s="743"/>
      <c r="CD15" s="743"/>
      <c r="CE15" s="743"/>
      <c r="CF15" s="743"/>
      <c r="CG15" s="743"/>
      <c r="CH15" s="743"/>
      <c r="CI15" s="743"/>
      <c r="CJ15" s="743"/>
      <c r="CK15" s="743"/>
      <c r="CL15" s="743"/>
      <c r="CM15" s="743"/>
      <c r="CN15" s="743"/>
      <c r="CO15" s="743"/>
      <c r="CP15" s="743"/>
      <c r="CQ15" s="743"/>
      <c r="CR15" s="743"/>
      <c r="CS15" s="743"/>
      <c r="CT15" s="743"/>
      <c r="CU15" s="743"/>
      <c r="CV15" s="743"/>
      <c r="CW15" s="743"/>
      <c r="CX15" s="743"/>
      <c r="CY15" s="743"/>
      <c r="CZ15" s="743"/>
      <c r="DA15" s="743"/>
      <c r="DB15" s="743"/>
      <c r="DC15" s="743"/>
      <c r="DD15" s="743"/>
      <c r="DE15" s="743"/>
      <c r="DF15" s="743"/>
      <c r="DG15" s="743"/>
      <c r="DH15" s="743"/>
      <c r="DI15" s="743"/>
      <c r="DJ15" s="743"/>
      <c r="DK15" s="743"/>
      <c r="DL15" s="743"/>
      <c r="DM15" s="743"/>
      <c r="DN15" s="743"/>
      <c r="DO15" s="743"/>
      <c r="DP15" s="743"/>
      <c r="DQ15" s="743"/>
      <c r="DR15" s="743"/>
      <c r="DS15" s="743"/>
      <c r="DT15" s="743"/>
      <c r="DU15" s="743"/>
      <c r="DV15" s="743"/>
      <c r="DW15" s="743"/>
      <c r="DX15" s="743"/>
      <c r="DY15" s="743"/>
      <c r="DZ15" s="743"/>
      <c r="EA15" s="743"/>
      <c r="EB15" s="743"/>
      <c r="EC15" s="743"/>
      <c r="ED15" s="743"/>
      <c r="EE15" s="743"/>
      <c r="EF15" s="743"/>
      <c r="EG15" s="743"/>
      <c r="EH15" s="743"/>
      <c r="EI15" s="743"/>
      <c r="EJ15" s="743"/>
      <c r="EK15" s="743"/>
      <c r="EL15" s="743"/>
      <c r="EM15" s="743"/>
      <c r="EN15" s="743"/>
      <c r="EO15" s="743"/>
      <c r="EP15" s="743"/>
      <c r="EQ15" s="743"/>
      <c r="ER15" s="743"/>
      <c r="ES15" s="743"/>
      <c r="ET15" s="743"/>
      <c r="EU15" s="743"/>
      <c r="EV15" s="743"/>
      <c r="EW15" s="743"/>
      <c r="EX15" s="743"/>
      <c r="EY15" s="743"/>
      <c r="EZ15" s="743"/>
      <c r="FA15" s="743"/>
      <c r="FB15" s="743"/>
      <c r="FC15" s="743"/>
      <c r="FD15" s="743"/>
      <c r="FE15" s="743"/>
      <c r="FF15" s="743"/>
      <c r="FG15" s="743"/>
      <c r="FH15" s="743"/>
      <c r="FI15" s="743"/>
      <c r="FJ15" s="743"/>
      <c r="FK15" s="743"/>
      <c r="FL15" s="743"/>
      <c r="FM15" s="743"/>
      <c r="FN15" s="743"/>
      <c r="FO15" s="743"/>
      <c r="FP15" s="743"/>
      <c r="FQ15" s="743"/>
      <c r="FR15" s="743"/>
      <c r="FS15" s="743"/>
      <c r="FT15" s="743"/>
      <c r="FU15" s="743"/>
      <c r="FV15" s="743"/>
      <c r="FW15" s="743"/>
      <c r="FX15" s="743"/>
      <c r="FY15" s="743"/>
      <c r="FZ15" s="743"/>
      <c r="GA15" s="743"/>
      <c r="GB15" s="743"/>
      <c r="GC15" s="743"/>
      <c r="GD15" s="743"/>
      <c r="GE15" s="743"/>
      <c r="GF15" s="743"/>
      <c r="GG15" s="743"/>
      <c r="GH15" s="743"/>
      <c r="GI15" s="743"/>
      <c r="GJ15" s="743"/>
      <c r="GK15" s="743"/>
      <c r="GL15" s="743"/>
      <c r="GM15" s="743"/>
      <c r="GN15" s="743"/>
      <c r="GO15" s="743"/>
      <c r="GP15" s="743"/>
      <c r="GQ15" s="743"/>
      <c r="GR15" s="743"/>
      <c r="GS15" s="743"/>
      <c r="GT15" s="743"/>
      <c r="GU15" s="743"/>
      <c r="GV15" s="743"/>
      <c r="GW15" s="743"/>
      <c r="GX15" s="743"/>
      <c r="GY15" s="743"/>
      <c r="GZ15" s="743"/>
      <c r="HA15" s="743"/>
      <c r="HB15" s="743"/>
      <c r="HC15" s="743"/>
      <c r="HD15" s="743"/>
      <c r="HE15" s="743"/>
      <c r="HF15" s="743"/>
      <c r="HG15" s="743"/>
      <c r="HH15" s="743"/>
      <c r="HI15" s="743"/>
      <c r="HJ15" s="743"/>
      <c r="HK15" s="743"/>
      <c r="HL15" s="743"/>
      <c r="HM15" s="743"/>
      <c r="HN15" s="743"/>
      <c r="HO15" s="743"/>
      <c r="HP15" s="743"/>
      <c r="HQ15" s="743"/>
      <c r="HR15" s="743"/>
      <c r="HS15" s="743"/>
      <c r="HT15" s="743"/>
      <c r="HU15" s="743"/>
      <c r="HV15" s="743"/>
      <c r="HW15" s="743"/>
      <c r="HX15" s="743"/>
      <c r="HY15" s="743"/>
      <c r="HZ15" s="743"/>
      <c r="IA15" s="743"/>
      <c r="IB15" s="743"/>
      <c r="IC15" s="743"/>
      <c r="ID15" s="743"/>
      <c r="IE15" s="743"/>
      <c r="IF15" s="743"/>
      <c r="IG15" s="743"/>
      <c r="IH15" s="743"/>
      <c r="II15" s="743"/>
      <c r="IJ15" s="743"/>
      <c r="IK15" s="743"/>
      <c r="IL15" s="743"/>
      <c r="IM15" s="743"/>
      <c r="IN15" s="743"/>
    </row>
    <row r="16" spans="1:248" ht="16.5" customHeight="1" x14ac:dyDescent="0.3">
      <c r="A16" s="1136"/>
      <c r="B16" s="1136" t="str">
        <f>PENYELIA!B16</f>
        <v>3. Tegangan jala jala</v>
      </c>
      <c r="C16" s="1136"/>
      <c r="D16" s="375"/>
      <c r="E16" s="375" t="s">
        <v>7</v>
      </c>
      <c r="F16" s="1118" t="str">
        <f>PENYELIA!F16</f>
        <v>-</v>
      </c>
      <c r="G16" s="1125" t="str">
        <f>'LH ANAK'!G16</f>
        <v/>
      </c>
      <c r="H16" s="1119" t="str">
        <f>PENYELIA!H16</f>
        <v/>
      </c>
      <c r="I16" s="745" t="str">
        <f>'LH ANAK'!I16</f>
        <v/>
      </c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  <c r="U16" s="743"/>
      <c r="V16" s="743"/>
      <c r="W16" s="743"/>
      <c r="X16" s="743"/>
      <c r="Y16" s="743"/>
      <c r="Z16" s="743"/>
      <c r="AA16" s="743"/>
      <c r="AB16" s="743"/>
      <c r="AC16" s="743"/>
      <c r="AD16" s="743"/>
      <c r="AE16" s="743"/>
      <c r="AF16" s="743"/>
      <c r="AG16" s="743"/>
      <c r="AH16" s="743"/>
      <c r="AI16" s="743"/>
      <c r="AJ16" s="743"/>
      <c r="AK16" s="743"/>
      <c r="AL16" s="743"/>
      <c r="AM16" s="743"/>
      <c r="AN16" s="743"/>
      <c r="AO16" s="743"/>
      <c r="AP16" s="743"/>
      <c r="AQ16" s="743"/>
      <c r="AR16" s="743"/>
      <c r="AS16" s="743"/>
      <c r="AT16" s="743"/>
      <c r="AU16" s="743"/>
      <c r="AV16" s="743"/>
      <c r="AW16" s="743"/>
      <c r="AX16" s="743"/>
      <c r="AY16" s="743"/>
      <c r="AZ16" s="743"/>
      <c r="BA16" s="743"/>
      <c r="BB16" s="743"/>
      <c r="BC16" s="743"/>
      <c r="BD16" s="743"/>
      <c r="BE16" s="743"/>
      <c r="BF16" s="743"/>
      <c r="BG16" s="743"/>
      <c r="BH16" s="743"/>
      <c r="BI16" s="743"/>
      <c r="BJ16" s="743"/>
      <c r="BK16" s="743"/>
      <c r="BL16" s="743"/>
      <c r="BM16" s="743"/>
      <c r="BN16" s="743"/>
      <c r="BO16" s="743"/>
      <c r="BP16" s="743"/>
      <c r="BQ16" s="743"/>
      <c r="BR16" s="743"/>
      <c r="BS16" s="743"/>
      <c r="BT16" s="743"/>
      <c r="BU16" s="743"/>
      <c r="BV16" s="743"/>
      <c r="BW16" s="743"/>
      <c r="BX16" s="743"/>
      <c r="BY16" s="743"/>
      <c r="BZ16" s="743"/>
      <c r="CA16" s="743"/>
      <c r="CB16" s="743"/>
      <c r="CC16" s="743"/>
      <c r="CD16" s="743"/>
      <c r="CE16" s="743"/>
      <c r="CF16" s="743"/>
      <c r="CG16" s="743"/>
      <c r="CH16" s="743"/>
      <c r="CI16" s="743"/>
      <c r="CJ16" s="743"/>
      <c r="CK16" s="743"/>
      <c r="CL16" s="743"/>
      <c r="CM16" s="743"/>
      <c r="CN16" s="743"/>
      <c r="CO16" s="743"/>
      <c r="CP16" s="743"/>
      <c r="CQ16" s="743"/>
      <c r="CR16" s="743"/>
      <c r="CS16" s="743"/>
      <c r="CT16" s="743"/>
      <c r="CU16" s="743"/>
      <c r="CV16" s="743"/>
      <c r="CW16" s="743"/>
      <c r="CX16" s="743"/>
      <c r="CY16" s="743"/>
      <c r="CZ16" s="743"/>
      <c r="DA16" s="743"/>
      <c r="DB16" s="743"/>
      <c r="DC16" s="743"/>
      <c r="DD16" s="743"/>
      <c r="DE16" s="743"/>
      <c r="DF16" s="743"/>
      <c r="DG16" s="743"/>
      <c r="DH16" s="743"/>
      <c r="DI16" s="743"/>
      <c r="DJ16" s="743"/>
      <c r="DK16" s="743"/>
      <c r="DL16" s="743"/>
      <c r="DM16" s="743"/>
      <c r="DN16" s="743"/>
      <c r="DO16" s="743"/>
      <c r="DP16" s="743"/>
      <c r="DQ16" s="743"/>
      <c r="DR16" s="743"/>
      <c r="DS16" s="743"/>
      <c r="DT16" s="743"/>
      <c r="DU16" s="743"/>
      <c r="DV16" s="743"/>
      <c r="DW16" s="743"/>
      <c r="DX16" s="743"/>
      <c r="DY16" s="743"/>
      <c r="DZ16" s="743"/>
      <c r="EA16" s="743"/>
      <c r="EB16" s="743"/>
      <c r="EC16" s="743"/>
      <c r="ED16" s="743"/>
      <c r="EE16" s="743"/>
      <c r="EF16" s="743"/>
      <c r="EG16" s="743"/>
      <c r="EH16" s="743"/>
      <c r="EI16" s="743"/>
      <c r="EJ16" s="743"/>
      <c r="EK16" s="743"/>
      <c r="EL16" s="743"/>
      <c r="EM16" s="743"/>
      <c r="EN16" s="743"/>
      <c r="EO16" s="743"/>
      <c r="EP16" s="743"/>
      <c r="EQ16" s="743"/>
      <c r="ER16" s="743"/>
      <c r="ES16" s="743"/>
      <c r="ET16" s="743"/>
      <c r="EU16" s="743"/>
      <c r="EV16" s="743"/>
      <c r="EW16" s="743"/>
      <c r="EX16" s="743"/>
      <c r="EY16" s="743"/>
      <c r="EZ16" s="743"/>
      <c r="FA16" s="743"/>
      <c r="FB16" s="743"/>
      <c r="FC16" s="743"/>
      <c r="FD16" s="743"/>
      <c r="FE16" s="743"/>
      <c r="FF16" s="743"/>
      <c r="FG16" s="743"/>
      <c r="FH16" s="743"/>
      <c r="FI16" s="743"/>
      <c r="FJ16" s="743"/>
      <c r="FK16" s="743"/>
      <c r="FL16" s="743"/>
      <c r="FM16" s="743"/>
      <c r="FN16" s="743"/>
      <c r="FO16" s="743"/>
      <c r="FP16" s="743"/>
      <c r="FQ16" s="743"/>
      <c r="FR16" s="743"/>
      <c r="FS16" s="743"/>
      <c r="FT16" s="743"/>
      <c r="FU16" s="743"/>
      <c r="FV16" s="743"/>
      <c r="FW16" s="743"/>
      <c r="FX16" s="743"/>
      <c r="FY16" s="743"/>
      <c r="FZ16" s="743"/>
      <c r="GA16" s="743"/>
      <c r="GB16" s="743"/>
      <c r="GC16" s="743"/>
      <c r="GD16" s="743"/>
      <c r="GE16" s="743"/>
      <c r="GF16" s="743"/>
      <c r="GG16" s="743"/>
      <c r="GH16" s="743"/>
      <c r="GI16" s="743"/>
      <c r="GJ16" s="743"/>
      <c r="GK16" s="743"/>
      <c r="GL16" s="743"/>
      <c r="GM16" s="743"/>
      <c r="GN16" s="743"/>
      <c r="GO16" s="743"/>
      <c r="GP16" s="743"/>
      <c r="GQ16" s="743"/>
      <c r="GR16" s="743"/>
      <c r="GS16" s="743"/>
      <c r="GT16" s="743"/>
      <c r="GU16" s="743"/>
      <c r="GV16" s="743"/>
      <c r="GW16" s="743"/>
      <c r="GX16" s="743"/>
      <c r="GY16" s="743"/>
      <c r="GZ16" s="743"/>
      <c r="HA16" s="743"/>
      <c r="HB16" s="743"/>
      <c r="HC16" s="743"/>
      <c r="HD16" s="743"/>
      <c r="HE16" s="743"/>
      <c r="HF16" s="743"/>
      <c r="HG16" s="743"/>
      <c r="HH16" s="743"/>
      <c r="HI16" s="743"/>
      <c r="HJ16" s="743"/>
      <c r="HK16" s="743"/>
      <c r="HL16" s="743"/>
      <c r="HM16" s="743"/>
      <c r="HN16" s="743"/>
      <c r="HO16" s="743"/>
      <c r="HP16" s="743"/>
      <c r="HQ16" s="743"/>
      <c r="HR16" s="743"/>
      <c r="HS16" s="743"/>
      <c r="HT16" s="743"/>
      <c r="HU16" s="743"/>
      <c r="HV16" s="743"/>
      <c r="HW16" s="743"/>
      <c r="HX16" s="743"/>
      <c r="HY16" s="743"/>
      <c r="HZ16" s="743"/>
      <c r="IA16" s="743"/>
      <c r="IB16" s="743"/>
      <c r="IC16" s="743"/>
      <c r="ID16" s="743"/>
      <c r="IE16" s="743"/>
      <c r="IF16" s="743"/>
      <c r="IG16" s="743"/>
      <c r="IH16" s="743"/>
      <c r="II16" s="743"/>
      <c r="IJ16" s="743"/>
      <c r="IK16" s="743"/>
      <c r="IL16" s="743"/>
      <c r="IM16" s="743"/>
      <c r="IN16" s="743"/>
    </row>
    <row r="17" spans="1:248" x14ac:dyDescent="0.3">
      <c r="A17" s="379" t="s">
        <v>33</v>
      </c>
      <c r="B17" s="380" t="s">
        <v>34</v>
      </c>
      <c r="C17" s="380"/>
      <c r="D17" s="380"/>
      <c r="E17" s="380"/>
      <c r="F17" s="380"/>
      <c r="G17" s="380"/>
      <c r="H17" s="381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743"/>
      <c r="AK17" s="743"/>
      <c r="AL17" s="743"/>
      <c r="AM17" s="743"/>
      <c r="AN17" s="743"/>
      <c r="AO17" s="743"/>
      <c r="AP17" s="743"/>
      <c r="AQ17" s="743"/>
      <c r="AR17" s="743"/>
      <c r="AS17" s="743"/>
      <c r="AT17" s="743"/>
      <c r="AU17" s="743"/>
      <c r="AV17" s="743"/>
      <c r="AW17" s="743"/>
      <c r="AX17" s="743"/>
      <c r="AY17" s="743"/>
      <c r="AZ17" s="743"/>
      <c r="BA17" s="743"/>
      <c r="BB17" s="743"/>
      <c r="BC17" s="743"/>
      <c r="BD17" s="743"/>
      <c r="BE17" s="743"/>
      <c r="BF17" s="743"/>
      <c r="BG17" s="743"/>
      <c r="BH17" s="743"/>
      <c r="BI17" s="743"/>
      <c r="BJ17" s="743"/>
      <c r="BK17" s="743"/>
      <c r="BL17" s="743"/>
      <c r="BM17" s="743"/>
      <c r="BN17" s="743"/>
      <c r="BO17" s="743"/>
      <c r="BP17" s="743"/>
      <c r="BQ17" s="743"/>
      <c r="BR17" s="743"/>
      <c r="BS17" s="743"/>
      <c r="BT17" s="743"/>
      <c r="BU17" s="743"/>
      <c r="BV17" s="743"/>
      <c r="BW17" s="743"/>
      <c r="BX17" s="743"/>
      <c r="BY17" s="743"/>
      <c r="BZ17" s="743"/>
      <c r="CA17" s="743"/>
      <c r="CB17" s="743"/>
      <c r="CC17" s="743"/>
      <c r="CD17" s="743"/>
      <c r="CE17" s="743"/>
      <c r="CF17" s="743"/>
      <c r="CG17" s="743"/>
      <c r="CH17" s="743"/>
      <c r="CI17" s="743"/>
      <c r="CJ17" s="743"/>
      <c r="CK17" s="743"/>
      <c r="CL17" s="743"/>
      <c r="CM17" s="743"/>
      <c r="CN17" s="743"/>
      <c r="CO17" s="743"/>
      <c r="CP17" s="743"/>
      <c r="CQ17" s="743"/>
      <c r="CR17" s="743"/>
      <c r="CS17" s="743"/>
      <c r="CT17" s="743"/>
      <c r="CU17" s="743"/>
      <c r="CV17" s="743"/>
      <c r="CW17" s="743"/>
      <c r="CX17" s="743"/>
      <c r="CY17" s="743"/>
      <c r="CZ17" s="743"/>
      <c r="DA17" s="743"/>
      <c r="DB17" s="743"/>
      <c r="DC17" s="743"/>
      <c r="DD17" s="743"/>
      <c r="DE17" s="743"/>
      <c r="DF17" s="743"/>
      <c r="DG17" s="743"/>
      <c r="DH17" s="743"/>
      <c r="DI17" s="743"/>
      <c r="DJ17" s="743"/>
      <c r="DK17" s="743"/>
      <c r="DL17" s="743"/>
      <c r="DM17" s="743"/>
      <c r="DN17" s="743"/>
      <c r="DO17" s="743"/>
      <c r="DP17" s="743"/>
      <c r="DQ17" s="743"/>
      <c r="DR17" s="743"/>
      <c r="DS17" s="743"/>
      <c r="DT17" s="743"/>
      <c r="DU17" s="743"/>
      <c r="DV17" s="743"/>
      <c r="DW17" s="743"/>
      <c r="DX17" s="743"/>
      <c r="DY17" s="743"/>
      <c r="DZ17" s="743"/>
      <c r="EA17" s="743"/>
      <c r="EB17" s="743"/>
      <c r="EC17" s="743"/>
      <c r="ED17" s="743"/>
      <c r="EE17" s="743"/>
      <c r="EF17" s="743"/>
      <c r="EG17" s="743"/>
      <c r="EH17" s="743"/>
      <c r="EI17" s="743"/>
      <c r="EJ17" s="743"/>
      <c r="EK17" s="743"/>
      <c r="EL17" s="743"/>
      <c r="EM17" s="743"/>
      <c r="EN17" s="743"/>
      <c r="EO17" s="743"/>
      <c r="EP17" s="743"/>
      <c r="EQ17" s="743"/>
      <c r="ER17" s="743"/>
      <c r="ES17" s="743"/>
      <c r="ET17" s="743"/>
      <c r="EU17" s="743"/>
      <c r="EV17" s="743"/>
      <c r="EW17" s="743"/>
      <c r="EX17" s="743"/>
      <c r="EY17" s="743"/>
      <c r="EZ17" s="743"/>
      <c r="FA17" s="743"/>
      <c r="FB17" s="743"/>
      <c r="FC17" s="743"/>
      <c r="FD17" s="743"/>
      <c r="FE17" s="743"/>
      <c r="FF17" s="743"/>
      <c r="FG17" s="743"/>
      <c r="FH17" s="743"/>
      <c r="FI17" s="743"/>
      <c r="FJ17" s="743"/>
      <c r="FK17" s="743"/>
      <c r="FL17" s="743"/>
      <c r="FM17" s="743"/>
      <c r="FN17" s="743"/>
      <c r="FO17" s="743"/>
      <c r="FP17" s="743"/>
      <c r="FQ17" s="743"/>
      <c r="FR17" s="743"/>
      <c r="FS17" s="743"/>
      <c r="FT17" s="743"/>
      <c r="FU17" s="743"/>
      <c r="FV17" s="743"/>
      <c r="FW17" s="743"/>
      <c r="FX17" s="743"/>
      <c r="FY17" s="743"/>
      <c r="FZ17" s="743"/>
      <c r="GA17" s="743"/>
      <c r="GB17" s="743"/>
      <c r="GC17" s="743"/>
      <c r="GD17" s="743"/>
      <c r="GE17" s="743"/>
      <c r="GF17" s="743"/>
      <c r="GG17" s="743"/>
      <c r="GH17" s="743"/>
      <c r="GI17" s="743"/>
      <c r="GJ17" s="743"/>
      <c r="GK17" s="743"/>
      <c r="GL17" s="743"/>
      <c r="GM17" s="743"/>
      <c r="GN17" s="743"/>
      <c r="GO17" s="743"/>
      <c r="GP17" s="743"/>
      <c r="GQ17" s="743"/>
      <c r="GR17" s="743"/>
      <c r="GS17" s="743"/>
      <c r="GT17" s="743"/>
      <c r="GU17" s="743"/>
      <c r="GV17" s="743"/>
      <c r="GW17" s="743"/>
      <c r="GX17" s="743"/>
      <c r="GY17" s="743"/>
      <c r="GZ17" s="743"/>
      <c r="HA17" s="743"/>
      <c r="HB17" s="743"/>
      <c r="HC17" s="743"/>
      <c r="HD17" s="743"/>
      <c r="HE17" s="743"/>
      <c r="HF17" s="743"/>
      <c r="HG17" s="743"/>
      <c r="HH17" s="743"/>
      <c r="HI17" s="743"/>
      <c r="HJ17" s="743"/>
      <c r="HK17" s="743"/>
      <c r="HL17" s="743"/>
      <c r="HM17" s="743"/>
      <c r="HN17" s="743"/>
      <c r="HO17" s="743"/>
      <c r="HP17" s="743"/>
      <c r="HQ17" s="743"/>
      <c r="HR17" s="743"/>
      <c r="HS17" s="743"/>
      <c r="HT17" s="743"/>
      <c r="HU17" s="743"/>
      <c r="HV17" s="743"/>
      <c r="HW17" s="743"/>
      <c r="HX17" s="743"/>
      <c r="HY17" s="743"/>
      <c r="HZ17" s="743"/>
      <c r="IA17" s="743"/>
      <c r="IB17" s="743"/>
      <c r="IC17" s="743"/>
      <c r="ID17" s="743"/>
      <c r="IE17" s="743"/>
      <c r="IF17" s="743"/>
      <c r="IG17" s="743"/>
      <c r="IH17" s="743"/>
      <c r="II17" s="743"/>
      <c r="IJ17" s="743"/>
      <c r="IK17" s="743"/>
      <c r="IL17" s="743"/>
      <c r="IM17" s="743"/>
      <c r="IN17" s="743"/>
    </row>
    <row r="18" spans="1:248" x14ac:dyDescent="0.3">
      <c r="A18" s="382"/>
      <c r="B18" s="376" t="str">
        <f>PENYELIA!B18</f>
        <v>1. Pemeriksaan fisik</v>
      </c>
      <c r="C18" s="376"/>
      <c r="D18" s="376" t="s">
        <v>236</v>
      </c>
      <c r="E18" s="376" t="s">
        <v>7</v>
      </c>
      <c r="F18" s="382" t="str">
        <f>ID!D37</f>
        <v>Baik</v>
      </c>
      <c r="G18" s="376"/>
      <c r="H18" s="743"/>
      <c r="I18" s="743"/>
      <c r="J18" s="743"/>
      <c r="K18" s="743"/>
      <c r="L18" s="743"/>
      <c r="M18" s="743"/>
      <c r="N18" s="743"/>
      <c r="O18" s="743"/>
      <c r="P18" s="743"/>
      <c r="Q18" s="743"/>
    </row>
    <row r="19" spans="1:248" x14ac:dyDescent="0.3">
      <c r="A19" s="382"/>
      <c r="B19" s="376" t="str">
        <f>PENYELIA!B19</f>
        <v>2. Pengujian fungsi</v>
      </c>
      <c r="C19" s="376"/>
      <c r="D19" s="376" t="s">
        <v>236</v>
      </c>
      <c r="E19" s="376" t="s">
        <v>7</v>
      </c>
      <c r="F19" s="382" t="str">
        <f>ID!D38</f>
        <v>Baik</v>
      </c>
      <c r="G19" s="376"/>
      <c r="H19" s="743"/>
      <c r="I19" s="743"/>
      <c r="J19" s="743"/>
      <c r="K19" s="743"/>
      <c r="L19" s="743"/>
      <c r="M19" s="743"/>
      <c r="N19" s="743"/>
      <c r="O19" s="743"/>
      <c r="P19" s="743"/>
      <c r="Q19" s="743"/>
    </row>
    <row r="20" spans="1:248" ht="5.25" customHeight="1" x14ac:dyDescent="0.3">
      <c r="A20" s="1458"/>
      <c r="B20" s="1458"/>
      <c r="C20" s="1458"/>
      <c r="D20" s="1458"/>
      <c r="E20" s="1458"/>
      <c r="F20" s="1458"/>
      <c r="G20" s="1458"/>
      <c r="H20" s="393"/>
      <c r="I20" s="393"/>
      <c r="J20" s="743"/>
      <c r="K20" s="743"/>
      <c r="L20" s="743"/>
      <c r="M20" s="743"/>
      <c r="N20" s="743"/>
      <c r="O20" s="743"/>
      <c r="P20" s="743"/>
      <c r="Q20" s="743"/>
    </row>
    <row r="21" spans="1:248" s="123" customFormat="1" x14ac:dyDescent="0.25">
      <c r="A21" s="383" t="s">
        <v>239</v>
      </c>
      <c r="B21" s="383" t="s">
        <v>240</v>
      </c>
      <c r="C21" s="236"/>
      <c r="D21" s="236"/>
      <c r="E21" s="236"/>
      <c r="F21" s="236"/>
      <c r="G21" s="236"/>
      <c r="H21" s="211"/>
      <c r="I21" s="1134"/>
      <c r="J21" s="1129"/>
      <c r="K21" s="231"/>
      <c r="L21" s="350"/>
      <c r="M21" s="350"/>
      <c r="N21" s="350"/>
      <c r="O21" s="346"/>
      <c r="P21" s="293"/>
      <c r="Q21" s="293"/>
    </row>
    <row r="22" spans="1:248" s="167" customFormat="1" ht="33" customHeight="1" x14ac:dyDescent="0.25">
      <c r="A22" s="202"/>
      <c r="B22" s="1300" t="s">
        <v>23</v>
      </c>
      <c r="C22" s="1301"/>
      <c r="D22" s="1301"/>
      <c r="E22" s="1301"/>
      <c r="F22" s="1301"/>
      <c r="G22" s="1301"/>
      <c r="H22" s="1302"/>
      <c r="I22" s="1299" t="s">
        <v>40</v>
      </c>
      <c r="J22" s="1299"/>
      <c r="K22" s="1128" t="s">
        <v>41</v>
      </c>
      <c r="L22" s="274"/>
    </row>
    <row r="23" spans="1:248" s="167" customFormat="1" ht="15" x14ac:dyDescent="0.25">
      <c r="A23" s="202"/>
      <c r="B23" s="203" t="str">
        <f>PENYELIA!B23</f>
        <v>Resistansi isolasi</v>
      </c>
      <c r="C23" s="204"/>
      <c r="D23" s="204"/>
      <c r="E23" s="204"/>
      <c r="F23" s="204"/>
      <c r="G23" s="205"/>
      <c r="H23" s="206"/>
      <c r="I23" s="1069" t="str">
        <f>PENYELIA!I23</f>
        <v>-</v>
      </c>
      <c r="J23" s="1072" t="str">
        <f>IF(I23="-","","MΩ")</f>
        <v/>
      </c>
      <c r="K23" s="1067" t="str">
        <f>PENYELIA!J23</f>
        <v>&gt; 2 MΩ</v>
      </c>
      <c r="L23" s="1098"/>
    </row>
    <row r="24" spans="1:248" s="167" customFormat="1" ht="15" x14ac:dyDescent="0.25">
      <c r="A24" s="202"/>
      <c r="B24" s="203" t="str">
        <f>PENYELIA!B24</f>
        <v>Resistansi pembumian protektif (kabel dapat dilepas)</v>
      </c>
      <c r="C24" s="204"/>
      <c r="D24" s="204"/>
      <c r="E24" s="204"/>
      <c r="F24" s="204"/>
      <c r="G24" s="207"/>
      <c r="H24" s="206"/>
      <c r="I24" s="1070" t="str">
        <f>PENYELIA!I24</f>
        <v>-</v>
      </c>
      <c r="J24" s="1072" t="str">
        <f>IF(I24="-","","Ω")</f>
        <v/>
      </c>
      <c r="K24" s="1067" t="str">
        <f>PENYELIA!J24</f>
        <v>≤ 0.2 Ω</v>
      </c>
      <c r="L24" s="1098"/>
    </row>
    <row r="25" spans="1:248" s="167" customFormat="1" ht="15" x14ac:dyDescent="0.25">
      <c r="A25" s="202"/>
      <c r="B25" s="203" t="str">
        <f>PENYELIA!B25</f>
        <v xml:space="preserve">Arus bocor peralatan untuk peralatan elektromedik kelas II </v>
      </c>
      <c r="C25" s="204"/>
      <c r="D25" s="204"/>
      <c r="E25" s="204"/>
      <c r="F25" s="204"/>
      <c r="G25" s="205"/>
      <c r="H25" s="208"/>
      <c r="I25" s="1071" t="str">
        <f>PENYELIA!I25</f>
        <v>-</v>
      </c>
      <c r="J25" s="1072" t="str">
        <f>IF(I25="-",""," µa")</f>
        <v/>
      </c>
      <c r="K25" s="1067" t="str">
        <f>PENYELIA!J25</f>
        <v>≤ 100 μA</v>
      </c>
      <c r="L25" s="1098"/>
    </row>
    <row r="26" spans="1:248" s="123" customFormat="1" ht="6.75" customHeight="1" x14ac:dyDescent="0.25">
      <c r="A26" s="124"/>
      <c r="B26" s="124"/>
      <c r="C26" s="384"/>
      <c r="D26" s="384"/>
      <c r="E26" s="384"/>
      <c r="F26" s="384"/>
      <c r="G26" s="384"/>
      <c r="H26" s="384"/>
      <c r="I26" s="384"/>
      <c r="J26" s="691"/>
      <c r="K26" s="350"/>
      <c r="L26" s="350"/>
      <c r="M26" s="350"/>
      <c r="N26" s="350"/>
      <c r="O26" s="346"/>
      <c r="P26" s="293"/>
      <c r="Q26" s="293"/>
    </row>
    <row r="27" spans="1:248" s="123" customFormat="1" x14ac:dyDescent="0.25">
      <c r="A27" s="385" t="s">
        <v>241</v>
      </c>
      <c r="B27" s="385" t="s">
        <v>271</v>
      </c>
      <c r="C27" s="385"/>
      <c r="D27" s="385"/>
      <c r="E27" s="385"/>
      <c r="F27" s="385"/>
      <c r="G27" s="385"/>
      <c r="H27" s="385"/>
      <c r="I27" s="217"/>
      <c r="J27" s="217"/>
      <c r="K27" s="217"/>
      <c r="L27" s="217"/>
      <c r="M27" s="174"/>
      <c r="N27" s="174"/>
      <c r="O27" s="684"/>
      <c r="P27" s="293"/>
      <c r="Q27" s="293"/>
    </row>
    <row r="28" spans="1:248" s="123" customFormat="1" x14ac:dyDescent="0.25">
      <c r="A28" s="385"/>
      <c r="B28" s="386" t="str">
        <f>PENYELIA!B28</f>
        <v xml:space="preserve">A. Blood pressure monitor </v>
      </c>
      <c r="C28" s="386"/>
      <c r="D28" s="386"/>
      <c r="E28" s="386"/>
      <c r="F28" s="386"/>
      <c r="G28" s="386"/>
      <c r="H28" s="386"/>
      <c r="I28" s="217"/>
      <c r="J28" s="217"/>
      <c r="K28" s="217"/>
      <c r="L28" s="217"/>
      <c r="M28" s="174"/>
      <c r="N28" s="174"/>
      <c r="O28" s="684"/>
      <c r="P28" s="293"/>
      <c r="Q28" s="293"/>
    </row>
    <row r="29" spans="1:248" s="123" customFormat="1" ht="9" customHeight="1" x14ac:dyDescent="0.25">
      <c r="A29" s="1432"/>
      <c r="B29" s="1433" t="s">
        <v>39</v>
      </c>
      <c r="C29" s="1436" t="str">
        <f>PENYELIA!C29</f>
        <v>Parameter</v>
      </c>
      <c r="D29" s="1439"/>
      <c r="E29" s="1459"/>
      <c r="F29" s="1433" t="str">
        <f>PENYELIA!F29</f>
        <v>Setting standar (mmHg)</v>
      </c>
      <c r="G29" s="1268" t="str">
        <f>PENYELIA!G29</f>
        <v>Setting heart rate (bpm)</v>
      </c>
      <c r="H29" s="1433" t="str">
        <f>PENYELIA!H29</f>
        <v xml:space="preserve">Penunjukan alat                           (mmHg)                     </v>
      </c>
      <c r="I29" s="1433" t="str">
        <f>PENYELIA!I29</f>
        <v xml:space="preserve">Koreksi    (mmHg)                          </v>
      </c>
      <c r="J29" s="1297" t="str">
        <f>PENYELIA!J29</f>
        <v>Toleransi (mmHg)</v>
      </c>
      <c r="K29" s="1433" t="str">
        <f>PENYELIA!K29</f>
        <v xml:space="preserve">Ketidakpastian pengukuran    ±(mmHg)                       </v>
      </c>
      <c r="L29" s="217"/>
      <c r="M29" s="124"/>
      <c r="N29" s="124"/>
      <c r="O29" s="124"/>
      <c r="P29" s="124"/>
      <c r="Q29" s="124"/>
    </row>
    <row r="30" spans="1:248" s="123" customFormat="1" ht="12" customHeight="1" x14ac:dyDescent="0.25">
      <c r="A30" s="1432"/>
      <c r="B30" s="1434"/>
      <c r="C30" s="1437"/>
      <c r="D30" s="1440"/>
      <c r="E30" s="1460"/>
      <c r="F30" s="1434"/>
      <c r="G30" s="1268"/>
      <c r="H30" s="1434"/>
      <c r="I30" s="1434"/>
      <c r="J30" s="1311"/>
      <c r="K30" s="1434"/>
      <c r="L30" s="217"/>
      <c r="M30" s="124"/>
      <c r="N30" s="124"/>
      <c r="O30" s="124"/>
      <c r="P30" s="124"/>
      <c r="Q30" s="124"/>
    </row>
    <row r="31" spans="1:248" s="123" customFormat="1" ht="24" customHeight="1" x14ac:dyDescent="0.25">
      <c r="A31" s="1432"/>
      <c r="B31" s="1435"/>
      <c r="C31" s="1438"/>
      <c r="D31" s="1441"/>
      <c r="E31" s="1461"/>
      <c r="F31" s="1435"/>
      <c r="G31" s="1268"/>
      <c r="H31" s="1435"/>
      <c r="I31" s="1435"/>
      <c r="J31" s="1444"/>
      <c r="K31" s="1435"/>
      <c r="L31" s="217"/>
      <c r="M31" s="124"/>
      <c r="N31" s="124"/>
      <c r="O31" s="124"/>
      <c r="P31" s="124"/>
      <c r="Q31" s="124"/>
    </row>
    <row r="32" spans="1:248" s="123" customFormat="1" x14ac:dyDescent="0.25">
      <c r="A32" s="1431"/>
      <c r="B32" s="1442">
        <v>1</v>
      </c>
      <c r="C32" s="387" t="str">
        <f>PENYELIA!C32</f>
        <v xml:space="preserve">Sistole </v>
      </c>
      <c r="D32" s="388"/>
      <c r="E32" s="389"/>
      <c r="F32" s="390">
        <f>PENYELIA!F32</f>
        <v>80</v>
      </c>
      <c r="G32" s="1266">
        <f>PENYELIA!G32</f>
        <v>70</v>
      </c>
      <c r="H32" s="464">
        <f>ID!L51</f>
        <v>81.972799999999992</v>
      </c>
      <c r="I32" s="391">
        <f>ID!O51</f>
        <v>-1.9727999999999923</v>
      </c>
      <c r="J32" s="1316" t="s">
        <v>62</v>
      </c>
      <c r="K32" s="1130">
        <f>ID!P51</f>
        <v>0.72657111540404895</v>
      </c>
      <c r="L32" s="217"/>
      <c r="M32" s="124"/>
      <c r="N32" s="124" t="s">
        <v>149</v>
      </c>
      <c r="O32" s="124"/>
      <c r="P32" s="124"/>
      <c r="Q32" s="124"/>
    </row>
    <row r="33" spans="1:17" s="123" customFormat="1" x14ac:dyDescent="0.25">
      <c r="A33" s="1431"/>
      <c r="B33" s="1443"/>
      <c r="C33" s="387" t="str">
        <f>PENYELIA!C33</f>
        <v>Diastole</v>
      </c>
      <c r="D33" s="388"/>
      <c r="E33" s="389"/>
      <c r="F33" s="390">
        <f>PENYELIA!F33</f>
        <v>50</v>
      </c>
      <c r="G33" s="1267"/>
      <c r="H33" s="464">
        <f>ID!L52</f>
        <v>50.3</v>
      </c>
      <c r="I33" s="391">
        <f>ID!O52</f>
        <v>-0.29999999999999716</v>
      </c>
      <c r="J33" s="1317"/>
      <c r="K33" s="1130">
        <f>ID!P52</f>
        <v>0.58889639603889332</v>
      </c>
      <c r="L33" s="217"/>
      <c r="M33" s="124"/>
      <c r="N33" s="355"/>
      <c r="O33" s="714"/>
      <c r="P33" s="124"/>
      <c r="Q33" s="124"/>
    </row>
    <row r="34" spans="1:17" s="123" customFormat="1" x14ac:dyDescent="0.25">
      <c r="A34" s="1431"/>
      <c r="B34" s="1442">
        <v>2</v>
      </c>
      <c r="C34" s="387" t="str">
        <f>PENYELIA!C34</f>
        <v xml:space="preserve">Sistole </v>
      </c>
      <c r="D34" s="388"/>
      <c r="E34" s="389"/>
      <c r="F34" s="390">
        <f>PENYELIA!F34</f>
        <v>100</v>
      </c>
      <c r="G34" s="1266">
        <f>PENYELIA!G34</f>
        <v>70</v>
      </c>
      <c r="H34" s="464">
        <f>ID!L54</f>
        <v>103.49320006800001</v>
      </c>
      <c r="I34" s="391">
        <f>ID!O54</f>
        <v>-3.4932000680000073</v>
      </c>
      <c r="J34" s="1317"/>
      <c r="K34" s="1130">
        <f>ID!P54</f>
        <v>0.79760135149297562</v>
      </c>
      <c r="L34" s="1129"/>
      <c r="M34" s="124"/>
      <c r="N34" s="1133"/>
      <c r="O34" s="715"/>
      <c r="P34" s="1451"/>
      <c r="Q34" s="1451"/>
    </row>
    <row r="35" spans="1:17" s="123" customFormat="1" x14ac:dyDescent="0.25">
      <c r="A35" s="1431"/>
      <c r="B35" s="1443"/>
      <c r="C35" s="387" t="str">
        <f>PENYELIA!C35</f>
        <v>Diastole</v>
      </c>
      <c r="D35" s="388"/>
      <c r="E35" s="389"/>
      <c r="F35" s="390">
        <f>PENYELIA!F35</f>
        <v>65</v>
      </c>
      <c r="G35" s="1267"/>
      <c r="H35" s="464">
        <f>ID!L55</f>
        <v>65.239999999999995</v>
      </c>
      <c r="I35" s="391">
        <f>ID!O55</f>
        <v>-0.23999999999999488</v>
      </c>
      <c r="J35" s="1317"/>
      <c r="K35" s="1130">
        <f>ID!P55</f>
        <v>0.58889639603889332</v>
      </c>
      <c r="L35" s="392"/>
      <c r="M35" s="124"/>
      <c r="N35" s="1133"/>
      <c r="O35" s="715"/>
      <c r="P35" s="1138"/>
      <c r="Q35" s="1138"/>
    </row>
    <row r="36" spans="1:17" s="123" customFormat="1" x14ac:dyDescent="0.3">
      <c r="A36" s="1431"/>
      <c r="B36" s="1442">
        <v>3</v>
      </c>
      <c r="C36" s="387" t="str">
        <f>PENYELIA!C36</f>
        <v xml:space="preserve">Sistole </v>
      </c>
      <c r="D36" s="388"/>
      <c r="E36" s="389"/>
      <c r="F36" s="390">
        <f>PENYELIA!F36</f>
        <v>120</v>
      </c>
      <c r="G36" s="1266">
        <f>PENYELIA!G36</f>
        <v>80</v>
      </c>
      <c r="H36" s="464">
        <f>ID!L57</f>
        <v>120.06000040000001</v>
      </c>
      <c r="I36" s="391">
        <f>ID!O57</f>
        <v>-6.0000400000006948E-2</v>
      </c>
      <c r="J36" s="1317"/>
      <c r="K36" s="1130">
        <f>ID!P57</f>
        <v>0.58889639603889332</v>
      </c>
      <c r="L36" s="211"/>
      <c r="M36" s="124"/>
      <c r="N36" s="713"/>
      <c r="O36" s="715"/>
      <c r="P36" s="393" t="s">
        <v>149</v>
      </c>
      <c r="Q36" s="743" t="s">
        <v>149</v>
      </c>
    </row>
    <row r="37" spans="1:17" s="123" customFormat="1" x14ac:dyDescent="0.3">
      <c r="A37" s="1431"/>
      <c r="B37" s="1443"/>
      <c r="C37" s="387" t="str">
        <f>PENYELIA!C37</f>
        <v>Diastole</v>
      </c>
      <c r="D37" s="388"/>
      <c r="E37" s="389"/>
      <c r="F37" s="390">
        <f>PENYELIA!F37</f>
        <v>80</v>
      </c>
      <c r="G37" s="1267"/>
      <c r="H37" s="464">
        <f>ID!L58</f>
        <v>83.168000000000006</v>
      </c>
      <c r="I37" s="391">
        <f>ID!O58</f>
        <v>-3.1680000000000064</v>
      </c>
      <c r="J37" s="1317"/>
      <c r="K37" s="1130">
        <f>ID!P58</f>
        <v>0.58889639603889332</v>
      </c>
      <c r="L37" s="211"/>
      <c r="M37" s="124"/>
      <c r="N37" s="716" t="s">
        <v>816</v>
      </c>
      <c r="O37" s="717"/>
      <c r="P37" s="159" t="s">
        <v>817</v>
      </c>
      <c r="Q37" s="1103" t="s">
        <v>818</v>
      </c>
    </row>
    <row r="38" spans="1:17" s="123" customFormat="1" x14ac:dyDescent="0.25">
      <c r="A38" s="1431"/>
      <c r="B38" s="1442">
        <v>4</v>
      </c>
      <c r="C38" s="387" t="str">
        <f>PENYELIA!C38</f>
        <v xml:space="preserve">Sistole </v>
      </c>
      <c r="D38" s="388"/>
      <c r="E38" s="389"/>
      <c r="F38" s="390">
        <f>PENYELIA!F38</f>
        <v>150</v>
      </c>
      <c r="G38" s="1266">
        <f>PENYELIA!G38</f>
        <v>80</v>
      </c>
      <c r="H38" s="464">
        <f>ID!L60</f>
        <v>147.60480095200001</v>
      </c>
      <c r="I38" s="391">
        <f>ID!O60</f>
        <v>2.3951990479999949</v>
      </c>
      <c r="J38" s="1317"/>
      <c r="K38" s="1130">
        <f>ID!P60</f>
        <v>0.79760135149297562</v>
      </c>
      <c r="L38" s="211"/>
      <c r="M38" s="124"/>
      <c r="N38" s="124"/>
      <c r="O38" s="124"/>
      <c r="P38" s="124"/>
      <c r="Q38" s="124"/>
    </row>
    <row r="39" spans="1:17" s="123" customFormat="1" x14ac:dyDescent="0.25">
      <c r="A39" s="1431"/>
      <c r="B39" s="1443"/>
      <c r="C39" s="387" t="str">
        <f>PENYELIA!C39</f>
        <v>Diastole</v>
      </c>
      <c r="D39" s="388"/>
      <c r="E39" s="389"/>
      <c r="F39" s="390">
        <f>PENYELIA!F39</f>
        <v>100</v>
      </c>
      <c r="G39" s="1267"/>
      <c r="H39" s="464">
        <f>ID!L61</f>
        <v>100.1</v>
      </c>
      <c r="I39" s="391">
        <f>ID!O61</f>
        <v>-9.9999999999994316E-2</v>
      </c>
      <c r="J39" s="1317"/>
      <c r="K39" s="1130">
        <f>ID!P61</f>
        <v>0.58889639603889332</v>
      </c>
      <c r="L39" s="211"/>
      <c r="M39" s="124"/>
      <c r="N39" s="749"/>
      <c r="O39" s="124"/>
      <c r="P39" s="124"/>
      <c r="Q39" s="124"/>
    </row>
    <row r="40" spans="1:17" s="123" customFormat="1" x14ac:dyDescent="0.25">
      <c r="A40" s="1431"/>
      <c r="B40" s="1442">
        <f>PENYELIA!B40</f>
        <v>5</v>
      </c>
      <c r="C40" s="387" t="str">
        <f>PENYELIA!C40</f>
        <v>Sistole</v>
      </c>
      <c r="D40" s="388"/>
      <c r="E40" s="389"/>
      <c r="F40" s="390">
        <f>PENYELIA!F40</f>
        <v>200</v>
      </c>
      <c r="G40" s="1266">
        <f>PENYELIA!G40</f>
        <v>80</v>
      </c>
      <c r="H40" s="622">
        <f>IF(AND(ID!$E$16="Bayi"),"",IF(AND(ID!$E$16="Anak"),"",ID!L63))</f>
        <v>194.91000009999999</v>
      </c>
      <c r="I40" s="391">
        <f>PENYELIA!I40</f>
        <v>5.0899999000000093</v>
      </c>
      <c r="J40" s="1317"/>
      <c r="K40" s="1130">
        <f>PENYELIA!K40</f>
        <v>0.58889639603889332</v>
      </c>
      <c r="L40" s="211"/>
      <c r="M40" s="124"/>
      <c r="N40" s="160" t="s">
        <v>249</v>
      </c>
      <c r="O40" s="124"/>
      <c r="P40" s="124"/>
      <c r="Q40" s="124"/>
    </row>
    <row r="41" spans="1:17" s="123" customFormat="1" x14ac:dyDescent="0.25">
      <c r="A41" s="1431"/>
      <c r="B41" s="1443"/>
      <c r="C41" s="387" t="str">
        <f>PENYELIA!C41</f>
        <v>Diastole</v>
      </c>
      <c r="D41" s="388"/>
      <c r="E41" s="389"/>
      <c r="F41" s="390">
        <f>PENYELIA!F41</f>
        <v>150</v>
      </c>
      <c r="G41" s="1267"/>
      <c r="H41" s="622">
        <f>IF(AND(ID!$E$16="Bayi"),"",IF(AND(ID!$E$16="Anak"),"",ID!L64))</f>
        <v>149.61199999999999</v>
      </c>
      <c r="I41" s="391">
        <f>PENYELIA!I41</f>
        <v>0.38800000000000523</v>
      </c>
      <c r="J41" s="1318"/>
      <c r="K41" s="1130">
        <f>PENYELIA!K41</f>
        <v>0.58889639603889332</v>
      </c>
      <c r="L41" s="211"/>
      <c r="M41" s="124"/>
      <c r="N41" s="160" t="s">
        <v>249</v>
      </c>
      <c r="O41" s="124"/>
      <c r="P41" s="124"/>
      <c r="Q41" s="124"/>
    </row>
    <row r="42" spans="1:17" ht="17.25" customHeight="1" x14ac:dyDescent="0.3">
      <c r="A42" s="750"/>
      <c r="B42" s="751"/>
      <c r="C42" s="751"/>
      <c r="D42" s="751"/>
      <c r="E42" s="751"/>
      <c r="F42" s="751"/>
      <c r="G42" s="751"/>
      <c r="H42" s="752"/>
      <c r="I42" s="752"/>
      <c r="J42" s="753"/>
      <c r="K42" s="753"/>
      <c r="L42" s="743"/>
      <c r="M42" s="743"/>
      <c r="N42" s="743"/>
      <c r="O42" s="743"/>
      <c r="P42" s="743"/>
      <c r="Q42" s="743"/>
    </row>
    <row r="43" spans="1:17" ht="17.25" customHeight="1" x14ac:dyDescent="0.3">
      <c r="A43" s="750"/>
      <c r="B43" s="249" t="s">
        <v>70</v>
      </c>
      <c r="C43" s="184"/>
      <c r="D43" s="185"/>
      <c r="E43" s="185"/>
      <c r="F43" s="186"/>
      <c r="G43" s="1131"/>
      <c r="H43" s="187"/>
      <c r="I43" s="754"/>
      <c r="J43" s="755"/>
      <c r="K43" s="755"/>
      <c r="L43" s="743"/>
      <c r="M43" s="743"/>
      <c r="N43" s="743"/>
      <c r="O43" s="743"/>
      <c r="P43" s="743"/>
      <c r="Q43" s="743"/>
    </row>
    <row r="44" spans="1:17" ht="18.75" customHeight="1" x14ac:dyDescent="0.3">
      <c r="A44" s="750"/>
      <c r="B44" s="1131"/>
      <c r="C44" s="184"/>
      <c r="D44" s="185"/>
      <c r="E44" s="185"/>
      <c r="F44" s="186"/>
      <c r="G44" s="1131"/>
      <c r="H44" s="187"/>
      <c r="I44" s="754"/>
      <c r="J44" s="755"/>
      <c r="K44" s="755"/>
      <c r="L44" s="743"/>
      <c r="M44" s="743"/>
      <c r="N44" s="743"/>
      <c r="O44" s="743"/>
      <c r="P44" s="743"/>
      <c r="Q44" s="743"/>
    </row>
    <row r="45" spans="1:17" ht="15.75" customHeight="1" x14ac:dyDescent="0.3">
      <c r="A45" s="750"/>
      <c r="B45" s="1266" t="s">
        <v>39</v>
      </c>
      <c r="C45" s="1462" t="s">
        <v>23</v>
      </c>
      <c r="D45" s="1463"/>
      <c r="E45" s="394"/>
      <c r="F45" s="1268" t="str">
        <f>PENYELIA!F45</f>
        <v>Setting standar (bpm)</v>
      </c>
      <c r="G45" s="1268" t="s">
        <v>155</v>
      </c>
      <c r="H45" s="1268" t="s">
        <v>156</v>
      </c>
      <c r="I45" s="1445" t="str">
        <f>PENYELIA!I45</f>
        <v>Penunjukan alat               (bpm)</v>
      </c>
      <c r="J45" s="1446" t="str">
        <f>PENYELIA!J45</f>
        <v>Koreksi relatif (%)</v>
      </c>
      <c r="K45" s="1297" t="str">
        <f>PENYELIA!K45</f>
        <v>Toleransi                         (%)</v>
      </c>
      <c r="L45" s="1433" t="str">
        <f>PENYELIA!L45</f>
        <v xml:space="preserve">Ketidakpastian pengukuran                         (%)                          </v>
      </c>
      <c r="M45" s="743"/>
      <c r="N45" s="743"/>
      <c r="O45" s="743"/>
      <c r="P45" s="743"/>
      <c r="Q45" s="743"/>
    </row>
    <row r="46" spans="1:17" ht="15.75" customHeight="1" x14ac:dyDescent="0.3">
      <c r="A46" s="750"/>
      <c r="B46" s="1278"/>
      <c r="C46" s="1464"/>
      <c r="D46" s="1465"/>
      <c r="E46" s="395"/>
      <c r="F46" s="1268"/>
      <c r="G46" s="1268"/>
      <c r="H46" s="1268"/>
      <c r="I46" s="1445"/>
      <c r="J46" s="1446"/>
      <c r="K46" s="1311"/>
      <c r="L46" s="1434"/>
      <c r="M46" s="743"/>
      <c r="N46" s="743"/>
      <c r="O46" s="743"/>
      <c r="P46" s="743"/>
      <c r="Q46" s="743"/>
    </row>
    <row r="47" spans="1:17" ht="15.75" customHeight="1" x14ac:dyDescent="0.3">
      <c r="A47" s="750"/>
      <c r="B47" s="1267"/>
      <c r="C47" s="1466"/>
      <c r="D47" s="1467"/>
      <c r="E47" s="395"/>
      <c r="F47" s="1268"/>
      <c r="G47" s="1268"/>
      <c r="H47" s="1268"/>
      <c r="I47" s="1445"/>
      <c r="J47" s="1446"/>
      <c r="K47" s="1444"/>
      <c r="L47" s="1435"/>
      <c r="M47" s="743"/>
      <c r="N47" s="743"/>
      <c r="O47" s="743"/>
      <c r="P47" s="743"/>
      <c r="Q47" s="743"/>
    </row>
    <row r="48" spans="1:17" ht="17.25" customHeight="1" x14ac:dyDescent="0.3">
      <c r="A48" s="750"/>
      <c r="B48" s="1266">
        <v>1</v>
      </c>
      <c r="C48" s="1468" t="s">
        <v>80</v>
      </c>
      <c r="D48" s="1469"/>
      <c r="E48" s="1470"/>
      <c r="F48" s="1127">
        <f>ID!D73</f>
        <v>60</v>
      </c>
      <c r="G48" s="1476">
        <f>ID!E73</f>
        <v>120</v>
      </c>
      <c r="H48" s="1476">
        <f>ID!F73</f>
        <v>80</v>
      </c>
      <c r="I48" s="624">
        <f>PENYELIA!I48</f>
        <v>60</v>
      </c>
      <c r="J48" s="396">
        <f>PENYELIA!J48</f>
        <v>0</v>
      </c>
      <c r="K48" s="1447" t="s">
        <v>272</v>
      </c>
      <c r="L48" s="396">
        <f>PENYELIA!L48</f>
        <v>0.96636845337887511</v>
      </c>
      <c r="M48" s="743"/>
      <c r="N48" s="743"/>
      <c r="O48" s="743"/>
      <c r="P48" s="743"/>
      <c r="Q48" s="743"/>
    </row>
    <row r="49" spans="1:26" ht="17.25" customHeight="1" x14ac:dyDescent="0.3">
      <c r="A49" s="750"/>
      <c r="B49" s="1278"/>
      <c r="C49" s="1471"/>
      <c r="D49" s="1472"/>
      <c r="E49" s="1431"/>
      <c r="F49" s="1127">
        <f>ID!D74</f>
        <v>120</v>
      </c>
      <c r="G49" s="1477"/>
      <c r="H49" s="1477"/>
      <c r="I49" s="624">
        <f>PENYELIA!I49</f>
        <v>121</v>
      </c>
      <c r="J49" s="396">
        <f>PENYELIA!J49</f>
        <v>-0.83333333333333337</v>
      </c>
      <c r="K49" s="1448"/>
      <c r="L49" s="396">
        <f>PENYELIA!L49</f>
        <v>0.47919096861762406</v>
      </c>
      <c r="M49" s="743"/>
      <c r="N49" s="743"/>
      <c r="O49" s="743"/>
      <c r="P49" s="743"/>
      <c r="Q49" s="743"/>
    </row>
    <row r="50" spans="1:26" ht="17.25" customHeight="1" x14ac:dyDescent="0.3">
      <c r="A50" s="750"/>
      <c r="B50" s="1267"/>
      <c r="C50" s="1473"/>
      <c r="D50" s="1474"/>
      <c r="E50" s="1475"/>
      <c r="F50" s="1127">
        <f>ID!D75</f>
        <v>180</v>
      </c>
      <c r="G50" s="1478"/>
      <c r="H50" s="1478"/>
      <c r="I50" s="624">
        <f>PENYELIA!I50</f>
        <v>179</v>
      </c>
      <c r="J50" s="396">
        <f>PENYELIA!J50</f>
        <v>0.55555555555555558</v>
      </c>
      <c r="K50" s="1449"/>
      <c r="L50" s="396">
        <f>PENYELIA!L50</f>
        <v>0.32392238660744421</v>
      </c>
      <c r="M50" s="743"/>
      <c r="O50" s="743"/>
      <c r="P50" s="743"/>
      <c r="Q50" s="743"/>
      <c r="R50" s="743"/>
      <c r="S50" s="743"/>
      <c r="T50" s="743"/>
      <c r="U50" s="743"/>
      <c r="V50" s="743"/>
      <c r="W50" s="743"/>
      <c r="X50" s="743"/>
      <c r="Y50" s="743"/>
      <c r="Z50" s="743"/>
    </row>
    <row r="51" spans="1:26" ht="6.75" customHeight="1" x14ac:dyDescent="0.3">
      <c r="A51" s="750"/>
      <c r="B51" s="750"/>
      <c r="C51" s="750"/>
      <c r="D51" s="750"/>
      <c r="E51" s="750"/>
      <c r="F51" s="750"/>
      <c r="G51" s="750"/>
      <c r="H51" s="754"/>
      <c r="I51" s="754"/>
      <c r="J51" s="755"/>
      <c r="K51" s="755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</row>
    <row r="52" spans="1:26" x14ac:dyDescent="0.3">
      <c r="A52" s="1139" t="s">
        <v>256</v>
      </c>
      <c r="B52" s="1139" t="s">
        <v>257</v>
      </c>
      <c r="C52" s="609"/>
      <c r="D52" s="1140"/>
      <c r="E52" s="1140"/>
      <c r="F52" s="1140"/>
      <c r="G52" s="1140"/>
      <c r="H52" s="610"/>
      <c r="I52" s="610"/>
      <c r="J52" s="611"/>
      <c r="K52" s="611"/>
      <c r="L52" s="756"/>
      <c r="M52" s="743"/>
      <c r="O52" s="743"/>
      <c r="P52" s="743"/>
      <c r="Q52" s="743"/>
      <c r="R52" s="743"/>
      <c r="S52" s="743"/>
      <c r="T52" s="743"/>
      <c r="U52" s="743"/>
      <c r="V52" s="743"/>
      <c r="W52" s="743"/>
      <c r="X52" s="743"/>
      <c r="Y52" s="743"/>
      <c r="Z52" s="743"/>
    </row>
    <row r="53" spans="1:26" x14ac:dyDescent="0.3">
      <c r="A53" s="143"/>
      <c r="B53" s="612" t="s">
        <v>273</v>
      </c>
      <c r="C53" s="1140"/>
      <c r="D53" s="1140"/>
      <c r="E53" s="1140"/>
      <c r="F53" s="1140"/>
      <c r="G53" s="1140"/>
      <c r="H53" s="610"/>
      <c r="I53" s="610"/>
      <c r="J53" s="611"/>
      <c r="K53" s="611"/>
      <c r="L53" s="756"/>
      <c r="M53" s="743"/>
      <c r="O53" s="743"/>
      <c r="P53" s="743"/>
      <c r="Q53" s="743"/>
      <c r="R53" s="743"/>
      <c r="S53" s="743"/>
      <c r="T53" s="743"/>
      <c r="U53" s="743"/>
      <c r="V53" s="743"/>
      <c r="W53" s="743"/>
      <c r="X53" s="743"/>
      <c r="Y53" s="743"/>
      <c r="Z53" s="743"/>
    </row>
    <row r="54" spans="1:26" x14ac:dyDescent="0.3">
      <c r="A54" s="143"/>
      <c r="B54" s="612" t="s">
        <v>274</v>
      </c>
      <c r="C54" s="1140"/>
      <c r="D54" s="1140"/>
      <c r="E54" s="1140"/>
      <c r="F54" s="1140"/>
      <c r="G54" s="1140"/>
      <c r="H54" s="610"/>
      <c r="I54" s="610"/>
      <c r="J54" s="611"/>
      <c r="K54" s="611"/>
      <c r="L54" s="756"/>
      <c r="M54" s="743"/>
      <c r="N54" s="743"/>
      <c r="O54" s="743"/>
      <c r="P54" s="743"/>
      <c r="Q54" s="743"/>
      <c r="R54" s="743"/>
      <c r="S54" s="743"/>
      <c r="T54" s="743"/>
      <c r="U54" s="743"/>
      <c r="V54" s="743"/>
      <c r="W54" s="743"/>
      <c r="X54" s="743"/>
      <c r="Y54" s="743"/>
      <c r="Z54" s="743"/>
    </row>
    <row r="55" spans="1:26" s="378" customFormat="1" x14ac:dyDescent="0.3">
      <c r="A55" s="138"/>
      <c r="B55" s="141" t="str">
        <f>PENYELIA!B55</f>
        <v>Hasil pengujian kinerja blood pressure monitor tertelusur ke satuan SI melalui PT. KALIMAN</v>
      </c>
      <c r="C55" s="139"/>
      <c r="D55" s="139"/>
      <c r="E55" s="139"/>
      <c r="F55" s="139"/>
      <c r="G55" s="139"/>
      <c r="H55" s="140"/>
      <c r="I55" s="140"/>
      <c r="J55" s="137"/>
      <c r="K55" s="137"/>
      <c r="L55" s="757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</row>
    <row r="56" spans="1:26" s="378" customFormat="1" x14ac:dyDescent="0.3">
      <c r="A56" s="138"/>
      <c r="B56" s="1104" t="str">
        <f>PENYELIA!B56</f>
        <v/>
      </c>
      <c r="C56" s="1100"/>
      <c r="D56" s="1100"/>
      <c r="E56" s="1100"/>
      <c r="F56" s="1100"/>
      <c r="G56" s="1100"/>
      <c r="H56" s="1101"/>
      <c r="I56" s="1101"/>
      <c r="J56" s="137"/>
      <c r="K56" s="137"/>
      <c r="L56" s="757"/>
      <c r="M56" s="746"/>
      <c r="N56" s="746"/>
      <c r="O56" s="746"/>
      <c r="P56" s="746"/>
      <c r="Q56" s="746"/>
      <c r="R56" s="746"/>
      <c r="S56" s="746"/>
      <c r="T56" s="746"/>
      <c r="U56" s="746"/>
      <c r="V56" s="746"/>
      <c r="W56" s="746"/>
      <c r="X56" s="746"/>
      <c r="Y56" s="746"/>
      <c r="Z56" s="746"/>
    </row>
    <row r="57" spans="1:26" s="378" customFormat="1" x14ac:dyDescent="0.3">
      <c r="A57" s="138"/>
      <c r="B57" s="1099" t="str">
        <f>PENYELIA!B57</f>
        <v>Catu daya menggunakan baterai</v>
      </c>
      <c r="C57" s="1100"/>
      <c r="D57" s="1100"/>
      <c r="E57" s="1100"/>
      <c r="F57" s="1100"/>
      <c r="G57" s="1100"/>
      <c r="H57" s="1101"/>
      <c r="I57" s="1101"/>
      <c r="J57" s="137"/>
      <c r="K57" s="137"/>
      <c r="L57" s="757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</row>
    <row r="58" spans="1:26" s="378" customFormat="1" ht="15" customHeight="1" x14ac:dyDescent="0.3">
      <c r="A58" s="138"/>
      <c r="B58" s="1102" t="str">
        <f>PENYELIA!B58</f>
        <v/>
      </c>
      <c r="C58" s="1100"/>
      <c r="D58" s="1100"/>
      <c r="E58" s="1100"/>
      <c r="F58" s="1100"/>
      <c r="G58" s="1100"/>
      <c r="H58" s="1101"/>
      <c r="I58" s="1101"/>
      <c r="J58" s="137"/>
      <c r="K58" s="137"/>
      <c r="L58" s="757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</row>
    <row r="59" spans="1:26" s="378" customFormat="1" ht="15" customHeight="1" x14ac:dyDescent="0.3">
      <c r="A59" s="138"/>
      <c r="B59" s="141"/>
      <c r="C59" s="139"/>
      <c r="D59" s="139"/>
      <c r="E59" s="139"/>
      <c r="F59" s="139"/>
      <c r="G59" s="139"/>
      <c r="H59" s="140"/>
      <c r="I59" s="140"/>
      <c r="J59" s="137"/>
      <c r="K59" s="137"/>
      <c r="L59" s="757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</row>
    <row r="60" spans="1:26" x14ac:dyDescent="0.3">
      <c r="A60" s="613" t="s">
        <v>260</v>
      </c>
      <c r="B60" s="1452" t="s">
        <v>161</v>
      </c>
      <c r="C60" s="1452"/>
      <c r="D60" s="1452"/>
      <c r="E60" s="1452"/>
      <c r="F60" s="1452"/>
      <c r="G60" s="1452"/>
      <c r="H60" s="142"/>
      <c r="I60" s="142"/>
      <c r="J60" s="611"/>
      <c r="K60" s="611"/>
      <c r="L60" s="756"/>
      <c r="M60" s="743"/>
      <c r="N60" s="743"/>
      <c r="O60" s="743"/>
      <c r="P60" s="743"/>
      <c r="Q60" s="743"/>
      <c r="R60" s="743"/>
      <c r="S60" s="743"/>
      <c r="T60" s="743"/>
      <c r="U60" s="743"/>
      <c r="V60" s="743"/>
      <c r="W60" s="743"/>
      <c r="X60" s="743"/>
      <c r="Y60" s="743"/>
      <c r="Z60" s="743"/>
    </row>
    <row r="61" spans="1:26" x14ac:dyDescent="0.3">
      <c r="A61" s="143"/>
      <c r="B61" s="614" t="str">
        <f>ID!B88</f>
        <v>Vital Signs Simulator, Merek : Rigel, Model : UNI-SIM, SN : 05J-0804</v>
      </c>
      <c r="C61" s="142"/>
      <c r="D61" s="614"/>
      <c r="E61" s="142"/>
      <c r="F61" s="1140"/>
      <c r="G61" s="1140"/>
      <c r="H61" s="610"/>
      <c r="I61" s="610"/>
      <c r="J61" s="611"/>
      <c r="K61" s="611"/>
      <c r="L61" s="756"/>
      <c r="M61" s="743"/>
      <c r="N61" s="743"/>
      <c r="O61" s="743"/>
      <c r="P61" s="743"/>
      <c r="Q61" s="758"/>
      <c r="R61" s="758"/>
      <c r="S61" s="758"/>
      <c r="T61" s="758"/>
      <c r="U61" s="758"/>
      <c r="V61" s="758"/>
      <c r="W61" s="758"/>
      <c r="X61" s="758"/>
      <c r="Y61" s="758"/>
      <c r="Z61" s="758"/>
    </row>
    <row r="62" spans="1:26" ht="10.5" customHeight="1" x14ac:dyDescent="0.3">
      <c r="A62" s="1137"/>
      <c r="B62" s="615" t="str">
        <f>PENYELIA!B62</f>
        <v>Electrical Safety Analyzer, Merek : FLUKE, Model : ESA615, SN : 2853078</v>
      </c>
      <c r="C62" s="142"/>
      <c r="D62" s="614"/>
      <c r="E62" s="142"/>
      <c r="F62" s="142"/>
      <c r="G62" s="142"/>
      <c r="H62" s="142"/>
      <c r="I62" s="142"/>
      <c r="J62" s="611"/>
      <c r="K62" s="611"/>
      <c r="L62" s="756"/>
      <c r="M62" s="743"/>
      <c r="N62" s="743"/>
      <c r="O62" s="743"/>
      <c r="P62" s="743"/>
      <c r="Q62" s="758"/>
      <c r="R62" s="758"/>
      <c r="S62" s="758"/>
      <c r="T62" s="758"/>
      <c r="U62" s="758"/>
      <c r="V62" s="758"/>
      <c r="W62" s="758"/>
      <c r="X62" s="758"/>
      <c r="Y62" s="758"/>
      <c r="Z62" s="758"/>
    </row>
    <row r="63" spans="1:26" x14ac:dyDescent="0.3">
      <c r="A63" s="613" t="s">
        <v>262</v>
      </c>
      <c r="B63" s="616" t="s">
        <v>263</v>
      </c>
      <c r="C63" s="617"/>
      <c r="D63" s="614"/>
      <c r="E63" s="142"/>
      <c r="F63" s="142"/>
      <c r="G63" s="142"/>
      <c r="H63" s="142"/>
      <c r="I63" s="142"/>
      <c r="J63" s="611"/>
      <c r="K63" s="611"/>
      <c r="L63" s="756"/>
      <c r="M63" s="743"/>
      <c r="N63" s="743"/>
      <c r="O63" s="743"/>
      <c r="P63" s="743"/>
      <c r="Q63" s="743"/>
      <c r="R63" s="743"/>
      <c r="S63" s="743"/>
      <c r="T63" s="743"/>
      <c r="U63" s="743"/>
      <c r="V63" s="743"/>
      <c r="W63" s="743"/>
      <c r="X63" s="743"/>
      <c r="Y63" s="743"/>
      <c r="Z63" s="743"/>
    </row>
    <row r="64" spans="1:26" s="399" customFormat="1" ht="30.75" customHeight="1" x14ac:dyDescent="0.3">
      <c r="A64" s="618"/>
      <c r="B64" s="1430" t="str">
        <f>PENYELIA!B64</f>
        <v>Alat yang dikalibrasi dalam batas toleransi dan dinyatakan LAIK PAKAI, dimana hasil atau skor akhir sama dengan atau melampaui 70% berdasarkan Keputusan Direktur Jenderal Pelayanan Kesehatan No : HK.02.02/V/0412/2020</v>
      </c>
      <c r="C64" s="1430"/>
      <c r="D64" s="1430"/>
      <c r="E64" s="1430"/>
      <c r="F64" s="1430"/>
      <c r="G64" s="1430"/>
      <c r="H64" s="1430"/>
      <c r="I64" s="1430"/>
      <c r="J64" s="1430"/>
      <c r="K64" s="1430"/>
      <c r="L64" s="1430"/>
      <c r="M64" s="759"/>
      <c r="N64" s="759"/>
      <c r="O64" s="759"/>
      <c r="P64" s="759"/>
      <c r="Q64" s="759"/>
      <c r="R64" s="759"/>
      <c r="S64" s="759"/>
      <c r="T64" s="759"/>
      <c r="U64" s="759"/>
      <c r="V64" s="759"/>
      <c r="W64" s="759"/>
      <c r="X64" s="759"/>
      <c r="Y64" s="759"/>
      <c r="Z64" s="759"/>
    </row>
    <row r="65" spans="1:26" ht="6" customHeight="1" x14ac:dyDescent="0.3">
      <c r="A65" s="1453"/>
      <c r="B65" s="1453"/>
      <c r="C65" s="1453"/>
      <c r="D65" s="1453"/>
      <c r="E65" s="1453"/>
      <c r="F65" s="1453"/>
      <c r="G65" s="1453"/>
      <c r="H65" s="142"/>
      <c r="I65" s="142"/>
      <c r="J65" s="611"/>
      <c r="K65" s="611"/>
      <c r="L65" s="756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</row>
    <row r="66" spans="1:26" x14ac:dyDescent="0.3">
      <c r="A66" s="613" t="s">
        <v>264</v>
      </c>
      <c r="B66" s="1452" t="str">
        <f>PENYELIA!B66</f>
        <v>Petugas kalibrasi</v>
      </c>
      <c r="C66" s="1452"/>
      <c r="D66" s="1452"/>
      <c r="E66" s="1452"/>
      <c r="F66" s="1452"/>
      <c r="G66" s="1452"/>
      <c r="H66" s="142"/>
      <c r="I66" s="142"/>
      <c r="J66" s="611"/>
      <c r="K66" s="611"/>
      <c r="L66" s="756"/>
      <c r="M66" s="743"/>
      <c r="N66" s="39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</row>
    <row r="67" spans="1:26" x14ac:dyDescent="0.3">
      <c r="A67" s="143"/>
      <c r="B67" s="1450" t="str">
        <f>ID!E15</f>
        <v>Wardimanul Abrar</v>
      </c>
      <c r="C67" s="1450"/>
      <c r="D67" s="1450"/>
      <c r="E67" s="1450"/>
      <c r="F67" s="1450"/>
      <c r="G67" s="1450"/>
      <c r="H67" s="142"/>
      <c r="I67" s="142"/>
      <c r="J67" s="611"/>
      <c r="K67" s="611"/>
      <c r="L67" s="756"/>
      <c r="M67" s="743"/>
      <c r="N67" s="393"/>
      <c r="O67" s="743"/>
      <c r="P67" s="743"/>
      <c r="Q67" s="743"/>
      <c r="R67" s="743"/>
    </row>
    <row r="68" spans="1:26" ht="7.5" customHeight="1" x14ac:dyDescent="0.3">
      <c r="A68" s="143"/>
      <c r="B68" s="1137"/>
      <c r="C68" s="1137"/>
      <c r="D68" s="1137"/>
      <c r="E68" s="1137"/>
      <c r="F68" s="1137"/>
      <c r="G68" s="1137"/>
      <c r="H68" s="142"/>
      <c r="I68" s="142"/>
      <c r="J68" s="611"/>
      <c r="K68" s="611"/>
      <c r="L68" s="756"/>
      <c r="M68" s="743"/>
      <c r="N68" s="393"/>
      <c r="O68" s="743"/>
      <c r="P68" s="743"/>
      <c r="Q68" s="743"/>
      <c r="R68" s="743"/>
    </row>
    <row r="69" spans="1:26" x14ac:dyDescent="0.3">
      <c r="A69" s="143"/>
      <c r="B69" s="1137"/>
      <c r="C69" s="1137"/>
      <c r="D69" s="1137"/>
      <c r="E69" s="1137"/>
      <c r="F69" s="1137"/>
      <c r="G69" s="1137"/>
      <c r="H69" s="142"/>
      <c r="I69" s="112" t="s">
        <v>275</v>
      </c>
      <c r="J69" s="611"/>
      <c r="K69" s="611"/>
      <c r="L69" s="756"/>
      <c r="M69" s="743"/>
      <c r="N69" s="393"/>
      <c r="O69" s="743"/>
      <c r="P69" s="743"/>
      <c r="Q69" s="743"/>
      <c r="R69" s="743"/>
    </row>
    <row r="70" spans="1:26" x14ac:dyDescent="0.3">
      <c r="A70" s="143"/>
      <c r="B70" s="1137"/>
      <c r="C70" s="1137"/>
      <c r="D70" s="1137"/>
      <c r="E70" s="1137"/>
      <c r="F70" s="1137"/>
      <c r="G70" s="1137"/>
      <c r="H70" s="142"/>
      <c r="I70" s="112" t="s">
        <v>276</v>
      </c>
      <c r="J70" s="112"/>
      <c r="K70" s="611"/>
      <c r="L70" s="756"/>
      <c r="M70" s="743"/>
      <c r="N70" s="393"/>
      <c r="O70" s="743"/>
      <c r="P70" s="743"/>
      <c r="Q70" s="743"/>
      <c r="R70" s="743"/>
    </row>
    <row r="71" spans="1:26" x14ac:dyDescent="0.3">
      <c r="A71" s="143"/>
      <c r="B71" s="1137"/>
      <c r="C71" s="1137"/>
      <c r="D71" s="1137"/>
      <c r="E71" s="1137"/>
      <c r="F71" s="1137"/>
      <c r="G71" s="1137"/>
      <c r="H71" s="142"/>
      <c r="I71" s="112" t="s">
        <v>277</v>
      </c>
      <c r="J71" s="112"/>
      <c r="K71" s="611"/>
      <c r="L71" s="756"/>
      <c r="M71" s="743"/>
      <c r="N71" s="393"/>
      <c r="O71" s="743"/>
      <c r="P71" s="743"/>
      <c r="Q71" s="743"/>
      <c r="R71" s="743"/>
    </row>
    <row r="72" spans="1:26" x14ac:dyDescent="0.3">
      <c r="A72" s="143"/>
      <c r="B72" s="1137"/>
      <c r="C72" s="1137"/>
      <c r="D72" s="1137"/>
      <c r="E72" s="1137"/>
      <c r="F72" s="1137"/>
      <c r="G72" s="1137"/>
      <c r="H72" s="142"/>
      <c r="I72" s="112"/>
      <c r="J72" s="112"/>
      <c r="K72" s="611"/>
      <c r="L72" s="756"/>
      <c r="M72" s="743"/>
      <c r="N72" s="393"/>
      <c r="O72" s="743"/>
      <c r="P72" s="743"/>
      <c r="Q72" s="743"/>
      <c r="R72" s="743"/>
    </row>
    <row r="73" spans="1:26" x14ac:dyDescent="0.3">
      <c r="A73" s="143"/>
      <c r="B73" s="1137"/>
      <c r="C73" s="1137"/>
      <c r="D73" s="1137"/>
      <c r="E73" s="1137"/>
      <c r="F73" s="1137"/>
      <c r="G73" s="1137"/>
      <c r="H73" s="142"/>
      <c r="I73" s="112"/>
      <c r="J73" s="112"/>
      <c r="K73" s="611"/>
      <c r="L73" s="756"/>
      <c r="M73" s="743"/>
      <c r="N73" s="393"/>
      <c r="O73" s="743"/>
      <c r="P73" s="743"/>
      <c r="Q73" s="743"/>
      <c r="R73" s="743"/>
    </row>
    <row r="74" spans="1:26" x14ac:dyDescent="0.3">
      <c r="A74" s="143"/>
      <c r="B74" s="1137"/>
      <c r="C74" s="1137"/>
      <c r="D74" s="1137"/>
      <c r="E74" s="1137"/>
      <c r="F74" s="1137"/>
      <c r="G74" s="1137"/>
      <c r="H74" s="142"/>
      <c r="I74" s="112"/>
      <c r="J74" s="112"/>
      <c r="K74" s="611"/>
      <c r="L74" s="756"/>
      <c r="M74" s="743"/>
      <c r="N74" s="393"/>
      <c r="O74" s="743"/>
      <c r="P74" s="743"/>
      <c r="Q74" s="743"/>
      <c r="R74" s="743"/>
    </row>
    <row r="75" spans="1:26" x14ac:dyDescent="0.3">
      <c r="A75" s="143"/>
      <c r="B75" s="1137"/>
      <c r="C75" s="1137"/>
      <c r="D75" s="1137"/>
      <c r="E75" s="1137"/>
      <c r="F75" s="1137"/>
      <c r="G75" s="1137"/>
      <c r="H75" s="142"/>
      <c r="I75" s="619"/>
      <c r="J75" s="112"/>
      <c r="K75" s="611"/>
      <c r="L75" s="756"/>
      <c r="M75" s="743"/>
      <c r="N75" s="393"/>
      <c r="O75" s="743"/>
      <c r="P75" s="743"/>
      <c r="Q75" s="381"/>
      <c r="R75" s="400"/>
    </row>
    <row r="76" spans="1:26" x14ac:dyDescent="0.3">
      <c r="A76" s="143"/>
      <c r="B76" s="1137"/>
      <c r="C76" s="1137"/>
      <c r="D76" s="1137"/>
      <c r="E76" s="1137"/>
      <c r="F76" s="1137"/>
      <c r="G76" s="1137"/>
      <c r="H76" s="142"/>
      <c r="I76" s="620" t="s">
        <v>455</v>
      </c>
      <c r="J76" s="112"/>
      <c r="K76" s="611"/>
      <c r="L76" s="756"/>
      <c r="M76" s="743"/>
      <c r="N76" s="743"/>
      <c r="O76" s="743"/>
      <c r="P76" s="743"/>
      <c r="Q76" s="401"/>
      <c r="R76" s="400"/>
    </row>
    <row r="77" spans="1:26" x14ac:dyDescent="0.3">
      <c r="A77" s="143"/>
      <c r="B77" s="1137"/>
      <c r="C77" s="1137"/>
      <c r="D77" s="1137"/>
      <c r="E77" s="1137"/>
      <c r="F77" s="1137"/>
      <c r="G77" s="1137"/>
      <c r="H77" s="142"/>
      <c r="I77" s="621" t="s">
        <v>278</v>
      </c>
      <c r="J77" s="144"/>
      <c r="K77" s="144"/>
      <c r="L77" s="756"/>
      <c r="M77" s="743"/>
      <c r="N77" s="743"/>
      <c r="O77" s="743"/>
      <c r="P77" s="743"/>
      <c r="Q77" s="743"/>
      <c r="R77" s="743"/>
    </row>
    <row r="78" spans="1:26" ht="18" x14ac:dyDescent="0.35">
      <c r="A78" s="143"/>
      <c r="B78" s="1137"/>
      <c r="C78" s="1137"/>
      <c r="D78" s="1137"/>
      <c r="E78" s="1137"/>
      <c r="F78" s="756"/>
      <c r="G78" s="1137"/>
      <c r="H78" s="142"/>
      <c r="I78" s="756"/>
      <c r="J78" s="144"/>
      <c r="K78" s="144"/>
      <c r="L78" s="191"/>
      <c r="M78" s="743"/>
      <c r="N78" s="161"/>
      <c r="O78" s="743"/>
      <c r="P78" s="743"/>
      <c r="Q78" s="743"/>
      <c r="R78" s="743"/>
    </row>
    <row r="79" spans="1:26" x14ac:dyDescent="0.3">
      <c r="A79" s="143"/>
      <c r="B79" s="1137"/>
      <c r="C79" s="1137"/>
      <c r="D79" s="1137"/>
      <c r="E79" s="1137"/>
      <c r="F79" s="410"/>
      <c r="G79" s="1137"/>
      <c r="H79" s="142"/>
      <c r="I79" s="756"/>
      <c r="J79" s="144"/>
      <c r="K79" s="144"/>
      <c r="L79" s="756"/>
      <c r="M79" s="743"/>
      <c r="N79" s="160"/>
      <c r="O79" s="743"/>
      <c r="P79" s="743"/>
      <c r="Q79" s="743"/>
      <c r="R79" s="743"/>
    </row>
    <row r="80" spans="1:26" x14ac:dyDescent="0.3">
      <c r="A80" s="143"/>
      <c r="B80" s="1137"/>
      <c r="C80" s="1137"/>
      <c r="D80" s="1137"/>
      <c r="E80" s="1137"/>
      <c r="F80" s="411"/>
      <c r="G80" s="1137"/>
      <c r="H80" s="142"/>
      <c r="I80" s="756"/>
      <c r="J80" s="144"/>
      <c r="K80" s="144"/>
      <c r="L80" s="756"/>
      <c r="M80" s="743"/>
      <c r="N80" s="160"/>
      <c r="O80" s="743"/>
      <c r="P80" s="743"/>
      <c r="Q80" s="743"/>
      <c r="R80" s="743"/>
    </row>
    <row r="81" spans="1:18" x14ac:dyDescent="0.3">
      <c r="A81" s="143"/>
      <c r="B81" s="1137"/>
      <c r="C81" s="1137"/>
      <c r="D81" s="1137"/>
      <c r="E81" s="1137"/>
      <c r="F81" s="410"/>
      <c r="G81" s="1137"/>
      <c r="H81" s="142"/>
      <c r="I81" s="756"/>
      <c r="J81" s="144"/>
      <c r="K81" s="144"/>
      <c r="L81" s="756"/>
      <c r="M81" s="743"/>
      <c r="N81" s="160"/>
      <c r="O81" s="743"/>
      <c r="P81" s="743"/>
      <c r="Q81" s="743"/>
      <c r="R81" s="743"/>
    </row>
    <row r="82" spans="1:18" ht="18" x14ac:dyDescent="0.35">
      <c r="A82" s="397"/>
      <c r="B82" s="1136"/>
      <c r="C82" s="1136"/>
      <c r="D82" s="1136"/>
      <c r="E82" s="1136"/>
      <c r="F82" s="405"/>
      <c r="G82" s="1136"/>
      <c r="H82" s="398"/>
      <c r="I82" s="402"/>
      <c r="J82" s="403"/>
      <c r="K82" s="153"/>
      <c r="L82" s="743"/>
      <c r="M82" s="743"/>
      <c r="N82" s="161"/>
      <c r="O82" s="743"/>
      <c r="P82" s="743"/>
      <c r="Q82" s="743"/>
      <c r="R82" s="743"/>
    </row>
    <row r="83" spans="1:18" x14ac:dyDescent="0.3">
      <c r="A83" s="397"/>
      <c r="B83" s="1136"/>
      <c r="C83" s="1136"/>
      <c r="D83" s="1136"/>
      <c r="E83" s="1136"/>
      <c r="F83" s="406"/>
      <c r="G83" s="1136"/>
      <c r="H83" s="398"/>
      <c r="I83" s="402"/>
      <c r="J83" s="403"/>
      <c r="K83" s="743"/>
      <c r="L83" s="404"/>
      <c r="M83" s="154"/>
      <c r="N83" s="154"/>
    </row>
    <row r="84" spans="1:18" x14ac:dyDescent="0.3">
      <c r="A84" s="760"/>
      <c r="B84" s="745"/>
      <c r="C84" s="745"/>
      <c r="D84" s="745"/>
      <c r="E84" s="745"/>
      <c r="F84" s="407"/>
      <c r="G84" s="745"/>
      <c r="H84" s="761"/>
      <c r="I84" s="400"/>
      <c r="J84" s="408"/>
      <c r="K84" s="743"/>
      <c r="L84" s="743"/>
      <c r="M84" s="743"/>
      <c r="N84" s="393"/>
    </row>
    <row r="85" spans="1:18" x14ac:dyDescent="0.3">
      <c r="A85" s="760"/>
      <c r="B85" s="745"/>
      <c r="C85" s="745"/>
      <c r="D85" s="745"/>
      <c r="E85" s="745"/>
      <c r="F85" s="745"/>
      <c r="G85" s="745"/>
      <c r="H85" s="761"/>
      <c r="I85" s="761"/>
      <c r="J85" s="743"/>
      <c r="K85" s="154"/>
      <c r="L85" s="743"/>
      <c r="M85" s="743"/>
      <c r="N85" s="393"/>
    </row>
    <row r="86" spans="1:18" x14ac:dyDescent="0.3">
      <c r="A86" s="743"/>
      <c r="B86" s="743"/>
      <c r="C86" s="743"/>
      <c r="D86" s="743"/>
      <c r="E86" s="743"/>
      <c r="F86" s="743"/>
      <c r="G86" s="743"/>
      <c r="H86" s="743"/>
      <c r="I86" s="743"/>
      <c r="J86" s="743"/>
      <c r="K86" s="154"/>
      <c r="L86" s="743"/>
      <c r="M86" s="743"/>
      <c r="N86" s="743"/>
    </row>
    <row r="87" spans="1:18" x14ac:dyDescent="0.3">
      <c r="A87" s="373"/>
      <c r="B87" s="743"/>
      <c r="C87" s="743"/>
      <c r="D87" s="743"/>
      <c r="E87" s="743"/>
      <c r="F87" s="743"/>
      <c r="G87" s="743"/>
      <c r="H87" s="743"/>
      <c r="I87" s="743"/>
      <c r="J87" s="743"/>
      <c r="K87" s="755"/>
      <c r="L87" s="743"/>
      <c r="M87" s="743"/>
      <c r="N87" s="743"/>
    </row>
    <row r="88" spans="1:18" x14ac:dyDescent="0.3">
      <c r="A88" s="373"/>
      <c r="B88" s="743"/>
      <c r="C88" s="743"/>
      <c r="D88" s="743"/>
      <c r="E88" s="743"/>
      <c r="F88" s="743"/>
      <c r="G88" s="743"/>
      <c r="H88" s="743"/>
      <c r="I88" s="743"/>
      <c r="J88" s="743"/>
      <c r="K88" s="154"/>
      <c r="L88" s="743"/>
      <c r="M88" s="743"/>
      <c r="N88" s="743"/>
    </row>
    <row r="89" spans="1:18" x14ac:dyDescent="0.3">
      <c r="A89" s="373"/>
      <c r="B89" s="743"/>
      <c r="C89" s="743"/>
      <c r="D89" s="743"/>
      <c r="E89" s="743"/>
      <c r="F89" s="743"/>
      <c r="G89" s="743"/>
      <c r="H89" s="743"/>
      <c r="I89" s="743"/>
      <c r="J89" s="743"/>
      <c r="K89" s="154"/>
      <c r="L89" s="743"/>
      <c r="M89" s="743"/>
      <c r="N89" s="743"/>
    </row>
    <row r="216" spans="1:6" x14ac:dyDescent="0.3">
      <c r="A216" s="743"/>
      <c r="B216" s="743"/>
      <c r="C216" s="743"/>
      <c r="D216" s="743"/>
      <c r="E216" s="743"/>
      <c r="F216" s="762"/>
    </row>
  </sheetData>
  <sheetProtection formatCells="0" formatColumns="0" formatRows="0" insertColumns="0" insertRows="0" deleteColumns="0" deleteRows="0"/>
  <mergeCells count="59">
    <mergeCell ref="B60:G60"/>
    <mergeCell ref="B64:L64"/>
    <mergeCell ref="A65:G65"/>
    <mergeCell ref="B66:G66"/>
    <mergeCell ref="B67:G67"/>
    <mergeCell ref="J45:J47"/>
    <mergeCell ref="K45:K47"/>
    <mergeCell ref="L45:L47"/>
    <mergeCell ref="B48:B50"/>
    <mergeCell ref="C48:E50"/>
    <mergeCell ref="G48:G50"/>
    <mergeCell ref="H48:H50"/>
    <mergeCell ref="K48:K50"/>
    <mergeCell ref="B45:B47"/>
    <mergeCell ref="C45:D47"/>
    <mergeCell ref="F45:F47"/>
    <mergeCell ref="G45:G47"/>
    <mergeCell ref="H45:H47"/>
    <mergeCell ref="I45:I47"/>
    <mergeCell ref="P34:Q34"/>
    <mergeCell ref="A36:A37"/>
    <mergeCell ref="B36:B37"/>
    <mergeCell ref="G36:G37"/>
    <mergeCell ref="A38:A39"/>
    <mergeCell ref="B38:B39"/>
    <mergeCell ref="G38:G39"/>
    <mergeCell ref="I29:I31"/>
    <mergeCell ref="J29:J31"/>
    <mergeCell ref="K29:K31"/>
    <mergeCell ref="B34:B35"/>
    <mergeCell ref="G34:G35"/>
    <mergeCell ref="F29:F31"/>
    <mergeCell ref="G29:G31"/>
    <mergeCell ref="H29:H31"/>
    <mergeCell ref="A32:A33"/>
    <mergeCell ref="B32:B33"/>
    <mergeCell ref="G32:G33"/>
    <mergeCell ref="J32:J41"/>
    <mergeCell ref="A34:A35"/>
    <mergeCell ref="A40:A41"/>
    <mergeCell ref="B40:B41"/>
    <mergeCell ref="G40:G41"/>
    <mergeCell ref="A29:A31"/>
    <mergeCell ref="B29:B31"/>
    <mergeCell ref="C29:C31"/>
    <mergeCell ref="D29:D31"/>
    <mergeCell ref="E29:E31"/>
    <mergeCell ref="I22:J22"/>
    <mergeCell ref="A1:L1"/>
    <mergeCell ref="A2:L2"/>
    <mergeCell ref="A4:C4"/>
    <mergeCell ref="A5:C5"/>
    <mergeCell ref="A6:C6"/>
    <mergeCell ref="A9:C9"/>
    <mergeCell ref="B13:G13"/>
    <mergeCell ref="B14:C14"/>
    <mergeCell ref="B15:C15"/>
    <mergeCell ref="A20:G20"/>
    <mergeCell ref="B22:H22"/>
  </mergeCells>
  <printOptions horizontalCentered="1"/>
  <pageMargins left="0.511811023622047" right="0.23622047244094499" top="0.511811023622047" bottom="0.39370078740157499" header="0.23622047244094499" footer="0.23622047244094499"/>
  <pageSetup paperSize="9" scale="64" orientation="portrait" horizontalDpi="4294967293" r:id="rId1"/>
  <headerFooter scaleWithDoc="0" alignWithMargins="0">
    <oddHeader>&amp;R&amp;6T.014-18</oddHeader>
    <oddFooter xml:space="preserve">&amp;C&amp;6Dilarang keras mengutip/memperbanyak dan atau mempublikasikan isi sertifikat ini tanpa seijin LPFK Banjarbaru
Sertifikat ini sah apabila dibubuhi cap LPFK Banjarbaru dan ditandatangani pejabat yang berwenang&amp;R&amp;6Halaman 2 dari 2 halaman&amp;10
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18EA-EE78-435C-97DC-E56A7C4F3325}">
  <sheetPr codeName="Sheet25">
    <tabColor rgb="FF00B050"/>
  </sheetPr>
  <dimension ref="A1:O61"/>
  <sheetViews>
    <sheetView topLeftCell="A7" zoomScaleNormal="100" zoomScaleSheetLayoutView="90" workbookViewId="0">
      <selection activeCell="G28" sqref="G28"/>
    </sheetView>
  </sheetViews>
  <sheetFormatPr defaultColWidth="9.109375" defaultRowHeight="13.2" x14ac:dyDescent="0.25"/>
  <cols>
    <col min="1" max="1" width="18.109375" style="1188" customWidth="1"/>
    <col min="2" max="2" width="26.109375" style="1188" customWidth="1"/>
    <col min="3" max="3" width="3.109375" style="1188" customWidth="1"/>
    <col min="4" max="4" width="11.5546875" style="1188" customWidth="1"/>
    <col min="5" max="5" width="9.44140625" style="1188" customWidth="1"/>
    <col min="6" max="6" width="22.5546875" style="1188" customWidth="1"/>
    <col min="7" max="7" width="9.109375" style="1188"/>
    <col min="8" max="8" width="18.88671875" style="1188" customWidth="1"/>
    <col min="9" max="9" width="12.109375" style="1188" customWidth="1"/>
    <col min="10" max="16384" width="9.109375" style="1188"/>
  </cols>
  <sheetData>
    <row r="1" spans="1:15" x14ac:dyDescent="0.25">
      <c r="H1" s="1189"/>
      <c r="I1" s="1190"/>
      <c r="J1" s="1190"/>
    </row>
    <row r="2" spans="1:15" ht="30" x14ac:dyDescent="0.25">
      <c r="A2" s="1483" t="str">
        <f>B46</f>
        <v>SERTIFIKAT KALIBRASI</v>
      </c>
      <c r="B2" s="1483"/>
      <c r="C2" s="1483"/>
      <c r="D2" s="1483"/>
      <c r="E2" s="1483"/>
      <c r="F2" s="1483"/>
      <c r="H2" s="1191"/>
      <c r="I2" s="1484"/>
      <c r="J2" s="1485"/>
    </row>
    <row r="3" spans="1:15" ht="13.8" x14ac:dyDescent="0.25">
      <c r="A3" s="1486" t="str">
        <f>"Nomor : 9 /"&amp;" "&amp;ID!I2</f>
        <v>Nomor : 9 / 2 / II - 20 / E - 015.38 DL</v>
      </c>
      <c r="B3" s="1486"/>
      <c r="C3" s="1486"/>
      <c r="D3" s="1486"/>
      <c r="E3" s="1486"/>
      <c r="F3" s="1486"/>
    </row>
    <row r="4" spans="1:15" x14ac:dyDescent="0.25">
      <c r="C4" s="1188" t="s">
        <v>534</v>
      </c>
      <c r="D4" s="1487" t="s">
        <v>839</v>
      </c>
      <c r="E4" s="1487"/>
      <c r="F4" s="1487"/>
      <c r="H4" s="1192"/>
      <c r="I4" s="1192"/>
      <c r="J4" s="1192"/>
    </row>
    <row r="5" spans="1:15" ht="14.4" x14ac:dyDescent="0.3">
      <c r="H5" s="1488"/>
      <c r="I5" s="1488"/>
      <c r="J5" s="1488"/>
    </row>
    <row r="6" spans="1:15" ht="13.8" x14ac:dyDescent="0.25">
      <c r="A6" s="1193" t="s">
        <v>537</v>
      </c>
      <c r="B6" s="1194" t="s">
        <v>608</v>
      </c>
      <c r="C6" s="1195"/>
      <c r="D6" s="1481" t="s">
        <v>539</v>
      </c>
      <c r="E6" s="1482"/>
      <c r="F6" s="1196" t="str">
        <f>MID(A3,SEARCH("E - ",A3),LEN(A3))</f>
        <v>E - 015.38 DL</v>
      </c>
    </row>
    <row r="7" spans="1:15" ht="13.8" x14ac:dyDescent="0.25">
      <c r="A7" s="1197"/>
      <c r="B7" s="1197"/>
      <c r="C7" s="1197"/>
    </row>
    <row r="8" spans="1:15" ht="13.8" x14ac:dyDescent="0.25">
      <c r="A8" s="1490" t="s">
        <v>6</v>
      </c>
      <c r="B8" s="1490"/>
      <c r="C8" s="1198" t="s">
        <v>7</v>
      </c>
      <c r="D8" s="1490" t="str">
        <f>'LH DEWASA'!F4</f>
        <v>OMRON</v>
      </c>
      <c r="E8" s="1490"/>
      <c r="F8" s="1490"/>
      <c r="I8" s="1491"/>
      <c r="J8" s="1491"/>
    </row>
    <row r="9" spans="1:15" ht="13.8" x14ac:dyDescent="0.25">
      <c r="A9" s="1490" t="s">
        <v>540</v>
      </c>
      <c r="B9" s="1490"/>
      <c r="C9" s="1198" t="s">
        <v>7</v>
      </c>
      <c r="D9" s="1490" t="str">
        <f>'LH DEWASA'!F5</f>
        <v>HEM-8712</v>
      </c>
      <c r="E9" s="1490"/>
      <c r="F9" s="1490"/>
      <c r="I9" s="1491"/>
      <c r="J9" s="1491"/>
    </row>
    <row r="10" spans="1:15" ht="14.4" x14ac:dyDescent="0.3">
      <c r="A10" s="1490" t="s">
        <v>541</v>
      </c>
      <c r="B10" s="1490"/>
      <c r="C10" s="1198" t="s">
        <v>7</v>
      </c>
      <c r="D10" s="1490" t="str">
        <f>'LH DEWASA'!F6</f>
        <v>-</v>
      </c>
      <c r="E10" s="1490"/>
      <c r="F10" s="1490"/>
      <c r="I10" s="1492"/>
      <c r="J10" s="1493"/>
      <c r="O10" s="1199"/>
    </row>
    <row r="11" spans="1:15" s="1190" customFormat="1" ht="14.4" hidden="1" x14ac:dyDescent="0.3">
      <c r="A11" s="1494" t="s">
        <v>542</v>
      </c>
      <c r="B11" s="1494"/>
      <c r="C11" s="1200" t="s">
        <v>7</v>
      </c>
      <c r="D11" s="1201" t="str">
        <f>I11&amp;"    "&amp;J11&amp;""</f>
        <v xml:space="preserve">    </v>
      </c>
      <c r="E11" s="1201"/>
      <c r="F11" s="1202">
        <f>J11</f>
        <v>0</v>
      </c>
      <c r="I11" s="1203"/>
      <c r="J11" s="1204"/>
      <c r="O11" s="1204"/>
    </row>
    <row r="12" spans="1:15" s="1190" customFormat="1" ht="14.4" hidden="1" x14ac:dyDescent="0.3">
      <c r="A12" s="1494" t="s">
        <v>543</v>
      </c>
      <c r="B12" s="1494"/>
      <c r="C12" s="1200" t="s">
        <v>7</v>
      </c>
      <c r="D12" s="1205">
        <f>[2]LH!E8</f>
        <v>1</v>
      </c>
      <c r="E12" s="1205"/>
      <c r="F12" s="1202"/>
      <c r="I12" s="1206"/>
      <c r="J12" s="1204"/>
      <c r="O12" s="1204"/>
    </row>
    <row r="13" spans="1:15" ht="14.4" x14ac:dyDescent="0.3">
      <c r="A13" s="1207"/>
      <c r="B13" s="1207"/>
      <c r="C13" s="1197"/>
      <c r="I13" s="1489"/>
      <c r="J13" s="1489"/>
      <c r="O13" s="1199"/>
    </row>
    <row r="14" spans="1:15" ht="28.5" customHeight="1" x14ac:dyDescent="0.3">
      <c r="A14" s="1208" t="s">
        <v>545</v>
      </c>
      <c r="B14" s="1209"/>
      <c r="C14" s="1197"/>
      <c r="D14" s="1481" t="s">
        <v>547</v>
      </c>
      <c r="E14" s="1482"/>
      <c r="F14" s="1210"/>
      <c r="I14" s="1493"/>
      <c r="J14" s="1493"/>
      <c r="O14" s="1199"/>
    </row>
    <row r="15" spans="1:15" ht="14.4" x14ac:dyDescent="0.25">
      <c r="A15" s="1211"/>
      <c r="B15" s="1197"/>
      <c r="C15" s="1197"/>
      <c r="D15" s="1197"/>
      <c r="E15" s="1197"/>
      <c r="I15" s="1496"/>
      <c r="J15" s="1496"/>
    </row>
    <row r="16" spans="1:15" s="1190" customFormat="1" ht="42.75" customHeight="1" x14ac:dyDescent="0.3">
      <c r="A16" s="1497" t="s">
        <v>549</v>
      </c>
      <c r="B16" s="1497"/>
      <c r="C16" s="1212" t="s">
        <v>7</v>
      </c>
      <c r="D16" s="1498" t="s">
        <v>825</v>
      </c>
      <c r="E16" s="1498"/>
      <c r="F16" s="1498"/>
      <c r="H16" s="1213"/>
      <c r="I16" s="1499"/>
      <c r="J16" s="1500"/>
    </row>
    <row r="17" spans="1:10" ht="14.4" x14ac:dyDescent="0.3">
      <c r="A17" s="1490" t="str">
        <f>"Nama Ruang "&amp;B50</f>
        <v>Nama Ruang Kalibrasi</v>
      </c>
      <c r="B17" s="1490"/>
      <c r="C17" s="1198" t="s">
        <v>7</v>
      </c>
      <c r="D17" s="1501" t="str">
        <f>'LH DEWASA'!F10</f>
        <v>-</v>
      </c>
      <c r="E17" s="1501"/>
      <c r="F17" s="1501"/>
      <c r="H17" s="1502"/>
      <c r="I17" s="1502"/>
      <c r="J17" s="1502"/>
    </row>
    <row r="18" spans="1:10" ht="14.4" x14ac:dyDescent="0.3">
      <c r="A18" s="1490" t="s">
        <v>551</v>
      </c>
      <c r="B18" s="1490"/>
      <c r="C18" s="1198" t="s">
        <v>7</v>
      </c>
      <c r="D18" s="1495">
        <f>'LH DEWASA'!F7</f>
        <v>44564</v>
      </c>
      <c r="E18" s="1495"/>
      <c r="F18" s="1495"/>
      <c r="I18" s="1213"/>
      <c r="J18" s="1213"/>
    </row>
    <row r="19" spans="1:10" ht="14.25" customHeight="1" x14ac:dyDescent="0.25">
      <c r="A19" s="1490" t="str">
        <f>"Tanggal "&amp;B50</f>
        <v>Tanggal Kalibrasi</v>
      </c>
      <c r="B19" s="1490"/>
      <c r="C19" s="1198" t="s">
        <v>7</v>
      </c>
      <c r="D19" s="1495">
        <f>'LH DEWASA'!F8</f>
        <v>44564</v>
      </c>
      <c r="E19" s="1495"/>
      <c r="F19" s="1495"/>
    </row>
    <row r="20" spans="1:10" ht="13.8" x14ac:dyDescent="0.25">
      <c r="A20" s="1490" t="str">
        <f>"Penanggungjawab "&amp;B50</f>
        <v>Penanggungjawab Kalibrasi</v>
      </c>
      <c r="B20" s="1490"/>
      <c r="C20" s="1198" t="s">
        <v>7</v>
      </c>
      <c r="D20" s="1490" t="str">
        <f>'LH DEWASA'!B67</f>
        <v>Wardimanul Abrar</v>
      </c>
      <c r="E20" s="1490"/>
      <c r="F20" s="1490"/>
    </row>
    <row r="21" spans="1:10" ht="14.4" x14ac:dyDescent="0.3">
      <c r="A21" s="1490" t="str">
        <f>"Lokasi "&amp;B50</f>
        <v>Lokasi Kalibrasi</v>
      </c>
      <c r="B21" s="1490"/>
      <c r="C21" s="1198" t="s">
        <v>7</v>
      </c>
      <c r="D21" s="1501" t="str">
        <f>'LH DEWASA'!F9</f>
        <v>-</v>
      </c>
      <c r="E21" s="1501"/>
      <c r="F21" s="1501"/>
      <c r="H21" s="1214"/>
    </row>
    <row r="22" spans="1:10" ht="31.5" customHeight="1" x14ac:dyDescent="0.25">
      <c r="A22" s="1501" t="str">
        <f>"Hasil "&amp;B50</f>
        <v>Hasil Kalibrasi</v>
      </c>
      <c r="B22" s="1501"/>
      <c r="C22" s="1215" t="s">
        <v>7</v>
      </c>
      <c r="D22" s="1503" t="str">
        <f>B57</f>
        <v>Laik Pakai, disarankan untuk dikalibrasi ulang pada tanggal 3 January 2023</v>
      </c>
      <c r="E22" s="1503"/>
      <c r="F22" s="1503"/>
    </row>
    <row r="23" spans="1:10" ht="13.8" x14ac:dyDescent="0.25">
      <c r="A23" s="1490" t="s">
        <v>554</v>
      </c>
      <c r="B23" s="1490"/>
      <c r="C23" s="1198" t="s">
        <v>7</v>
      </c>
      <c r="D23" s="1490" t="str">
        <f>'LH DEWASA'!F11</f>
        <v>MK 014-18</v>
      </c>
      <c r="E23" s="1490"/>
      <c r="F23" s="1490"/>
    </row>
    <row r="26" spans="1:10" ht="26.25" customHeight="1" x14ac:dyDescent="0.25">
      <c r="D26" s="1216" t="s">
        <v>555</v>
      </c>
      <c r="E26" s="1505">
        <f ca="1">TODAY()</f>
        <v>44712</v>
      </c>
      <c r="F26" s="1505"/>
    </row>
    <row r="27" spans="1:10" ht="13.8" x14ac:dyDescent="0.25">
      <c r="D27" s="1490" t="s">
        <v>556</v>
      </c>
      <c r="E27" s="1490"/>
      <c r="F27" s="1490"/>
    </row>
    <row r="28" spans="1:10" ht="13.8" x14ac:dyDescent="0.25">
      <c r="D28" s="1490" t="s">
        <v>557</v>
      </c>
      <c r="E28" s="1490"/>
      <c r="F28" s="1490"/>
    </row>
    <row r="29" spans="1:10" ht="13.8" x14ac:dyDescent="0.25">
      <c r="D29" s="1217"/>
      <c r="E29" s="1217"/>
    </row>
    <row r="30" spans="1:10" ht="13.8" x14ac:dyDescent="0.25">
      <c r="D30" s="1217"/>
      <c r="E30" s="1217"/>
    </row>
    <row r="31" spans="1:10" ht="13.8" x14ac:dyDescent="0.25">
      <c r="D31" s="1217"/>
      <c r="E31" s="1217"/>
    </row>
    <row r="32" spans="1:10" ht="13.8" x14ac:dyDescent="0.25">
      <c r="D32" s="1490" t="s">
        <v>558</v>
      </c>
      <c r="E32" s="1490"/>
      <c r="F32" s="1490"/>
    </row>
    <row r="33" spans="1:6" ht="13.8" x14ac:dyDescent="0.25">
      <c r="D33" s="1504" t="s">
        <v>559</v>
      </c>
      <c r="E33" s="1504"/>
      <c r="F33" s="1504"/>
    </row>
    <row r="36" spans="1:6" x14ac:dyDescent="0.25">
      <c r="A36" s="1218"/>
      <c r="B36" s="1218"/>
      <c r="C36" s="1218"/>
      <c r="D36" s="1218"/>
      <c r="E36" s="1218"/>
      <c r="F36" s="1218"/>
    </row>
    <row r="42" spans="1:6" ht="13.8" thickBot="1" x14ac:dyDescent="0.3"/>
    <row r="43" spans="1:6" ht="31.5" customHeight="1" x14ac:dyDescent="0.25">
      <c r="A43" s="1219" t="s">
        <v>826</v>
      </c>
      <c r="B43" s="1220" t="str">
        <f>MID(ID!I2,SEARCH("E - ",ID!I2),LEN(ID!I2))</f>
        <v>E - 015.38 DL</v>
      </c>
    </row>
    <row r="44" spans="1:6" x14ac:dyDescent="0.25">
      <c r="A44" s="1221"/>
      <c r="B44" s="1222"/>
    </row>
    <row r="45" spans="1:6" ht="24" customHeight="1" x14ac:dyDescent="0.25">
      <c r="A45" s="1223" t="s">
        <v>827</v>
      </c>
      <c r="B45" s="1224" t="str">
        <f>ID!A1</f>
        <v>INPUT DATA KALIBRASI BLOOD PRESSURE MONITOR</v>
      </c>
    </row>
    <row r="46" spans="1:6" ht="39" customHeight="1" x14ac:dyDescent="0.25">
      <c r="A46" s="1223" t="s">
        <v>828</v>
      </c>
      <c r="B46" s="1225" t="str">
        <f>IF(B45="INPUT DATA KALIBRASI Blood Pressure Monitor",B47,B48)</f>
        <v>SERTIFIKAT KALIBRASI</v>
      </c>
    </row>
    <row r="47" spans="1:6" ht="22.5" customHeight="1" x14ac:dyDescent="0.25">
      <c r="A47" s="1223" t="s">
        <v>829</v>
      </c>
      <c r="B47" s="1222" t="s">
        <v>530</v>
      </c>
    </row>
    <row r="48" spans="1:6" x14ac:dyDescent="0.25">
      <c r="A48" s="1221"/>
      <c r="B48" s="1222" t="s">
        <v>830</v>
      </c>
    </row>
    <row r="49" spans="1:2" x14ac:dyDescent="0.25">
      <c r="A49" s="1221"/>
      <c r="B49" s="1222"/>
    </row>
    <row r="50" spans="1:2" ht="48" customHeight="1" x14ac:dyDescent="0.25">
      <c r="A50" s="1223" t="s">
        <v>831</v>
      </c>
      <c r="B50" s="1222" t="str">
        <f>IF(RIGHT(A2,10)=" KALIBRASI","Kalibrasi","Pengujian")</f>
        <v>Kalibrasi</v>
      </c>
    </row>
    <row r="51" spans="1:2" x14ac:dyDescent="0.25">
      <c r="A51" s="1221"/>
      <c r="B51" s="1222"/>
    </row>
    <row r="52" spans="1:2" s="1227" customFormat="1" ht="34.5" customHeight="1" x14ac:dyDescent="0.25">
      <c r="A52" s="1223" t="s">
        <v>832</v>
      </c>
      <c r="B52" s="1226" t="s">
        <v>553</v>
      </c>
    </row>
    <row r="53" spans="1:2" x14ac:dyDescent="0.25">
      <c r="A53" s="1221"/>
      <c r="B53" s="1222"/>
    </row>
    <row r="54" spans="1:2" ht="50.25" customHeight="1" x14ac:dyDescent="0.25">
      <c r="A54" s="1228" t="s">
        <v>833</v>
      </c>
      <c r="B54" s="1229">
        <f>DATE(YEAR(D19)+1,MONTH(D19),DAY(D19))</f>
        <v>44929</v>
      </c>
    </row>
    <row r="55" spans="1:2" ht="27" customHeight="1" x14ac:dyDescent="0.25">
      <c r="A55" s="1223" t="s">
        <v>834</v>
      </c>
      <c r="B55" s="1230" t="str">
        <f>TEXT(B54,"d mmmm yyyy")</f>
        <v>3 January 2023</v>
      </c>
    </row>
    <row r="56" spans="1:2" x14ac:dyDescent="0.25">
      <c r="A56" s="1221"/>
      <c r="B56" s="1222"/>
    </row>
    <row r="57" spans="1:2" ht="30" customHeight="1" x14ac:dyDescent="0.25">
      <c r="A57" s="1228" t="s">
        <v>835</v>
      </c>
      <c r="B57" s="1231" t="str">
        <f>IF(B46=B47,B58,B59)</f>
        <v>Laik Pakai, disarankan untuk dikalibrasi ulang pada tanggal 3 January 2023</v>
      </c>
    </row>
    <row r="58" spans="1:2" ht="41.4" x14ac:dyDescent="0.25">
      <c r="A58" s="1221" t="s">
        <v>836</v>
      </c>
      <c r="B58" s="1232" t="str">
        <f>CONCATENATE(B60,B55)</f>
        <v>Laik Pakai, disarankan untuk dikalibrasi ulang pada tanggal 3 January 2023</v>
      </c>
    </row>
    <row r="59" spans="1:2" ht="41.4" x14ac:dyDescent="0.25">
      <c r="A59" s="1221"/>
      <c r="B59" s="1232" t="str">
        <f>CONCATENATE(B61,B55)</f>
        <v>Laik Pakai, disarankan untuk diuji ulang pada tanggal 3 January 2023</v>
      </c>
    </row>
    <row r="60" spans="1:2" ht="42" customHeight="1" x14ac:dyDescent="0.25">
      <c r="A60" s="1233" t="s">
        <v>829</v>
      </c>
      <c r="B60" s="1232" t="s">
        <v>837</v>
      </c>
    </row>
    <row r="61" spans="1:2" ht="39.75" customHeight="1" thickBot="1" x14ac:dyDescent="0.3">
      <c r="A61" s="1234"/>
      <c r="B61" s="1235" t="s">
        <v>838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CEF680BD-31DE-44A2-A3CE-854246FD37C0}">
      <formula1>"SERTIFIKAT KALIBRASI,SERTIFIKAT PENGUJIAN"</formula1>
    </dataValidation>
    <dataValidation type="list" allowBlank="1" showInputMessage="1" showErrorMessage="1" sqref="J11" xr:uid="{86726F30-325E-491F-A324-D48ADEE49E4C}">
      <formula1>$M$2:$M$22</formula1>
    </dataValidation>
    <dataValidation type="list" allowBlank="1" showInputMessage="1" showErrorMessage="1" sqref="J12" xr:uid="{C3F999AD-9DD1-4B96-A028-831A779A5DDA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rgb="FF00B0F0"/>
  </sheetPr>
  <dimension ref="A1:AN385"/>
  <sheetViews>
    <sheetView showGridLines="0" view="pageBreakPreview" topLeftCell="A83" zoomScale="80" zoomScaleNormal="100" zoomScaleSheetLayoutView="80" workbookViewId="0">
      <selection activeCell="I41" sqref="I41"/>
    </sheetView>
  </sheetViews>
  <sheetFormatPr defaultColWidth="9.109375" defaultRowHeight="15.6" x14ac:dyDescent="0.3"/>
  <cols>
    <col min="1" max="1" width="25.88671875" style="134" customWidth="1"/>
    <col min="2" max="2" width="9.88671875" style="134" customWidth="1"/>
    <col min="3" max="3" width="13.88671875" style="134" customWidth="1"/>
    <col min="4" max="4" width="9.88671875" style="134" customWidth="1"/>
    <col min="5" max="5" width="10.44140625" style="134" customWidth="1"/>
    <col min="6" max="6" width="10.109375" style="134" customWidth="1"/>
    <col min="7" max="7" width="4.6640625" style="134" customWidth="1"/>
    <col min="8" max="8" width="6.5546875" style="134" customWidth="1"/>
    <col min="9" max="9" width="15.33203125" style="134" customWidth="1"/>
    <col min="10" max="10" width="18" style="134" customWidth="1"/>
    <col min="11" max="11" width="18.5546875" style="134" customWidth="1"/>
    <col min="12" max="12" width="4.5546875" style="134" customWidth="1"/>
    <col min="13" max="16" width="13.33203125" style="134" customWidth="1"/>
    <col min="17" max="17" width="14.44140625" style="134" customWidth="1"/>
    <col min="18" max="18" width="20.5546875" style="134" customWidth="1"/>
    <col min="19" max="19" width="9.109375" style="134"/>
    <col min="20" max="20" width="19.5546875" style="134" customWidth="1"/>
    <col min="21" max="21" width="13.33203125" style="963" customWidth="1"/>
    <col min="22" max="22" width="13.33203125" style="956" customWidth="1"/>
    <col min="23" max="16384" width="9.109375" style="134"/>
  </cols>
  <sheetData>
    <row r="1" spans="1:40" ht="18" x14ac:dyDescent="0.35">
      <c r="A1" s="1510" t="s">
        <v>198</v>
      </c>
      <c r="B1" s="1510"/>
      <c r="C1" s="1510"/>
      <c r="D1" s="1510"/>
      <c r="E1" s="1510"/>
      <c r="F1" s="1510"/>
      <c r="G1" s="1510"/>
      <c r="H1" s="1510"/>
      <c r="I1" s="1510"/>
      <c r="J1" s="1510"/>
      <c r="K1" s="1510"/>
      <c r="L1" s="1510"/>
      <c r="M1" s="1510"/>
      <c r="N1" s="1510"/>
      <c r="O1" s="1510"/>
      <c r="P1" s="1510"/>
      <c r="U1" s="958"/>
      <c r="V1" s="1506" t="s">
        <v>509</v>
      </c>
      <c r="W1" s="1506"/>
      <c r="X1" s="1506"/>
      <c r="Y1" s="1506"/>
      <c r="Z1" s="1506"/>
      <c r="AA1" s="1506"/>
      <c r="AB1" s="1506"/>
      <c r="AC1" s="1506"/>
      <c r="AD1" s="1506"/>
      <c r="AF1" s="1506" t="s">
        <v>518</v>
      </c>
      <c r="AG1" s="1506"/>
      <c r="AH1" s="1506"/>
      <c r="AI1" s="1506"/>
      <c r="AJ1" s="1506"/>
      <c r="AK1" s="1506"/>
      <c r="AL1" s="1506"/>
      <c r="AM1" s="1506"/>
      <c r="AN1" s="1506"/>
    </row>
    <row r="2" spans="1:40" ht="17.399999999999999" x14ac:dyDescent="0.35">
      <c r="A2" s="1511" t="str">
        <f>CONCATENATE(ID!A2," ",ID!I2)</f>
        <v>Nomor sertifikat : 9 / 2 / II - 20 / E - 015.38 DL</v>
      </c>
      <c r="B2" s="1511"/>
      <c r="C2" s="1511"/>
      <c r="D2" s="1511"/>
      <c r="E2" s="1511"/>
      <c r="F2" s="1511"/>
      <c r="G2" s="1511"/>
      <c r="H2" s="1511"/>
      <c r="I2" s="1511"/>
      <c r="J2" s="1511"/>
      <c r="K2" s="1511"/>
      <c r="L2" s="1511"/>
      <c r="M2" s="1511"/>
      <c r="N2" s="1511"/>
      <c r="O2" s="1511"/>
      <c r="P2" s="1511"/>
      <c r="V2" s="117" t="s">
        <v>511</v>
      </c>
      <c r="W2" s="951" t="s">
        <v>494</v>
      </c>
      <c r="X2" s="949">
        <v>50</v>
      </c>
      <c r="Y2" s="948" t="s">
        <v>495</v>
      </c>
      <c r="Z2" s="949">
        <v>-0.2</v>
      </c>
      <c r="AA2" s="948" t="s">
        <v>507</v>
      </c>
      <c r="AB2" s="950">
        <v>100</v>
      </c>
      <c r="AC2" s="948" t="s">
        <v>508</v>
      </c>
      <c r="AD2" s="949">
        <v>-0.4</v>
      </c>
      <c r="AF2" s="117" t="s">
        <v>511</v>
      </c>
      <c r="AG2" s="951" t="s">
        <v>494</v>
      </c>
      <c r="AH2" s="949">
        <v>50</v>
      </c>
      <c r="AI2" s="948" t="s">
        <v>495</v>
      </c>
      <c r="AJ2" s="965">
        <f>NIBP!AP11</f>
        <v>3.3333333333333333E-2</v>
      </c>
      <c r="AK2" s="948" t="s">
        <v>507</v>
      </c>
      <c r="AL2" s="950">
        <v>100</v>
      </c>
      <c r="AM2" s="948" t="s">
        <v>508</v>
      </c>
      <c r="AN2" s="965">
        <f>NIBP!AP12</f>
        <v>3.3333333333333333E-2</v>
      </c>
    </row>
    <row r="3" spans="1:40" ht="13.5" customHeight="1" x14ac:dyDescent="0.3">
      <c r="V3" s="117" t="s">
        <v>512</v>
      </c>
      <c r="W3" s="951" t="s">
        <v>494</v>
      </c>
      <c r="X3" s="949">
        <v>100</v>
      </c>
      <c r="Y3" s="948" t="s">
        <v>495</v>
      </c>
      <c r="Z3" s="949">
        <v>-0.4</v>
      </c>
      <c r="AA3" s="948" t="s">
        <v>507</v>
      </c>
      <c r="AB3" s="950">
        <v>150</v>
      </c>
      <c r="AC3" s="948" t="s">
        <v>508</v>
      </c>
      <c r="AD3" s="949">
        <v>-0.7</v>
      </c>
      <c r="AF3" s="117" t="s">
        <v>512</v>
      </c>
      <c r="AG3" s="951" t="s">
        <v>494</v>
      </c>
      <c r="AH3" s="949">
        <v>100</v>
      </c>
      <c r="AI3" s="948" t="s">
        <v>495</v>
      </c>
      <c r="AJ3" s="965">
        <f>NIBP!AP12</f>
        <v>3.3333333333333333E-2</v>
      </c>
      <c r="AK3" s="948" t="s">
        <v>507</v>
      </c>
      <c r="AL3" s="950">
        <v>150</v>
      </c>
      <c r="AM3" s="948" t="s">
        <v>508</v>
      </c>
      <c r="AN3" s="965">
        <f>NIBP!AP13</f>
        <v>3.3333333333333333E-2</v>
      </c>
    </row>
    <row r="4" spans="1:40" ht="13.5" customHeight="1" x14ac:dyDescent="0.3">
      <c r="V4" s="117" t="s">
        <v>513</v>
      </c>
      <c r="W4" s="951" t="s">
        <v>494</v>
      </c>
      <c r="X4" s="949">
        <v>150</v>
      </c>
      <c r="Y4" s="948" t="s">
        <v>495</v>
      </c>
      <c r="Z4" s="949">
        <v>-0.7</v>
      </c>
      <c r="AA4" s="948" t="s">
        <v>507</v>
      </c>
      <c r="AB4" s="950">
        <v>200</v>
      </c>
      <c r="AC4" s="948" t="s">
        <v>508</v>
      </c>
      <c r="AD4" s="949">
        <v>-0.9</v>
      </c>
      <c r="AF4" s="117" t="s">
        <v>513</v>
      </c>
      <c r="AG4" s="951" t="s">
        <v>494</v>
      </c>
      <c r="AH4" s="949">
        <v>150</v>
      </c>
      <c r="AI4" s="948" t="s">
        <v>495</v>
      </c>
      <c r="AJ4" s="965">
        <f>NIBP!AP13</f>
        <v>3.3333333333333333E-2</v>
      </c>
      <c r="AK4" s="948" t="s">
        <v>507</v>
      </c>
      <c r="AL4" s="950">
        <v>200</v>
      </c>
      <c r="AM4" s="948" t="s">
        <v>508</v>
      </c>
      <c r="AN4" s="965">
        <f>NIBP!AP14</f>
        <v>3.3333333333333333E-2</v>
      </c>
    </row>
    <row r="5" spans="1:40" ht="13.5" customHeight="1" x14ac:dyDescent="0.3">
      <c r="A5" s="1513" t="s">
        <v>199</v>
      </c>
      <c r="B5" s="1513"/>
      <c r="C5" s="1513"/>
      <c r="D5" s="1513"/>
      <c r="E5" s="1513"/>
      <c r="F5" s="1513"/>
      <c r="G5" s="1513"/>
      <c r="H5" s="1513"/>
      <c r="I5" s="1513"/>
      <c r="J5" s="1513"/>
      <c r="K5" s="1513"/>
      <c r="L5" s="1513"/>
      <c r="M5" s="1513"/>
      <c r="N5" s="1513"/>
      <c r="O5" s="1513"/>
      <c r="P5" s="1513"/>
    </row>
    <row r="6" spans="1:40" ht="18.75" customHeight="1" x14ac:dyDescent="0.3">
      <c r="A6" s="298">
        <f>ID!D51</f>
        <v>80</v>
      </c>
      <c r="B6" s="299" t="str">
        <f>B7</f>
        <v>mmHg</v>
      </c>
      <c r="C6" s="300">
        <v>1</v>
      </c>
    </row>
    <row r="7" spans="1:40" ht="16.5" customHeight="1" x14ac:dyDescent="0.3">
      <c r="A7" s="960">
        <f>ID!L51</f>
        <v>81.972799999999992</v>
      </c>
      <c r="B7" s="302" t="s">
        <v>200</v>
      </c>
    </row>
    <row r="8" spans="1:40" s="305" customFormat="1" ht="18" x14ac:dyDescent="0.4">
      <c r="A8" s="303" t="s">
        <v>201</v>
      </c>
      <c r="B8" s="303" t="s">
        <v>202</v>
      </c>
      <c r="C8" s="303" t="s">
        <v>203</v>
      </c>
      <c r="D8" s="303" t="s">
        <v>204</v>
      </c>
      <c r="E8" s="303" t="s">
        <v>205</v>
      </c>
      <c r="F8" s="303" t="s">
        <v>206</v>
      </c>
      <c r="G8" s="303" t="s">
        <v>207</v>
      </c>
      <c r="H8" s="303" t="s">
        <v>208</v>
      </c>
      <c r="I8" s="303" t="s">
        <v>209</v>
      </c>
      <c r="J8" s="303" t="s">
        <v>210</v>
      </c>
      <c r="K8" s="304" t="s">
        <v>211</v>
      </c>
      <c r="M8" s="306"/>
      <c r="N8" s="1512"/>
      <c r="O8" s="1512"/>
      <c r="P8" s="1512"/>
      <c r="U8" s="954"/>
      <c r="AD8" s="954"/>
    </row>
    <row r="9" spans="1:40" x14ac:dyDescent="0.3">
      <c r="A9" s="307" t="s">
        <v>212</v>
      </c>
      <c r="B9" s="308" t="s">
        <v>200</v>
      </c>
      <c r="C9" s="309" t="s">
        <v>213</v>
      </c>
      <c r="D9" s="310">
        <f>ID!Q51</f>
        <v>0.44721359549995793</v>
      </c>
      <c r="E9" s="310">
        <f>SQRT(5)</f>
        <v>2.2360679774997898</v>
      </c>
      <c r="F9" s="310">
        <f>(D9/E9)</f>
        <v>0.19999999999999998</v>
      </c>
      <c r="G9" s="311">
        <v>1</v>
      </c>
      <c r="H9" s="311">
        <f>5-1</f>
        <v>4</v>
      </c>
      <c r="I9" s="312">
        <f>F9*G9</f>
        <v>0.19999999999999998</v>
      </c>
      <c r="J9" s="312">
        <f>I9^2</f>
        <v>3.9999999999999994E-2</v>
      </c>
      <c r="K9" s="312">
        <f>((I9)^4)/H9</f>
        <v>3.9999999999999986E-4</v>
      </c>
      <c r="M9" s="313"/>
    </row>
    <row r="10" spans="1:40" x14ac:dyDescent="0.3">
      <c r="A10" s="307" t="s">
        <v>214</v>
      </c>
      <c r="B10" s="308" t="s">
        <v>200</v>
      </c>
      <c r="C10" s="309" t="s">
        <v>213</v>
      </c>
      <c r="D10" s="1260">
        <f>'INTERPOLASI  '!AJ18</f>
        <v>0.1</v>
      </c>
      <c r="E10" s="311">
        <v>2</v>
      </c>
      <c r="F10" s="310">
        <f>D10/E10</f>
        <v>0.05</v>
      </c>
      <c r="G10" s="311">
        <v>1</v>
      </c>
      <c r="H10" s="311">
        <v>50</v>
      </c>
      <c r="I10" s="312">
        <f>F10*G10</f>
        <v>0.05</v>
      </c>
      <c r="J10" s="312">
        <f>I10^2</f>
        <v>2.5000000000000005E-3</v>
      </c>
      <c r="K10" s="312">
        <f>((I10)^4)/H10</f>
        <v>1.2500000000000005E-7</v>
      </c>
      <c r="M10" s="313"/>
      <c r="Q10" s="961">
        <f>A7</f>
        <v>81.972799999999992</v>
      </c>
      <c r="R10" s="952" t="s">
        <v>516</v>
      </c>
      <c r="S10" s="959">
        <v>83.664000000000001</v>
      </c>
      <c r="T10" s="953" t="s">
        <v>214</v>
      </c>
      <c r="U10" s="964">
        <f>((((AD2-Z2)*(S10-X2)))/(AB2-X2))+Z2</f>
        <v>-0.33465600000000006</v>
      </c>
    </row>
    <row r="11" spans="1:40" ht="16.5" customHeight="1" x14ac:dyDescent="0.3">
      <c r="A11" s="314" t="s">
        <v>215</v>
      </c>
      <c r="B11" s="308" t="s">
        <v>200</v>
      </c>
      <c r="C11" s="309" t="s">
        <v>216</v>
      </c>
      <c r="D11" s="310">
        <f>ID!$E$14*0.5</f>
        <v>0.5</v>
      </c>
      <c r="E11" s="310">
        <f>SQRT(3)</f>
        <v>1.7320508075688772</v>
      </c>
      <c r="F11" s="310">
        <f>D11/E11</f>
        <v>0.28867513459481292</v>
      </c>
      <c r="G11" s="311">
        <v>1</v>
      </c>
      <c r="H11" s="311">
        <v>50</v>
      </c>
      <c r="I11" s="312">
        <f>F11*G11</f>
        <v>0.28867513459481292</v>
      </c>
      <c r="J11" s="312">
        <f>I11^2</f>
        <v>8.3333333333333356E-2</v>
      </c>
      <c r="K11" s="312">
        <f>((I11)^4)/H11</f>
        <v>1.3888888888888897E-4</v>
      </c>
      <c r="M11" s="315"/>
    </row>
    <row r="12" spans="1:40" x14ac:dyDescent="0.3">
      <c r="A12" s="307" t="s">
        <v>217</v>
      </c>
      <c r="B12" s="308" t="s">
        <v>200</v>
      </c>
      <c r="C12" s="309" t="s">
        <v>216</v>
      </c>
      <c r="D12" s="1260">
        <f>'INTERPOLASI  '!BI18</f>
        <v>3.3333333333333333E-2</v>
      </c>
      <c r="E12" s="310">
        <f>SQRT(3)</f>
        <v>1.7320508075688772</v>
      </c>
      <c r="F12" s="310">
        <f>D12/E12</f>
        <v>1.9245008972987525E-2</v>
      </c>
      <c r="G12" s="311">
        <v>1</v>
      </c>
      <c r="H12" s="311">
        <v>50</v>
      </c>
      <c r="I12" s="312">
        <f>F12*G12</f>
        <v>1.9245008972987525E-2</v>
      </c>
      <c r="J12" s="312">
        <f>I12^2</f>
        <v>3.7037037037037035E-4</v>
      </c>
      <c r="K12" s="312">
        <f>((I12)^4)/H12</f>
        <v>2.7434842249657066E-9</v>
      </c>
      <c r="M12" s="315"/>
      <c r="T12" s="134" t="s">
        <v>217</v>
      </c>
      <c r="U12" s="964">
        <f>((((AN2-AJ2)*(S10-AH2)))/(AL2-AH2))+AJ2</f>
        <v>3.3333333333333333E-2</v>
      </c>
    </row>
    <row r="13" spans="1:40" x14ac:dyDescent="0.3">
      <c r="A13" s="316"/>
      <c r="B13" s="316"/>
      <c r="C13" s="316"/>
      <c r="D13" s="316"/>
      <c r="E13" s="666" t="s">
        <v>218</v>
      </c>
      <c r="F13" s="667"/>
      <c r="G13" s="667"/>
      <c r="H13" s="667"/>
      <c r="I13" s="668"/>
      <c r="J13" s="317">
        <f>SUM(J9:J12)</f>
        <v>0.12620370370370373</v>
      </c>
      <c r="K13" s="317">
        <f>SUM(K9:K12)</f>
        <v>5.3901663237311374E-4</v>
      </c>
      <c r="M13" s="315"/>
    </row>
    <row r="14" spans="1:40" ht="15.75" customHeight="1" x14ac:dyDescent="0.4">
      <c r="A14" s="318"/>
      <c r="B14" s="318"/>
      <c r="C14" s="318"/>
      <c r="D14" s="318"/>
      <c r="E14" s="1507" t="s">
        <v>219</v>
      </c>
      <c r="F14" s="1508"/>
      <c r="G14" s="1508"/>
      <c r="H14" s="1508"/>
      <c r="I14" s="1509"/>
      <c r="J14" s="317">
        <f>SQRT(J13)</f>
        <v>0.35525160619440377</v>
      </c>
      <c r="K14" s="312"/>
      <c r="M14" s="315"/>
    </row>
    <row r="15" spans="1:40" ht="15.75" customHeight="1" x14ac:dyDescent="0.3">
      <c r="A15" s="318"/>
      <c r="B15" s="318"/>
      <c r="C15" s="318"/>
      <c r="D15" s="318"/>
      <c r="E15" s="1507" t="s">
        <v>220</v>
      </c>
      <c r="F15" s="1508"/>
      <c r="G15" s="1508"/>
      <c r="H15" s="1508"/>
      <c r="I15" s="1509"/>
      <c r="J15" s="317">
        <f>((J14)^4)/K13</f>
        <v>29.548948718723626</v>
      </c>
      <c r="K15" s="312"/>
      <c r="M15" s="315"/>
    </row>
    <row r="16" spans="1:40" ht="15.75" customHeight="1" x14ac:dyDescent="0.3">
      <c r="A16" s="318"/>
      <c r="B16" s="318"/>
      <c r="C16" s="318"/>
      <c r="D16" s="318"/>
      <c r="E16" s="1507" t="s">
        <v>221</v>
      </c>
      <c r="F16" s="1508"/>
      <c r="G16" s="1508"/>
      <c r="H16" s="1508"/>
      <c r="I16" s="1509"/>
      <c r="J16" s="312">
        <f>TINV(0.05,J15)</f>
        <v>2.0452296421327048</v>
      </c>
      <c r="K16" s="312"/>
      <c r="M16" s="315"/>
    </row>
    <row r="17" spans="1:22" ht="15.75" customHeight="1" x14ac:dyDescent="0.3">
      <c r="A17" s="318"/>
      <c r="B17" s="318"/>
      <c r="C17" s="318"/>
      <c r="D17" s="318"/>
      <c r="E17" s="1507" t="s">
        <v>222</v>
      </c>
      <c r="F17" s="1508"/>
      <c r="G17" s="1508"/>
      <c r="H17" s="1508"/>
      <c r="I17" s="1509"/>
      <c r="J17" s="319">
        <f>J16*J14</f>
        <v>0.72657111540404895</v>
      </c>
      <c r="K17" s="312"/>
      <c r="M17" s="315"/>
    </row>
    <row r="18" spans="1:22" ht="15.75" hidden="1" customHeight="1" x14ac:dyDescent="0.3">
      <c r="A18" s="318"/>
      <c r="B18" s="318"/>
      <c r="C18" s="318"/>
      <c r="D18" s="318"/>
      <c r="E18" s="320"/>
      <c r="F18" s="320"/>
      <c r="G18" s="320"/>
      <c r="H18" s="320"/>
      <c r="I18" s="320"/>
      <c r="J18" s="321"/>
      <c r="K18" s="322"/>
      <c r="M18" s="315"/>
      <c r="S18" s="134">
        <f>ID!BH63</f>
        <v>195</v>
      </c>
    </row>
    <row r="19" spans="1:22" ht="15.75" hidden="1" customHeight="1" x14ac:dyDescent="0.3">
      <c r="A19" s="318"/>
      <c r="B19" s="318"/>
      <c r="C19" s="318"/>
      <c r="D19" s="318"/>
      <c r="E19" s="320"/>
      <c r="F19" s="320"/>
      <c r="G19" s="320"/>
      <c r="H19" s="320"/>
      <c r="I19" s="320"/>
      <c r="J19" s="323"/>
      <c r="K19" s="322"/>
      <c r="M19" s="315"/>
      <c r="S19" s="134">
        <f>ID!BH64</f>
        <v>145</v>
      </c>
    </row>
    <row r="20" spans="1:22" ht="15.75" customHeight="1" x14ac:dyDescent="0.3">
      <c r="A20" s="324">
        <f>ID!D52</f>
        <v>50</v>
      </c>
      <c r="B20" s="325" t="str">
        <f>B21</f>
        <v>mmHg</v>
      </c>
      <c r="C20" s="326">
        <v>1</v>
      </c>
      <c r="D20" s="318"/>
      <c r="E20" s="320"/>
      <c r="F20" s="320"/>
      <c r="G20" s="320"/>
      <c r="H20" s="320"/>
      <c r="I20" s="320"/>
      <c r="J20" s="323"/>
      <c r="K20" s="322"/>
      <c r="M20" s="315"/>
    </row>
    <row r="21" spans="1:22" ht="9.75" customHeight="1" x14ac:dyDescent="0.3">
      <c r="A21" s="301">
        <f>ID!L52</f>
        <v>50.3</v>
      </c>
      <c r="B21" s="302" t="s">
        <v>200</v>
      </c>
      <c r="M21" s="315"/>
      <c r="N21" s="327"/>
      <c r="O21" s="327"/>
      <c r="P21" s="327"/>
    </row>
    <row r="22" spans="1:22" s="305" customFormat="1" ht="18" x14ac:dyDescent="0.4">
      <c r="A22" s="303" t="s">
        <v>201</v>
      </c>
      <c r="B22" s="303" t="s">
        <v>202</v>
      </c>
      <c r="C22" s="303" t="s">
        <v>203</v>
      </c>
      <c r="D22" s="303" t="s">
        <v>204</v>
      </c>
      <c r="E22" s="303" t="s">
        <v>205</v>
      </c>
      <c r="F22" s="303" t="s">
        <v>206</v>
      </c>
      <c r="G22" s="303" t="s">
        <v>207</v>
      </c>
      <c r="H22" s="303" t="s">
        <v>208</v>
      </c>
      <c r="I22" s="303" t="s">
        <v>209</v>
      </c>
      <c r="J22" s="303" t="s">
        <v>210</v>
      </c>
      <c r="K22" s="304" t="s">
        <v>211</v>
      </c>
      <c r="M22" s="328"/>
      <c r="N22" s="329"/>
      <c r="O22" s="329"/>
      <c r="P22" s="330"/>
      <c r="U22" s="954"/>
      <c r="V22" s="957"/>
    </row>
    <row r="23" spans="1:22" x14ac:dyDescent="0.3">
      <c r="A23" s="307" t="s">
        <v>212</v>
      </c>
      <c r="B23" s="308" t="s">
        <v>200</v>
      </c>
      <c r="C23" s="309" t="s">
        <v>213</v>
      </c>
      <c r="D23" s="310">
        <f>ID!Q52</f>
        <v>0</v>
      </c>
      <c r="E23" s="310">
        <f>SQRT(5)</f>
        <v>2.2360679774997898</v>
      </c>
      <c r="F23" s="310">
        <f>(D23/E23)</f>
        <v>0</v>
      </c>
      <c r="G23" s="311">
        <v>1</v>
      </c>
      <c r="H23" s="311">
        <f>5-1</f>
        <v>4</v>
      </c>
      <c r="I23" s="312">
        <f>F23*G23</f>
        <v>0</v>
      </c>
      <c r="J23" s="312">
        <f>I23^2</f>
        <v>0</v>
      </c>
      <c r="K23" s="312">
        <f>((I23)^4)/H23</f>
        <v>0</v>
      </c>
      <c r="M23" s="328"/>
      <c r="N23" s="329"/>
      <c r="O23" s="329"/>
      <c r="P23" s="330"/>
    </row>
    <row r="24" spans="1:22" x14ac:dyDescent="0.3">
      <c r="A24" s="307" t="s">
        <v>214</v>
      </c>
      <c r="B24" s="308" t="s">
        <v>200</v>
      </c>
      <c r="C24" s="309" t="s">
        <v>213</v>
      </c>
      <c r="D24" s="1260">
        <f>'INTERPOLASI  '!AU18</f>
        <v>0.1</v>
      </c>
      <c r="E24" s="311">
        <v>2</v>
      </c>
      <c r="F24" s="310">
        <f>D24/E24</f>
        <v>0.05</v>
      </c>
      <c r="G24" s="311">
        <v>1</v>
      </c>
      <c r="H24" s="311">
        <v>50</v>
      </c>
      <c r="I24" s="312">
        <f>F24*G24</f>
        <v>0.05</v>
      </c>
      <c r="J24" s="312">
        <f>I24^2</f>
        <v>2.5000000000000005E-3</v>
      </c>
      <c r="K24" s="312">
        <f>((I24)^4)/H24</f>
        <v>1.2500000000000005E-7</v>
      </c>
      <c r="Q24" s="961">
        <f>A21</f>
        <v>50.3</v>
      </c>
      <c r="R24" s="952" t="s">
        <v>516</v>
      </c>
      <c r="S24" s="959">
        <v>53.783999999999999</v>
      </c>
      <c r="T24" s="953" t="s">
        <v>214</v>
      </c>
      <c r="U24" s="964">
        <f>((((AD2-Z2)*(S24-X2)))/(AB2-X2))+Z2</f>
        <v>-0.21513599999999999</v>
      </c>
    </row>
    <row r="25" spans="1:22" ht="16.5" customHeight="1" x14ac:dyDescent="0.3">
      <c r="A25" s="314" t="s">
        <v>215</v>
      </c>
      <c r="B25" s="308" t="s">
        <v>200</v>
      </c>
      <c r="C25" s="309" t="s">
        <v>216</v>
      </c>
      <c r="D25" s="310">
        <f>D11</f>
        <v>0.5</v>
      </c>
      <c r="E25" s="310">
        <f>SQRT(3)</f>
        <v>1.7320508075688772</v>
      </c>
      <c r="F25" s="310">
        <f>D25/E25</f>
        <v>0.28867513459481292</v>
      </c>
      <c r="G25" s="311">
        <v>1</v>
      </c>
      <c r="H25" s="311">
        <v>50</v>
      </c>
      <c r="I25" s="312">
        <f>F25*G25</f>
        <v>0.28867513459481292</v>
      </c>
      <c r="J25" s="312">
        <f>I25^2</f>
        <v>8.3333333333333356E-2</v>
      </c>
      <c r="K25" s="312">
        <f>((I25)^4)/H25</f>
        <v>1.3888888888888897E-4</v>
      </c>
    </row>
    <row r="26" spans="1:22" x14ac:dyDescent="0.3">
      <c r="A26" s="307" t="s">
        <v>217</v>
      </c>
      <c r="B26" s="308" t="s">
        <v>200</v>
      </c>
      <c r="C26" s="309" t="s">
        <v>216</v>
      </c>
      <c r="D26" s="1260">
        <f>'INTERPOLASI  '!BT18</f>
        <v>3.3333333333333333E-2</v>
      </c>
      <c r="E26" s="310">
        <f>SQRT(3)</f>
        <v>1.7320508075688772</v>
      </c>
      <c r="F26" s="310">
        <f>D26/E26</f>
        <v>1.9245008972987525E-2</v>
      </c>
      <c r="G26" s="311">
        <v>1</v>
      </c>
      <c r="H26" s="311">
        <v>50</v>
      </c>
      <c r="I26" s="312">
        <f>F26*G26</f>
        <v>1.9245008972987525E-2</v>
      </c>
      <c r="J26" s="312">
        <f>I26^2</f>
        <v>3.7037037037037035E-4</v>
      </c>
      <c r="K26" s="312">
        <f>((I26)^4)/H26</f>
        <v>2.7434842249657066E-9</v>
      </c>
      <c r="T26" s="134" t="s">
        <v>217</v>
      </c>
      <c r="U26" s="964">
        <f>((((AN2-AJ2)*(S24-AH2)))/(AL2-AH2))+AJ2</f>
        <v>3.3333333333333333E-2</v>
      </c>
    </row>
    <row r="27" spans="1:22" x14ac:dyDescent="0.3">
      <c r="A27" s="316"/>
      <c r="B27" s="316"/>
      <c r="C27" s="316"/>
      <c r="D27" s="316"/>
      <c r="E27" s="666" t="s">
        <v>218</v>
      </c>
      <c r="F27" s="667"/>
      <c r="G27" s="667"/>
      <c r="H27" s="667"/>
      <c r="I27" s="668"/>
      <c r="J27" s="317">
        <f>SUM(J23:J26)</f>
        <v>8.6203703703703727E-2</v>
      </c>
      <c r="K27" s="317">
        <f>SUM(K23:K26)</f>
        <v>1.3901663237311391E-4</v>
      </c>
    </row>
    <row r="28" spans="1:22" ht="15.75" customHeight="1" x14ac:dyDescent="0.4">
      <c r="A28" s="318"/>
      <c r="B28" s="318"/>
      <c r="C28" s="318"/>
      <c r="D28" s="318"/>
      <c r="E28" s="1507" t="s">
        <v>219</v>
      </c>
      <c r="F28" s="1508"/>
      <c r="G28" s="1508"/>
      <c r="H28" s="1508"/>
      <c r="I28" s="1509"/>
      <c r="J28" s="317">
        <f>SQRT(J27)</f>
        <v>0.29360467248275141</v>
      </c>
      <c r="K28" s="312"/>
    </row>
    <row r="29" spans="1:22" ht="15.75" customHeight="1" x14ac:dyDescent="0.3">
      <c r="A29" s="318"/>
      <c r="B29" s="318"/>
      <c r="C29" s="318"/>
      <c r="D29" s="318"/>
      <c r="E29" s="1507" t="s">
        <v>220</v>
      </c>
      <c r="F29" s="1508"/>
      <c r="G29" s="1508"/>
      <c r="H29" s="1508"/>
      <c r="I29" s="1509"/>
      <c r="J29" s="317">
        <f>((J28)^4)/K27</f>
        <v>53.454600398399009</v>
      </c>
      <c r="K29" s="331"/>
    </row>
    <row r="30" spans="1:22" ht="15.75" customHeight="1" x14ac:dyDescent="0.3">
      <c r="A30" s="318"/>
      <c r="B30" s="318"/>
      <c r="C30" s="318"/>
      <c r="D30" s="318"/>
      <c r="E30" s="1507" t="s">
        <v>221</v>
      </c>
      <c r="F30" s="1508"/>
      <c r="G30" s="1508"/>
      <c r="H30" s="1508"/>
      <c r="I30" s="1509"/>
      <c r="J30" s="312">
        <f>TINV(0.05,J29)</f>
        <v>2.0057459953178696</v>
      </c>
      <c r="K30" s="312">
        <f>1.95996+(2.37356/J29)+(2.818745/J29^2)+(2.546662/J29^3)+(1.7861829/J29^4)+(0.245458/J29^5)+(1.000764/J29^6)</f>
        <v>2.0053666540893276</v>
      </c>
    </row>
    <row r="31" spans="1:22" ht="15.75" customHeight="1" x14ac:dyDescent="0.3">
      <c r="A31" s="318"/>
      <c r="B31" s="318"/>
      <c r="C31" s="318"/>
      <c r="D31" s="318"/>
      <c r="E31" s="1507" t="s">
        <v>222</v>
      </c>
      <c r="F31" s="1508"/>
      <c r="G31" s="1508"/>
      <c r="H31" s="1508"/>
      <c r="I31" s="1509"/>
      <c r="J31" s="319">
        <f>J30*J28</f>
        <v>0.58889639603889332</v>
      </c>
      <c r="K31" s="312"/>
    </row>
    <row r="32" spans="1:22" ht="15.75" hidden="1" customHeight="1" x14ac:dyDescent="0.3">
      <c r="A32" s="318"/>
      <c r="B32" s="318"/>
      <c r="C32" s="318"/>
      <c r="D32" s="318"/>
      <c r="E32" s="320"/>
      <c r="F32" s="320"/>
      <c r="G32" s="320"/>
      <c r="H32" s="320"/>
      <c r="I32" s="320"/>
      <c r="J32" s="321"/>
      <c r="K32" s="322"/>
    </row>
    <row r="33" spans="1:22" ht="15.75" hidden="1" customHeight="1" x14ac:dyDescent="0.3">
      <c r="A33" s="318"/>
      <c r="B33" s="318"/>
      <c r="C33" s="318"/>
      <c r="D33" s="318"/>
      <c r="E33" s="320"/>
      <c r="F33" s="320"/>
      <c r="G33" s="320"/>
      <c r="H33" s="320"/>
      <c r="I33" s="320"/>
      <c r="J33" s="323"/>
      <c r="K33" s="322"/>
    </row>
    <row r="34" spans="1:22" ht="15.75" customHeight="1" x14ac:dyDescent="0.3">
      <c r="A34" s="324">
        <f>ID!D54</f>
        <v>100</v>
      </c>
      <c r="B34" s="325" t="str">
        <f>B35</f>
        <v>mmHg</v>
      </c>
      <c r="C34" s="326">
        <v>2</v>
      </c>
      <c r="D34" s="318"/>
      <c r="E34" s="320"/>
      <c r="F34" s="320"/>
      <c r="G34" s="320"/>
      <c r="H34" s="320"/>
      <c r="I34" s="320"/>
      <c r="J34" s="323"/>
      <c r="K34" s="322"/>
    </row>
    <row r="35" spans="1:22" ht="9.75" customHeight="1" x14ac:dyDescent="0.3">
      <c r="A35" s="301">
        <f>ID!L54</f>
        <v>103.49320006800001</v>
      </c>
      <c r="B35" s="302" t="s">
        <v>200</v>
      </c>
    </row>
    <row r="36" spans="1:22" s="305" customFormat="1" ht="18" x14ac:dyDescent="0.4">
      <c r="A36" s="303" t="s">
        <v>201</v>
      </c>
      <c r="B36" s="303" t="s">
        <v>202</v>
      </c>
      <c r="C36" s="303" t="s">
        <v>203</v>
      </c>
      <c r="D36" s="303" t="s">
        <v>204</v>
      </c>
      <c r="E36" s="303" t="s">
        <v>205</v>
      </c>
      <c r="F36" s="303" t="s">
        <v>206</v>
      </c>
      <c r="G36" s="303" t="s">
        <v>207</v>
      </c>
      <c r="H36" s="303" t="s">
        <v>208</v>
      </c>
      <c r="I36" s="303" t="s">
        <v>209</v>
      </c>
      <c r="J36" s="303" t="s">
        <v>210</v>
      </c>
      <c r="K36" s="304" t="s">
        <v>211</v>
      </c>
      <c r="U36" s="954"/>
      <c r="V36" s="957"/>
    </row>
    <row r="37" spans="1:22" x14ac:dyDescent="0.3">
      <c r="A37" s="307" t="s">
        <v>212</v>
      </c>
      <c r="B37" s="308" t="s">
        <v>200</v>
      </c>
      <c r="C37" s="309" t="s">
        <v>213</v>
      </c>
      <c r="D37" s="310">
        <f>ID!Q54</f>
        <v>0.54772255750516607</v>
      </c>
      <c r="E37" s="310">
        <f>SQRT(5)</f>
        <v>2.2360679774997898</v>
      </c>
      <c r="F37" s="310">
        <f>(D37/E37)</f>
        <v>0.24494897427831777</v>
      </c>
      <c r="G37" s="311">
        <v>1</v>
      </c>
      <c r="H37" s="311">
        <f>5-1</f>
        <v>4</v>
      </c>
      <c r="I37" s="312">
        <f>F37*G37</f>
        <v>0.24494897427831777</v>
      </c>
      <c r="J37" s="312">
        <f>I37^2</f>
        <v>5.9999999999999984E-2</v>
      </c>
      <c r="K37" s="312">
        <f>((I37)^4)/H37</f>
        <v>8.9999999999999954E-4</v>
      </c>
    </row>
    <row r="38" spans="1:22" x14ac:dyDescent="0.3">
      <c r="A38" s="307" t="s">
        <v>214</v>
      </c>
      <c r="B38" s="308" t="s">
        <v>200</v>
      </c>
      <c r="C38" s="309" t="s">
        <v>213</v>
      </c>
      <c r="D38" s="1260">
        <f>'INTERPOLASI  '!AJ19</f>
        <v>0.1</v>
      </c>
      <c r="E38" s="311">
        <v>2</v>
      </c>
      <c r="F38" s="310">
        <f>D38/E38</f>
        <v>0.05</v>
      </c>
      <c r="G38" s="311">
        <v>1</v>
      </c>
      <c r="H38" s="311">
        <v>50</v>
      </c>
      <c r="I38" s="312">
        <f>F38*G38</f>
        <v>0.05</v>
      </c>
      <c r="J38" s="312">
        <f>I38^2</f>
        <v>2.5000000000000005E-3</v>
      </c>
      <c r="K38" s="312">
        <f>((I38)^4)/H38</f>
        <v>1.2500000000000005E-7</v>
      </c>
      <c r="Q38" s="961">
        <f>A35</f>
        <v>103.49320006800001</v>
      </c>
      <c r="R38" s="952" t="s">
        <v>516</v>
      </c>
      <c r="S38" s="962">
        <v>103.57599999999999</v>
      </c>
      <c r="T38" s="953" t="s">
        <v>214</v>
      </c>
      <c r="U38" s="964">
        <f>((((AD3-Z3)*(S38-X3)))/(AB3-X3))+Z3</f>
        <v>-0.421456</v>
      </c>
    </row>
    <row r="39" spans="1:22" ht="16.5" customHeight="1" x14ac:dyDescent="0.3">
      <c r="A39" s="307" t="s">
        <v>215</v>
      </c>
      <c r="B39" s="308" t="s">
        <v>200</v>
      </c>
      <c r="C39" s="309" t="s">
        <v>216</v>
      </c>
      <c r="D39" s="310">
        <f>D11</f>
        <v>0.5</v>
      </c>
      <c r="E39" s="310">
        <f>SQRT(3)</f>
        <v>1.7320508075688772</v>
      </c>
      <c r="F39" s="310">
        <f>D39/E39</f>
        <v>0.28867513459481292</v>
      </c>
      <c r="G39" s="311">
        <v>1</v>
      </c>
      <c r="H39" s="311">
        <v>50</v>
      </c>
      <c r="I39" s="312">
        <f>F39*G39</f>
        <v>0.28867513459481292</v>
      </c>
      <c r="J39" s="312">
        <f>I39^2</f>
        <v>8.3333333333333356E-2</v>
      </c>
      <c r="K39" s="312">
        <f>((I39)^4)/H39</f>
        <v>1.3888888888888897E-4</v>
      </c>
    </row>
    <row r="40" spans="1:22" x14ac:dyDescent="0.3">
      <c r="A40" s="307" t="s">
        <v>217</v>
      </c>
      <c r="B40" s="308" t="s">
        <v>200</v>
      </c>
      <c r="C40" s="309" t="s">
        <v>216</v>
      </c>
      <c r="D40" s="1260">
        <f>'INTERPOLASI  '!BI19</f>
        <v>3.3333333333333333E-2</v>
      </c>
      <c r="E40" s="310">
        <f>SQRT(3)</f>
        <v>1.7320508075688772</v>
      </c>
      <c r="F40" s="310">
        <f>D40/E40</f>
        <v>1.9245008972987525E-2</v>
      </c>
      <c r="G40" s="311">
        <v>1</v>
      </c>
      <c r="H40" s="311">
        <v>50</v>
      </c>
      <c r="I40" s="312">
        <f>F40*G40</f>
        <v>1.9245008972987525E-2</v>
      </c>
      <c r="J40" s="312">
        <f>I40^2</f>
        <v>3.7037037037037035E-4</v>
      </c>
      <c r="K40" s="312">
        <f>((I40)^4)/H40</f>
        <v>2.7434842249657066E-9</v>
      </c>
      <c r="T40" s="134" t="s">
        <v>217</v>
      </c>
      <c r="U40" s="964">
        <f>((((AN3-AJ3)*(S38-AH3)))/(AL3-AH3))+AJ3</f>
        <v>3.3333333333333333E-2</v>
      </c>
    </row>
    <row r="41" spans="1:22" x14ac:dyDescent="0.3">
      <c r="A41" s="316"/>
      <c r="B41" s="316"/>
      <c r="C41" s="316"/>
      <c r="D41" s="316"/>
      <c r="E41" s="666" t="s">
        <v>218</v>
      </c>
      <c r="F41" s="667"/>
      <c r="G41" s="667"/>
      <c r="H41" s="667"/>
      <c r="I41" s="668"/>
      <c r="J41" s="317">
        <f>SUM(J37:J40)</f>
        <v>0.14620370370370372</v>
      </c>
      <c r="K41" s="317">
        <f>SUM(K37:K40)</f>
        <v>1.0390166323731135E-3</v>
      </c>
    </row>
    <row r="42" spans="1:22" ht="15.75" customHeight="1" x14ac:dyDescent="0.4">
      <c r="A42" s="318"/>
      <c r="B42" s="318"/>
      <c r="C42" s="318"/>
      <c r="D42" s="318"/>
      <c r="E42" s="1507" t="s">
        <v>219</v>
      </c>
      <c r="F42" s="1508"/>
      <c r="G42" s="1508"/>
      <c r="H42" s="1508"/>
      <c r="I42" s="1509"/>
      <c r="J42" s="317">
        <f>SQRT(J41)</f>
        <v>0.38236592905710587</v>
      </c>
      <c r="K42" s="312"/>
    </row>
    <row r="43" spans="1:22" ht="15.75" customHeight="1" x14ac:dyDescent="0.3">
      <c r="A43" s="318"/>
      <c r="B43" s="318"/>
      <c r="C43" s="318"/>
      <c r="D43" s="318"/>
      <c r="E43" s="1507" t="s">
        <v>220</v>
      </c>
      <c r="F43" s="1508"/>
      <c r="G43" s="1508"/>
      <c r="H43" s="1508"/>
      <c r="I43" s="1509"/>
      <c r="J43" s="317">
        <f>((J42)^4)/K41</f>
        <v>20.572840039970011</v>
      </c>
      <c r="K43" s="312"/>
    </row>
    <row r="44" spans="1:22" ht="15.75" customHeight="1" x14ac:dyDescent="0.3">
      <c r="A44" s="318"/>
      <c r="B44" s="318"/>
      <c r="C44" s="318"/>
      <c r="D44" s="318"/>
      <c r="E44" s="1507" t="s">
        <v>221</v>
      </c>
      <c r="F44" s="1508"/>
      <c r="G44" s="1508"/>
      <c r="H44" s="1508"/>
      <c r="I44" s="1509"/>
      <c r="J44" s="312">
        <f>TINV(0.05,J43)</f>
        <v>2.0859634472658648</v>
      </c>
      <c r="K44" s="312"/>
    </row>
    <row r="45" spans="1:22" ht="15.75" customHeight="1" x14ac:dyDescent="0.3">
      <c r="A45" s="318"/>
      <c r="B45" s="318"/>
      <c r="C45" s="318"/>
      <c r="D45" s="318"/>
      <c r="E45" s="1507" t="s">
        <v>222</v>
      </c>
      <c r="F45" s="1508"/>
      <c r="G45" s="1508"/>
      <c r="H45" s="1508"/>
      <c r="I45" s="1509"/>
      <c r="J45" s="319">
        <f>J44*J42</f>
        <v>0.79760135149297562</v>
      </c>
      <c r="K45" s="312"/>
    </row>
    <row r="46" spans="1:22" hidden="1" x14ac:dyDescent="0.3">
      <c r="J46" s="321"/>
    </row>
    <row r="47" spans="1:22" hidden="1" x14ac:dyDescent="0.3"/>
    <row r="48" spans="1:22" hidden="1" x14ac:dyDescent="0.3"/>
    <row r="49" spans="1:21" hidden="1" x14ac:dyDescent="0.3"/>
    <row r="50" spans="1:21" hidden="1" x14ac:dyDescent="0.3"/>
    <row r="51" spans="1:21" hidden="1" x14ac:dyDescent="0.3"/>
    <row r="52" spans="1:21" hidden="1" x14ac:dyDescent="0.3"/>
    <row r="53" spans="1:21" hidden="1" x14ac:dyDescent="0.3"/>
    <row r="54" spans="1:21" hidden="1" x14ac:dyDescent="0.3"/>
    <row r="55" spans="1:21" hidden="1" x14ac:dyDescent="0.3"/>
    <row r="56" spans="1:21" hidden="1" x14ac:dyDescent="0.3"/>
    <row r="57" spans="1:21" x14ac:dyDescent="0.3">
      <c r="A57" s="324">
        <f>ID!D55</f>
        <v>65</v>
      </c>
      <c r="B57" s="325" t="str">
        <f>B58</f>
        <v>mmHg</v>
      </c>
      <c r="C57" s="326">
        <v>2</v>
      </c>
      <c r="D57" s="318"/>
      <c r="E57" s="320"/>
      <c r="F57" s="320"/>
      <c r="G57" s="320"/>
      <c r="H57" s="320"/>
      <c r="I57" s="320"/>
      <c r="J57" s="323"/>
      <c r="K57" s="322"/>
    </row>
    <row r="58" spans="1:21" x14ac:dyDescent="0.3">
      <c r="A58" s="301">
        <f>ID!L55</f>
        <v>65.239999999999995</v>
      </c>
      <c r="B58" s="302" t="s">
        <v>200</v>
      </c>
    </row>
    <row r="59" spans="1:21" ht="18" x14ac:dyDescent="0.4">
      <c r="A59" s="303" t="s">
        <v>201</v>
      </c>
      <c r="B59" s="303" t="s">
        <v>202</v>
      </c>
      <c r="C59" s="303" t="s">
        <v>203</v>
      </c>
      <c r="D59" s="303" t="s">
        <v>204</v>
      </c>
      <c r="E59" s="303" t="s">
        <v>205</v>
      </c>
      <c r="F59" s="303" t="s">
        <v>206</v>
      </c>
      <c r="G59" s="303" t="s">
        <v>207</v>
      </c>
      <c r="H59" s="303" t="s">
        <v>208</v>
      </c>
      <c r="I59" s="303" t="s">
        <v>209</v>
      </c>
      <c r="J59" s="303" t="s">
        <v>210</v>
      </c>
      <c r="K59" s="304" t="s">
        <v>211</v>
      </c>
    </row>
    <row r="60" spans="1:21" x14ac:dyDescent="0.3">
      <c r="A60" s="307" t="s">
        <v>212</v>
      </c>
      <c r="B60" s="308" t="s">
        <v>200</v>
      </c>
      <c r="C60" s="309" t="s">
        <v>213</v>
      </c>
      <c r="D60" s="310">
        <f>ID!Q55</f>
        <v>0</v>
      </c>
      <c r="E60" s="310">
        <f>SQRT(5)</f>
        <v>2.2360679774997898</v>
      </c>
      <c r="F60" s="310">
        <f>(D60/E60)</f>
        <v>0</v>
      </c>
      <c r="G60" s="311">
        <v>1</v>
      </c>
      <c r="H60" s="311">
        <f>5-1</f>
        <v>4</v>
      </c>
      <c r="I60" s="312">
        <f>F60*G60</f>
        <v>0</v>
      </c>
      <c r="J60" s="312">
        <f>I60^2</f>
        <v>0</v>
      </c>
      <c r="K60" s="312">
        <f>((I60)^4)/H60</f>
        <v>0</v>
      </c>
    </row>
    <row r="61" spans="1:21" x14ac:dyDescent="0.3">
      <c r="A61" s="307" t="s">
        <v>214</v>
      </c>
      <c r="B61" s="308" t="s">
        <v>200</v>
      </c>
      <c r="C61" s="309" t="s">
        <v>213</v>
      </c>
      <c r="D61" s="1260">
        <f>'INTERPOLASI  '!AU19</f>
        <v>0.1</v>
      </c>
      <c r="E61" s="311">
        <v>2</v>
      </c>
      <c r="F61" s="310">
        <f>D61/E61</f>
        <v>0.05</v>
      </c>
      <c r="G61" s="311">
        <v>1</v>
      </c>
      <c r="H61" s="311">
        <v>50</v>
      </c>
      <c r="I61" s="312">
        <f>F61*G61</f>
        <v>0.05</v>
      </c>
      <c r="J61" s="312">
        <f>I61^2</f>
        <v>2.5000000000000005E-3</v>
      </c>
      <c r="K61" s="312">
        <f>((I61)^4)/H61</f>
        <v>1.2500000000000005E-7</v>
      </c>
      <c r="Q61" s="961">
        <f>A58</f>
        <v>65.239999999999995</v>
      </c>
      <c r="R61" s="952" t="s">
        <v>516</v>
      </c>
      <c r="S61" s="962">
        <v>68.724000000000004</v>
      </c>
      <c r="T61" s="953" t="s">
        <v>214</v>
      </c>
      <c r="U61" s="964">
        <f>((((AD2-Z2)*(S61-X2)))/(AB2-X2))+Z2</f>
        <v>-0.27489600000000003</v>
      </c>
    </row>
    <row r="62" spans="1:21" x14ac:dyDescent="0.3">
      <c r="A62" s="307" t="s">
        <v>215</v>
      </c>
      <c r="B62" s="308" t="s">
        <v>200</v>
      </c>
      <c r="C62" s="309" t="s">
        <v>216</v>
      </c>
      <c r="D62" s="310">
        <f>D11</f>
        <v>0.5</v>
      </c>
      <c r="E62" s="310">
        <f>SQRT(3)</f>
        <v>1.7320508075688772</v>
      </c>
      <c r="F62" s="310">
        <f>D62/E62</f>
        <v>0.28867513459481292</v>
      </c>
      <c r="G62" s="311">
        <v>1</v>
      </c>
      <c r="H62" s="311">
        <v>50</v>
      </c>
      <c r="I62" s="312">
        <f>F62*G62</f>
        <v>0.28867513459481292</v>
      </c>
      <c r="J62" s="312">
        <f>I62^2</f>
        <v>8.3333333333333356E-2</v>
      </c>
      <c r="K62" s="312">
        <f>((I62)^4)/H62</f>
        <v>1.3888888888888897E-4</v>
      </c>
    </row>
    <row r="63" spans="1:21" x14ac:dyDescent="0.3">
      <c r="A63" s="307" t="s">
        <v>217</v>
      </c>
      <c r="B63" s="308" t="s">
        <v>200</v>
      </c>
      <c r="C63" s="309" t="s">
        <v>216</v>
      </c>
      <c r="D63" s="1260">
        <f>'INTERPOLASI  '!BT19</f>
        <v>3.3333333333333333E-2</v>
      </c>
      <c r="E63" s="310">
        <f>SQRT(3)</f>
        <v>1.7320508075688772</v>
      </c>
      <c r="F63" s="310">
        <f>D63/E63</f>
        <v>1.9245008972987525E-2</v>
      </c>
      <c r="G63" s="311">
        <v>1</v>
      </c>
      <c r="H63" s="311">
        <v>50</v>
      </c>
      <c r="I63" s="312">
        <f>F63*G63</f>
        <v>1.9245008972987525E-2</v>
      </c>
      <c r="J63" s="312">
        <f>I63^2</f>
        <v>3.7037037037037035E-4</v>
      </c>
      <c r="K63" s="312">
        <f>((I63)^4)/H63</f>
        <v>2.7434842249657066E-9</v>
      </c>
      <c r="T63" s="134" t="s">
        <v>217</v>
      </c>
      <c r="U63" s="964">
        <f>((((AN2-AJ2)*(S61-AH2)))/(AL2-AH2))+AJ2</f>
        <v>3.3333333333333333E-2</v>
      </c>
    </row>
    <row r="64" spans="1:21" x14ac:dyDescent="0.3">
      <c r="A64" s="316"/>
      <c r="B64" s="316"/>
      <c r="C64" s="316"/>
      <c r="D64" s="316"/>
      <c r="E64" s="666" t="s">
        <v>218</v>
      </c>
      <c r="F64" s="667"/>
      <c r="G64" s="667"/>
      <c r="H64" s="667"/>
      <c r="I64" s="668"/>
      <c r="J64" s="317">
        <f>SUM(J60:J63)</f>
        <v>8.6203703703703727E-2</v>
      </c>
      <c r="K64" s="317">
        <f>SUM(K60:K63)</f>
        <v>1.3901663237311391E-4</v>
      </c>
    </row>
    <row r="65" spans="1:21" ht="16.8" x14ac:dyDescent="0.4">
      <c r="A65" s="318"/>
      <c r="B65" s="318"/>
      <c r="C65" s="318"/>
      <c r="D65" s="318"/>
      <c r="E65" s="1507" t="s">
        <v>219</v>
      </c>
      <c r="F65" s="1508"/>
      <c r="G65" s="1508"/>
      <c r="H65" s="1508"/>
      <c r="I65" s="1509"/>
      <c r="J65" s="317">
        <f>SQRT(J64)</f>
        <v>0.29360467248275141</v>
      </c>
      <c r="K65" s="312"/>
    </row>
    <row r="66" spans="1:21" x14ac:dyDescent="0.3">
      <c r="A66" s="318"/>
      <c r="B66" s="318"/>
      <c r="C66" s="318"/>
      <c r="D66" s="318"/>
      <c r="E66" s="1507" t="s">
        <v>220</v>
      </c>
      <c r="F66" s="1508"/>
      <c r="G66" s="1508"/>
      <c r="H66" s="1508"/>
      <c r="I66" s="1509"/>
      <c r="J66" s="317">
        <f>((J65)^4)/K64</f>
        <v>53.454600398399009</v>
      </c>
      <c r="K66" s="312"/>
    </row>
    <row r="67" spans="1:21" x14ac:dyDescent="0.3">
      <c r="A67" s="318"/>
      <c r="B67" s="318"/>
      <c r="C67" s="318"/>
      <c r="D67" s="318"/>
      <c r="E67" s="1507" t="s">
        <v>221</v>
      </c>
      <c r="F67" s="1508"/>
      <c r="G67" s="1508"/>
      <c r="H67" s="1508"/>
      <c r="I67" s="1509"/>
      <c r="J67" s="312">
        <f>TINV(0.05,J66)</f>
        <v>2.0057459953178696</v>
      </c>
      <c r="K67" s="312"/>
    </row>
    <row r="68" spans="1:21" x14ac:dyDescent="0.3">
      <c r="A68" s="318"/>
      <c r="B68" s="318"/>
      <c r="C68" s="318"/>
      <c r="D68" s="318"/>
      <c r="E68" s="1507" t="s">
        <v>222</v>
      </c>
      <c r="F68" s="1508"/>
      <c r="G68" s="1508"/>
      <c r="H68" s="1508"/>
      <c r="I68" s="1509"/>
      <c r="J68" s="319">
        <f>J67*J65</f>
        <v>0.58889639603889332</v>
      </c>
      <c r="K68" s="312"/>
    </row>
    <row r="69" spans="1:21" hidden="1" x14ac:dyDescent="0.3">
      <c r="J69" s="321"/>
    </row>
    <row r="70" spans="1:21" hidden="1" x14ac:dyDescent="0.3"/>
    <row r="71" spans="1:21" x14ac:dyDescent="0.3">
      <c r="A71" s="324">
        <f>ID!D57</f>
        <v>120</v>
      </c>
      <c r="B71" s="325" t="str">
        <f>B72</f>
        <v>mmHg</v>
      </c>
      <c r="C71" s="326">
        <v>3</v>
      </c>
      <c r="D71" s="318"/>
      <c r="E71" s="320"/>
      <c r="F71" s="320"/>
      <c r="G71" s="320"/>
      <c r="H71" s="320"/>
      <c r="I71" s="320"/>
      <c r="J71" s="323"/>
      <c r="K71" s="322"/>
    </row>
    <row r="72" spans="1:21" x14ac:dyDescent="0.3">
      <c r="A72" s="301">
        <f>ID!L57</f>
        <v>120.06000040000001</v>
      </c>
      <c r="B72" s="302" t="s">
        <v>200</v>
      </c>
    </row>
    <row r="73" spans="1:21" ht="18" x14ac:dyDescent="0.4">
      <c r="A73" s="303" t="s">
        <v>201</v>
      </c>
      <c r="B73" s="303" t="s">
        <v>202</v>
      </c>
      <c r="C73" s="303" t="s">
        <v>203</v>
      </c>
      <c r="D73" s="303" t="s">
        <v>204</v>
      </c>
      <c r="E73" s="303" t="s">
        <v>205</v>
      </c>
      <c r="F73" s="303" t="s">
        <v>206</v>
      </c>
      <c r="G73" s="303" t="s">
        <v>207</v>
      </c>
      <c r="H73" s="303" t="s">
        <v>208</v>
      </c>
      <c r="I73" s="303" t="s">
        <v>209</v>
      </c>
      <c r="J73" s="303" t="s">
        <v>210</v>
      </c>
      <c r="K73" s="304" t="s">
        <v>211</v>
      </c>
    </row>
    <row r="74" spans="1:21" x14ac:dyDescent="0.3">
      <c r="A74" s="307" t="s">
        <v>212</v>
      </c>
      <c r="B74" s="308" t="s">
        <v>200</v>
      </c>
      <c r="C74" s="309" t="s">
        <v>213</v>
      </c>
      <c r="D74" s="310">
        <f>ID!Q57</f>
        <v>0</v>
      </c>
      <c r="E74" s="310">
        <f>SQRT(5)</f>
        <v>2.2360679774997898</v>
      </c>
      <c r="F74" s="310">
        <f>(D74/E74)</f>
        <v>0</v>
      </c>
      <c r="G74" s="311">
        <v>1</v>
      </c>
      <c r="H74" s="311">
        <f>5-1</f>
        <v>4</v>
      </c>
      <c r="I74" s="312">
        <f>F74*G74</f>
        <v>0</v>
      </c>
      <c r="J74" s="312">
        <f>I74^2</f>
        <v>0</v>
      </c>
      <c r="K74" s="312">
        <f>((I74)^4)/H74</f>
        <v>0</v>
      </c>
    </row>
    <row r="75" spans="1:21" x14ac:dyDescent="0.3">
      <c r="A75" s="307" t="s">
        <v>214</v>
      </c>
      <c r="B75" s="308" t="s">
        <v>200</v>
      </c>
      <c r="C75" s="309" t="s">
        <v>213</v>
      </c>
      <c r="D75" s="1260">
        <f>'INTERPOLASI  '!AJ20</f>
        <v>0.1</v>
      </c>
      <c r="E75" s="311">
        <v>2</v>
      </c>
      <c r="F75" s="310">
        <f>D75/E75</f>
        <v>0.05</v>
      </c>
      <c r="G75" s="311">
        <v>1</v>
      </c>
      <c r="H75" s="311">
        <v>50</v>
      </c>
      <c r="I75" s="312">
        <f>F75*G75</f>
        <v>0.05</v>
      </c>
      <c r="J75" s="312">
        <f>I75^2</f>
        <v>2.5000000000000005E-3</v>
      </c>
      <c r="K75" s="312">
        <f>((I75)^4)/H75</f>
        <v>1.2500000000000005E-7</v>
      </c>
      <c r="Q75" s="961">
        <f>A72</f>
        <v>120.06000040000001</v>
      </c>
      <c r="R75" s="952" t="s">
        <v>516</v>
      </c>
      <c r="S75" s="962">
        <v>115.504</v>
      </c>
      <c r="T75" s="953" t="s">
        <v>214</v>
      </c>
      <c r="U75" s="964">
        <f>((((AD3-Z3)*(S75-X3)))/(AB3-X3))+Z3</f>
        <v>-0.49302400000000002</v>
      </c>
    </row>
    <row r="76" spans="1:21" x14ac:dyDescent="0.3">
      <c r="A76" s="307" t="s">
        <v>215</v>
      </c>
      <c r="B76" s="308" t="s">
        <v>200</v>
      </c>
      <c r="C76" s="309" t="s">
        <v>216</v>
      </c>
      <c r="D76" s="310">
        <f>D25</f>
        <v>0.5</v>
      </c>
      <c r="E76" s="310">
        <f>SQRT(3)</f>
        <v>1.7320508075688772</v>
      </c>
      <c r="F76" s="310">
        <f>D76/E76</f>
        <v>0.28867513459481292</v>
      </c>
      <c r="G76" s="311">
        <v>1</v>
      </c>
      <c r="H76" s="311">
        <v>50</v>
      </c>
      <c r="I76" s="312">
        <f>F76*G76</f>
        <v>0.28867513459481292</v>
      </c>
      <c r="J76" s="312">
        <f>I76^2</f>
        <v>8.3333333333333356E-2</v>
      </c>
      <c r="K76" s="312">
        <f>((I76)^4)/H76</f>
        <v>1.3888888888888897E-4</v>
      </c>
    </row>
    <row r="77" spans="1:21" x14ac:dyDescent="0.3">
      <c r="A77" s="307" t="s">
        <v>217</v>
      </c>
      <c r="B77" s="308" t="s">
        <v>200</v>
      </c>
      <c r="C77" s="309" t="s">
        <v>216</v>
      </c>
      <c r="D77" s="1260">
        <f>'INTERPOLASI  '!BI20</f>
        <v>3.3333333333333333E-2</v>
      </c>
      <c r="E77" s="310">
        <f>SQRT(3)</f>
        <v>1.7320508075688772</v>
      </c>
      <c r="F77" s="310">
        <f>D77/E77</f>
        <v>1.9245008972987525E-2</v>
      </c>
      <c r="G77" s="311">
        <v>1</v>
      </c>
      <c r="H77" s="311">
        <v>50</v>
      </c>
      <c r="I77" s="312">
        <f>F77*G77</f>
        <v>1.9245008972987525E-2</v>
      </c>
      <c r="J77" s="312">
        <f>I77^2</f>
        <v>3.7037037037037035E-4</v>
      </c>
      <c r="K77" s="312">
        <f>((I77)^4)/H77</f>
        <v>2.7434842249657066E-9</v>
      </c>
      <c r="T77" s="134" t="s">
        <v>217</v>
      </c>
      <c r="U77" s="964">
        <f>((((AN3-AJ3)*(S75-AH3)))/(AL3-AH3))+AJ3</f>
        <v>3.3333333333333333E-2</v>
      </c>
    </row>
    <row r="78" spans="1:21" x14ac:dyDescent="0.3">
      <c r="A78" s="316"/>
      <c r="B78" s="316"/>
      <c r="C78" s="316"/>
      <c r="D78" s="316"/>
      <c r="E78" s="666" t="s">
        <v>218</v>
      </c>
      <c r="F78" s="667"/>
      <c r="G78" s="667"/>
      <c r="H78" s="667"/>
      <c r="I78" s="668"/>
      <c r="J78" s="317">
        <f>SUM(J74:J77)</f>
        <v>8.6203703703703727E-2</v>
      </c>
      <c r="K78" s="317">
        <f>SUM(K74:K77)</f>
        <v>1.3901663237311391E-4</v>
      </c>
    </row>
    <row r="79" spans="1:21" ht="16.8" x14ac:dyDescent="0.4">
      <c r="A79" s="318"/>
      <c r="B79" s="318"/>
      <c r="C79" s="318"/>
      <c r="D79" s="318"/>
      <c r="E79" s="1507" t="s">
        <v>219</v>
      </c>
      <c r="F79" s="1508"/>
      <c r="G79" s="1508"/>
      <c r="H79" s="1508"/>
      <c r="I79" s="1509"/>
      <c r="J79" s="317">
        <f>SQRT(J78)</f>
        <v>0.29360467248275141</v>
      </c>
      <c r="K79" s="312"/>
    </row>
    <row r="80" spans="1:21" x14ac:dyDescent="0.3">
      <c r="A80" s="318"/>
      <c r="B80" s="318"/>
      <c r="C80" s="318"/>
      <c r="D80" s="318"/>
      <c r="E80" s="1507" t="s">
        <v>220</v>
      </c>
      <c r="F80" s="1508"/>
      <c r="G80" s="1508"/>
      <c r="H80" s="1508"/>
      <c r="I80" s="1509"/>
      <c r="J80" s="317">
        <f>((J79)^4)/K78</f>
        <v>53.454600398399009</v>
      </c>
      <c r="K80" s="312"/>
    </row>
    <row r="81" spans="1:21" x14ac:dyDescent="0.3">
      <c r="A81" s="318"/>
      <c r="B81" s="318"/>
      <c r="C81" s="318"/>
      <c r="D81" s="318"/>
      <c r="E81" s="1507" t="s">
        <v>221</v>
      </c>
      <c r="F81" s="1508"/>
      <c r="G81" s="1508"/>
      <c r="H81" s="1508"/>
      <c r="I81" s="1509"/>
      <c r="J81" s="312">
        <f>TINV(0.05,J80)</f>
        <v>2.0057459953178696</v>
      </c>
      <c r="K81" s="312"/>
    </row>
    <row r="82" spans="1:21" x14ac:dyDescent="0.3">
      <c r="A82" s="318"/>
      <c r="B82" s="318"/>
      <c r="C82" s="318"/>
      <c r="D82" s="318"/>
      <c r="E82" s="1507" t="s">
        <v>222</v>
      </c>
      <c r="F82" s="1508"/>
      <c r="G82" s="1508"/>
      <c r="H82" s="1508"/>
      <c r="I82" s="1509"/>
      <c r="J82" s="319">
        <f>J81*J79</f>
        <v>0.58889639603889332</v>
      </c>
      <c r="K82" s="312"/>
    </row>
    <row r="83" spans="1:21" ht="4.5" customHeight="1" x14ac:dyDescent="0.3">
      <c r="J83" s="321"/>
    </row>
    <row r="84" spans="1:21" ht="4.5" customHeight="1" x14ac:dyDescent="0.3"/>
    <row r="85" spans="1:21" x14ac:dyDescent="0.3">
      <c r="A85" s="324">
        <f>ID!D58</f>
        <v>80</v>
      </c>
      <c r="B85" s="325" t="str">
        <f>B86</f>
        <v>mmHg</v>
      </c>
      <c r="C85" s="326">
        <v>3</v>
      </c>
      <c r="D85" s="318"/>
      <c r="E85" s="320"/>
      <c r="F85" s="320"/>
      <c r="G85" s="320"/>
      <c r="H85" s="320"/>
      <c r="I85" s="320"/>
      <c r="J85" s="323"/>
      <c r="K85" s="322"/>
    </row>
    <row r="86" spans="1:21" ht="6" customHeight="1" x14ac:dyDescent="0.3">
      <c r="A86" s="301">
        <f>ID!L58</f>
        <v>83.168000000000006</v>
      </c>
      <c r="B86" s="302" t="s">
        <v>200</v>
      </c>
    </row>
    <row r="87" spans="1:21" ht="18" x14ac:dyDescent="0.4">
      <c r="A87" s="303" t="s">
        <v>201</v>
      </c>
      <c r="B87" s="303" t="s">
        <v>202</v>
      </c>
      <c r="C87" s="303" t="s">
        <v>203</v>
      </c>
      <c r="D87" s="303" t="s">
        <v>204</v>
      </c>
      <c r="E87" s="303" t="s">
        <v>205</v>
      </c>
      <c r="F87" s="303" t="s">
        <v>206</v>
      </c>
      <c r="G87" s="303" t="s">
        <v>207</v>
      </c>
      <c r="H87" s="303" t="s">
        <v>208</v>
      </c>
      <c r="I87" s="303" t="s">
        <v>209</v>
      </c>
      <c r="J87" s="303" t="s">
        <v>210</v>
      </c>
      <c r="K87" s="304" t="s">
        <v>211</v>
      </c>
    </row>
    <row r="88" spans="1:21" x14ac:dyDescent="0.3">
      <c r="A88" s="307" t="s">
        <v>212</v>
      </c>
      <c r="B88" s="308" t="s">
        <v>200</v>
      </c>
      <c r="C88" s="309" t="s">
        <v>213</v>
      </c>
      <c r="D88" s="310">
        <f>ID!Q58</f>
        <v>0</v>
      </c>
      <c r="E88" s="310">
        <f>SQRT(5)</f>
        <v>2.2360679774997898</v>
      </c>
      <c r="F88" s="310">
        <f>(D88/E88)</f>
        <v>0</v>
      </c>
      <c r="G88" s="311">
        <v>1</v>
      </c>
      <c r="H88" s="311">
        <f>5-1</f>
        <v>4</v>
      </c>
      <c r="I88" s="312">
        <f>F88*G88</f>
        <v>0</v>
      </c>
      <c r="J88" s="312">
        <f>I88^2</f>
        <v>0</v>
      </c>
      <c r="K88" s="312">
        <f>((I88)^4)/H88</f>
        <v>0</v>
      </c>
    </row>
    <row r="89" spans="1:21" x14ac:dyDescent="0.3">
      <c r="A89" s="307" t="s">
        <v>214</v>
      </c>
      <c r="B89" s="308" t="s">
        <v>200</v>
      </c>
      <c r="C89" s="309" t="s">
        <v>213</v>
      </c>
      <c r="D89" s="1260">
        <f>'INTERPOLASI  '!AU20</f>
        <v>0.1</v>
      </c>
      <c r="E89" s="311">
        <v>2</v>
      </c>
      <c r="F89" s="310">
        <f>D89/E89</f>
        <v>0.05</v>
      </c>
      <c r="G89" s="311">
        <v>1</v>
      </c>
      <c r="H89" s="311">
        <v>50</v>
      </c>
      <c r="I89" s="312">
        <f>F89*G89</f>
        <v>0.05</v>
      </c>
      <c r="J89" s="312">
        <f>I89^2</f>
        <v>2.5000000000000005E-3</v>
      </c>
      <c r="K89" s="312">
        <f>((I89)^4)/H89</f>
        <v>1.2500000000000005E-7</v>
      </c>
      <c r="Q89" s="961">
        <f>A86</f>
        <v>83.168000000000006</v>
      </c>
      <c r="R89" s="952" t="s">
        <v>516</v>
      </c>
      <c r="S89" s="962">
        <v>75.695999999999998</v>
      </c>
      <c r="T89" s="953" t="s">
        <v>214</v>
      </c>
      <c r="U89" s="964">
        <f>((((AD2-Z2)*(S89-X2)))/(AB2-X2))+Z2</f>
        <v>-0.302784</v>
      </c>
    </row>
    <row r="90" spans="1:21" x14ac:dyDescent="0.3">
      <c r="A90" s="307" t="s">
        <v>215</v>
      </c>
      <c r="B90" s="308" t="s">
        <v>200</v>
      </c>
      <c r="C90" s="309" t="s">
        <v>216</v>
      </c>
      <c r="D90" s="310">
        <f>D39</f>
        <v>0.5</v>
      </c>
      <c r="E90" s="310">
        <f>SQRT(3)</f>
        <v>1.7320508075688772</v>
      </c>
      <c r="F90" s="310">
        <f>D90/E90</f>
        <v>0.28867513459481292</v>
      </c>
      <c r="G90" s="311">
        <v>1</v>
      </c>
      <c r="H90" s="311">
        <v>50</v>
      </c>
      <c r="I90" s="312">
        <f>F90*G90</f>
        <v>0.28867513459481292</v>
      </c>
      <c r="J90" s="312">
        <f>I90^2</f>
        <v>8.3333333333333356E-2</v>
      </c>
      <c r="K90" s="312">
        <f>((I90)^4)/H90</f>
        <v>1.3888888888888897E-4</v>
      </c>
    </row>
    <row r="91" spans="1:21" x14ac:dyDescent="0.3">
      <c r="A91" s="307" t="s">
        <v>217</v>
      </c>
      <c r="B91" s="308" t="s">
        <v>200</v>
      </c>
      <c r="C91" s="309" t="s">
        <v>216</v>
      </c>
      <c r="D91" s="1260">
        <f>'INTERPOLASI  '!BT20</f>
        <v>3.3333333333333333E-2</v>
      </c>
      <c r="E91" s="310">
        <f>SQRT(3)</f>
        <v>1.7320508075688772</v>
      </c>
      <c r="F91" s="310">
        <f>D91/E91</f>
        <v>1.9245008972987525E-2</v>
      </c>
      <c r="G91" s="311">
        <v>1</v>
      </c>
      <c r="H91" s="311">
        <v>50</v>
      </c>
      <c r="I91" s="312">
        <f>F91*G91</f>
        <v>1.9245008972987525E-2</v>
      </c>
      <c r="J91" s="312">
        <f>I91^2</f>
        <v>3.7037037037037035E-4</v>
      </c>
      <c r="K91" s="312">
        <f>((I91)^4)/H91</f>
        <v>2.7434842249657066E-9</v>
      </c>
      <c r="T91" s="134" t="s">
        <v>217</v>
      </c>
      <c r="U91" s="964">
        <f>((((AN2-AJ2)*(S89-AH2)))/(AL2-AH2))+AJ2</f>
        <v>3.3333333333333333E-2</v>
      </c>
    </row>
    <row r="92" spans="1:21" x14ac:dyDescent="0.3">
      <c r="A92" s="316"/>
      <c r="B92" s="316"/>
      <c r="C92" s="316"/>
      <c r="D92" s="316"/>
      <c r="E92" s="666" t="s">
        <v>218</v>
      </c>
      <c r="F92" s="667"/>
      <c r="G92" s="667"/>
      <c r="H92" s="667"/>
      <c r="I92" s="668"/>
      <c r="J92" s="317">
        <f>SUM(J88:J91)</f>
        <v>8.6203703703703727E-2</v>
      </c>
      <c r="K92" s="317">
        <f>SUM(K88:K91)</f>
        <v>1.3901663237311391E-4</v>
      </c>
    </row>
    <row r="93" spans="1:21" ht="16.8" x14ac:dyDescent="0.4">
      <c r="A93" s="318"/>
      <c r="B93" s="318"/>
      <c r="C93" s="318"/>
      <c r="D93" s="318"/>
      <c r="E93" s="1507" t="s">
        <v>219</v>
      </c>
      <c r="F93" s="1508"/>
      <c r="G93" s="1508"/>
      <c r="H93" s="1508"/>
      <c r="I93" s="1509"/>
      <c r="J93" s="317">
        <f>SQRT(J92)</f>
        <v>0.29360467248275141</v>
      </c>
      <c r="K93" s="312"/>
    </row>
    <row r="94" spans="1:21" x14ac:dyDescent="0.3">
      <c r="A94" s="318"/>
      <c r="B94" s="318"/>
      <c r="C94" s="318"/>
      <c r="D94" s="318"/>
      <c r="E94" s="1507" t="s">
        <v>220</v>
      </c>
      <c r="F94" s="1508"/>
      <c r="G94" s="1508"/>
      <c r="H94" s="1508"/>
      <c r="I94" s="1509"/>
      <c r="J94" s="317">
        <f>((J93)^4)/K92</f>
        <v>53.454600398399009</v>
      </c>
      <c r="K94" s="312"/>
    </row>
    <row r="95" spans="1:21" x14ac:dyDescent="0.3">
      <c r="A95" s="318"/>
      <c r="B95" s="318"/>
      <c r="C95" s="318"/>
      <c r="D95" s="318"/>
      <c r="E95" s="1507" t="s">
        <v>221</v>
      </c>
      <c r="F95" s="1508"/>
      <c r="G95" s="1508"/>
      <c r="H95" s="1508"/>
      <c r="I95" s="1509"/>
      <c r="J95" s="312">
        <f>TINV(0.05,J94)</f>
        <v>2.0057459953178696</v>
      </c>
      <c r="K95" s="312"/>
    </row>
    <row r="96" spans="1:21" x14ac:dyDescent="0.3">
      <c r="A96" s="318"/>
      <c r="B96" s="318"/>
      <c r="C96" s="318"/>
      <c r="D96" s="318"/>
      <c r="E96" s="1507" t="s">
        <v>222</v>
      </c>
      <c r="F96" s="1508"/>
      <c r="G96" s="1508"/>
      <c r="H96" s="1508"/>
      <c r="I96" s="1509"/>
      <c r="J96" s="319">
        <f>J95*J93</f>
        <v>0.58889639603889332</v>
      </c>
      <c r="K96" s="312"/>
    </row>
    <row r="97" spans="1:21" ht="15.75" hidden="1" customHeight="1" x14ac:dyDescent="0.3">
      <c r="A97" s="318"/>
      <c r="B97" s="318"/>
      <c r="C97" s="318"/>
      <c r="D97" s="318"/>
      <c r="E97" s="320"/>
      <c r="F97" s="320"/>
      <c r="G97" s="320"/>
      <c r="H97" s="320"/>
      <c r="I97" s="320"/>
      <c r="J97" s="321"/>
      <c r="K97" s="322"/>
    </row>
    <row r="98" spans="1:21" ht="15.75" hidden="1" customHeight="1" x14ac:dyDescent="0.3"/>
    <row r="99" spans="1:21" x14ac:dyDescent="0.3">
      <c r="A99" s="324">
        <f>ID!D60</f>
        <v>150</v>
      </c>
      <c r="B99" s="325" t="str">
        <f>B100</f>
        <v>mmHg</v>
      </c>
      <c r="C99" s="326">
        <v>4</v>
      </c>
      <c r="D99" s="318"/>
      <c r="E99" s="320"/>
      <c r="F99" s="320"/>
      <c r="G99" s="320"/>
      <c r="H99" s="320"/>
      <c r="I99" s="320"/>
      <c r="J99" s="323"/>
      <c r="K99" s="322"/>
    </row>
    <row r="100" spans="1:21" x14ac:dyDescent="0.3">
      <c r="A100" s="301">
        <f>ID!L60</f>
        <v>147.60480095200001</v>
      </c>
      <c r="B100" s="302" t="s">
        <v>200</v>
      </c>
    </row>
    <row r="101" spans="1:21" ht="18" x14ac:dyDescent="0.4">
      <c r="A101" s="303" t="s">
        <v>201</v>
      </c>
      <c r="B101" s="303" t="s">
        <v>202</v>
      </c>
      <c r="C101" s="303" t="s">
        <v>203</v>
      </c>
      <c r="D101" s="303" t="s">
        <v>204</v>
      </c>
      <c r="E101" s="303" t="s">
        <v>205</v>
      </c>
      <c r="F101" s="303" t="s">
        <v>206</v>
      </c>
      <c r="G101" s="303" t="s">
        <v>207</v>
      </c>
      <c r="H101" s="303" t="s">
        <v>208</v>
      </c>
      <c r="I101" s="303" t="s">
        <v>209</v>
      </c>
      <c r="J101" s="303" t="s">
        <v>210</v>
      </c>
      <c r="K101" s="304" t="s">
        <v>211</v>
      </c>
    </row>
    <row r="102" spans="1:21" x14ac:dyDescent="0.3">
      <c r="A102" s="307" t="s">
        <v>212</v>
      </c>
      <c r="B102" s="308" t="s">
        <v>200</v>
      </c>
      <c r="C102" s="309" t="s">
        <v>213</v>
      </c>
      <c r="D102" s="310">
        <f>ID!Q60</f>
        <v>0.54772255750516607</v>
      </c>
      <c r="E102" s="310">
        <f>SQRT(5)</f>
        <v>2.2360679774997898</v>
      </c>
      <c r="F102" s="310">
        <f>(D102/E102)</f>
        <v>0.24494897427831777</v>
      </c>
      <c r="G102" s="311">
        <v>1</v>
      </c>
      <c r="H102" s="311">
        <f>5-1</f>
        <v>4</v>
      </c>
      <c r="I102" s="312">
        <f>F102*G102</f>
        <v>0.24494897427831777</v>
      </c>
      <c r="J102" s="312">
        <f>I102^2</f>
        <v>5.9999999999999984E-2</v>
      </c>
      <c r="K102" s="310">
        <f>((I102)^4)/H102</f>
        <v>8.9999999999999954E-4</v>
      </c>
    </row>
    <row r="103" spans="1:21" x14ac:dyDescent="0.3">
      <c r="A103" s="307" t="s">
        <v>214</v>
      </c>
      <c r="B103" s="308" t="s">
        <v>200</v>
      </c>
      <c r="C103" s="309" t="s">
        <v>213</v>
      </c>
      <c r="D103" s="1260">
        <f>'INTERPOLASI  '!AJ21</f>
        <v>0.1</v>
      </c>
      <c r="E103" s="311">
        <v>2</v>
      </c>
      <c r="F103" s="310">
        <f>D103/E103</f>
        <v>0.05</v>
      </c>
      <c r="G103" s="311">
        <v>1</v>
      </c>
      <c r="H103" s="311">
        <v>50</v>
      </c>
      <c r="I103" s="312">
        <f>F103*G103</f>
        <v>0.05</v>
      </c>
      <c r="J103" s="312">
        <f>I103^2</f>
        <v>2.5000000000000005E-3</v>
      </c>
      <c r="K103" s="312">
        <f>((I103)^4)/H103</f>
        <v>1.2500000000000005E-7</v>
      </c>
      <c r="Q103" s="961">
        <f>A100</f>
        <v>147.60480095200001</v>
      </c>
      <c r="R103" s="952" t="s">
        <v>516</v>
      </c>
      <c r="S103" s="962">
        <v>146.31800000000001</v>
      </c>
      <c r="T103" s="953" t="s">
        <v>214</v>
      </c>
      <c r="U103" s="964">
        <f>((((AD3-Z3)*(S103-X3)))/(AB3-X3))+Z3</f>
        <v>-0.67790799999999996</v>
      </c>
    </row>
    <row r="104" spans="1:21" x14ac:dyDescent="0.3">
      <c r="A104" s="307" t="s">
        <v>215</v>
      </c>
      <c r="B104" s="308" t="s">
        <v>200</v>
      </c>
      <c r="C104" s="309" t="s">
        <v>216</v>
      </c>
      <c r="D104" s="310">
        <f>D62</f>
        <v>0.5</v>
      </c>
      <c r="E104" s="310">
        <f>SQRT(3)</f>
        <v>1.7320508075688772</v>
      </c>
      <c r="F104" s="310">
        <f>D104/E104</f>
        <v>0.28867513459481292</v>
      </c>
      <c r="G104" s="311">
        <v>1</v>
      </c>
      <c r="H104" s="311">
        <v>50</v>
      </c>
      <c r="I104" s="312">
        <f>F104*G104</f>
        <v>0.28867513459481292</v>
      </c>
      <c r="J104" s="312">
        <f>I104^2</f>
        <v>8.3333333333333356E-2</v>
      </c>
      <c r="K104" s="312">
        <f>((I104)^4)/H104</f>
        <v>1.3888888888888897E-4</v>
      </c>
    </row>
    <row r="105" spans="1:21" x14ac:dyDescent="0.3">
      <c r="A105" s="307" t="s">
        <v>217</v>
      </c>
      <c r="B105" s="308" t="s">
        <v>200</v>
      </c>
      <c r="C105" s="309" t="s">
        <v>216</v>
      </c>
      <c r="D105" s="1260">
        <f>'INTERPOLASI  '!BI21</f>
        <v>3.3333333333333333E-2</v>
      </c>
      <c r="E105" s="310">
        <f>SQRT(3)</f>
        <v>1.7320508075688772</v>
      </c>
      <c r="F105" s="310">
        <f>D105/E105</f>
        <v>1.9245008972987525E-2</v>
      </c>
      <c r="G105" s="311">
        <v>1</v>
      </c>
      <c r="H105" s="311">
        <v>50</v>
      </c>
      <c r="I105" s="312">
        <f>F105*G105</f>
        <v>1.9245008972987525E-2</v>
      </c>
      <c r="J105" s="312">
        <f>I105^2</f>
        <v>3.7037037037037035E-4</v>
      </c>
      <c r="K105" s="312">
        <f>((I105)^4)/H105</f>
        <v>2.7434842249657066E-9</v>
      </c>
      <c r="T105" s="134" t="s">
        <v>217</v>
      </c>
      <c r="U105" s="964">
        <f>((((AN3-AJ3)*(S103-AH3)))/(AL3-AH3))+AJ3</f>
        <v>3.3333333333333333E-2</v>
      </c>
    </row>
    <row r="106" spans="1:21" x14ac:dyDescent="0.3">
      <c r="A106" s="316"/>
      <c r="B106" s="316"/>
      <c r="C106" s="316"/>
      <c r="D106" s="316"/>
      <c r="E106" s="666" t="s">
        <v>218</v>
      </c>
      <c r="F106" s="667"/>
      <c r="G106" s="667"/>
      <c r="H106" s="667"/>
      <c r="I106" s="668"/>
      <c r="J106" s="317">
        <f>SUM(J102:J105)</f>
        <v>0.14620370370370372</v>
      </c>
      <c r="K106" s="332">
        <f>SUM(K102:K105)</f>
        <v>1.0390166323731135E-3</v>
      </c>
    </row>
    <row r="107" spans="1:21" ht="16.8" x14ac:dyDescent="0.4">
      <c r="A107" s="318"/>
      <c r="B107" s="318"/>
      <c r="C107" s="318"/>
      <c r="D107" s="318"/>
      <c r="E107" s="1507" t="s">
        <v>219</v>
      </c>
      <c r="F107" s="1508"/>
      <c r="G107" s="1508"/>
      <c r="H107" s="1508"/>
      <c r="I107" s="1509"/>
      <c r="J107" s="317">
        <f>SQRT(J106)</f>
        <v>0.38236592905710587</v>
      </c>
      <c r="K107" s="312"/>
    </row>
    <row r="108" spans="1:21" x14ac:dyDescent="0.3">
      <c r="A108" s="318"/>
      <c r="B108" s="318"/>
      <c r="C108" s="318"/>
      <c r="D108" s="318"/>
      <c r="E108" s="1507" t="s">
        <v>220</v>
      </c>
      <c r="F108" s="1508"/>
      <c r="G108" s="1508"/>
      <c r="H108" s="1508"/>
      <c r="I108" s="1509"/>
      <c r="J108" s="317">
        <f>((J107)^4)/K106</f>
        <v>20.572840039970011</v>
      </c>
      <c r="K108" s="312"/>
    </row>
    <row r="109" spans="1:21" x14ac:dyDescent="0.3">
      <c r="A109" s="318"/>
      <c r="B109" s="318"/>
      <c r="C109" s="318"/>
      <c r="D109" s="318"/>
      <c r="E109" s="1507" t="s">
        <v>221</v>
      </c>
      <c r="F109" s="1508"/>
      <c r="G109" s="1508"/>
      <c r="H109" s="1508"/>
      <c r="I109" s="1509"/>
      <c r="J109" s="312">
        <f>TINV(0.05,J108)</f>
        <v>2.0859634472658648</v>
      </c>
      <c r="K109" s="312"/>
    </row>
    <row r="110" spans="1:21" x14ac:dyDescent="0.3">
      <c r="A110" s="318"/>
      <c r="B110" s="318"/>
      <c r="C110" s="318"/>
      <c r="D110" s="318"/>
      <c r="E110" s="1507" t="s">
        <v>222</v>
      </c>
      <c r="F110" s="1508"/>
      <c r="G110" s="1508"/>
      <c r="H110" s="1508"/>
      <c r="I110" s="1509"/>
      <c r="J110" s="319">
        <f>J109*J107</f>
        <v>0.79760135149297562</v>
      </c>
      <c r="K110" s="312"/>
    </row>
    <row r="111" spans="1:21" x14ac:dyDescent="0.3">
      <c r="J111" s="321"/>
    </row>
    <row r="112" spans="1:21" x14ac:dyDescent="0.3">
      <c r="A112" s="324">
        <f>ID!D61</f>
        <v>100</v>
      </c>
      <c r="B112" s="325" t="str">
        <f>B113</f>
        <v>mmHg</v>
      </c>
      <c r="C112" s="326">
        <v>4</v>
      </c>
      <c r="D112" s="318"/>
      <c r="E112" s="320"/>
      <c r="F112" s="320"/>
      <c r="G112" s="320"/>
      <c r="H112" s="320"/>
      <c r="I112" s="320"/>
      <c r="J112" s="323"/>
      <c r="K112" s="322"/>
    </row>
    <row r="113" spans="1:21" x14ac:dyDescent="0.3">
      <c r="A113" s="301">
        <f>ID!L61</f>
        <v>100.1</v>
      </c>
      <c r="B113" s="302" t="s">
        <v>200</v>
      </c>
    </row>
    <row r="114" spans="1:21" ht="18" x14ac:dyDescent="0.4">
      <c r="A114" s="303" t="s">
        <v>201</v>
      </c>
      <c r="B114" s="303" t="s">
        <v>202</v>
      </c>
      <c r="C114" s="303" t="s">
        <v>203</v>
      </c>
      <c r="D114" s="303" t="s">
        <v>204</v>
      </c>
      <c r="E114" s="303" t="s">
        <v>205</v>
      </c>
      <c r="F114" s="303" t="s">
        <v>206</v>
      </c>
      <c r="G114" s="303" t="s">
        <v>207</v>
      </c>
      <c r="H114" s="303" t="s">
        <v>208</v>
      </c>
      <c r="I114" s="303" t="s">
        <v>209</v>
      </c>
      <c r="J114" s="303" t="s">
        <v>210</v>
      </c>
      <c r="K114" s="304" t="s">
        <v>211</v>
      </c>
    </row>
    <row r="115" spans="1:21" x14ac:dyDescent="0.3">
      <c r="A115" s="307" t="s">
        <v>212</v>
      </c>
      <c r="B115" s="308" t="s">
        <v>200</v>
      </c>
      <c r="C115" s="309" t="s">
        <v>213</v>
      </c>
      <c r="D115" s="310">
        <f>ID!Q61</f>
        <v>0</v>
      </c>
      <c r="E115" s="310">
        <f>SQRT(5)</f>
        <v>2.2360679774997898</v>
      </c>
      <c r="F115" s="310">
        <f>(D115/E115)</f>
        <v>0</v>
      </c>
      <c r="G115" s="311">
        <v>1</v>
      </c>
      <c r="H115" s="311">
        <f>5-1</f>
        <v>4</v>
      </c>
      <c r="I115" s="312">
        <f>F115*G115</f>
        <v>0</v>
      </c>
      <c r="J115" s="312">
        <f>I115^2</f>
        <v>0</v>
      </c>
      <c r="K115" s="312">
        <f>((I115)^4)/H115</f>
        <v>0</v>
      </c>
    </row>
    <row r="116" spans="1:21" x14ac:dyDescent="0.3">
      <c r="A116" s="307" t="s">
        <v>214</v>
      </c>
      <c r="B116" s="308" t="s">
        <v>200</v>
      </c>
      <c r="C116" s="309" t="s">
        <v>213</v>
      </c>
      <c r="D116" s="1260">
        <f>'INTERPOLASI  '!AU21</f>
        <v>0.1</v>
      </c>
      <c r="E116" s="311">
        <v>2</v>
      </c>
      <c r="F116" s="310">
        <f>D116/E116</f>
        <v>0.05</v>
      </c>
      <c r="G116" s="311">
        <v>1</v>
      </c>
      <c r="H116" s="311">
        <v>50</v>
      </c>
      <c r="I116" s="312">
        <f>F116*G116</f>
        <v>0.05</v>
      </c>
      <c r="J116" s="312">
        <f>I116^2</f>
        <v>2.5000000000000005E-3</v>
      </c>
      <c r="K116" s="312">
        <f>((I116)^4)/H116</f>
        <v>1.2500000000000005E-7</v>
      </c>
      <c r="Q116" s="961">
        <f>A113</f>
        <v>100.1</v>
      </c>
      <c r="R116" s="952" t="s">
        <v>516</v>
      </c>
      <c r="S116" s="962">
        <v>95.616</v>
      </c>
      <c r="T116" s="953" t="s">
        <v>214</v>
      </c>
      <c r="U116" s="964">
        <f>((((AD2-Z2)*(S116-X2)))/(AB2-X2))+Z2</f>
        <v>-0.38246400000000003</v>
      </c>
    </row>
    <row r="117" spans="1:21" x14ac:dyDescent="0.3">
      <c r="A117" s="307" t="s">
        <v>215</v>
      </c>
      <c r="B117" s="308" t="s">
        <v>200</v>
      </c>
      <c r="C117" s="309" t="s">
        <v>216</v>
      </c>
      <c r="D117" s="310">
        <f>D76</f>
        <v>0.5</v>
      </c>
      <c r="E117" s="310">
        <f>SQRT(3)</f>
        <v>1.7320508075688772</v>
      </c>
      <c r="F117" s="310">
        <f>D117/E117</f>
        <v>0.28867513459481292</v>
      </c>
      <c r="G117" s="311">
        <v>1</v>
      </c>
      <c r="H117" s="311">
        <v>50</v>
      </c>
      <c r="I117" s="312">
        <f>F117*G117</f>
        <v>0.28867513459481292</v>
      </c>
      <c r="J117" s="312">
        <f>I117^2</f>
        <v>8.3333333333333356E-2</v>
      </c>
      <c r="K117" s="312">
        <f>((I117)^4)/H117</f>
        <v>1.3888888888888897E-4</v>
      </c>
    </row>
    <row r="118" spans="1:21" x14ac:dyDescent="0.3">
      <c r="A118" s="307" t="s">
        <v>217</v>
      </c>
      <c r="B118" s="308" t="s">
        <v>200</v>
      </c>
      <c r="C118" s="309" t="s">
        <v>216</v>
      </c>
      <c r="D118" s="1260">
        <f>'INTERPOLASI  '!BT21</f>
        <v>3.3333333333333333E-2</v>
      </c>
      <c r="E118" s="310">
        <f>SQRT(3)</f>
        <v>1.7320508075688772</v>
      </c>
      <c r="F118" s="310">
        <f>D118/E118</f>
        <v>1.9245008972987525E-2</v>
      </c>
      <c r="G118" s="311">
        <v>1</v>
      </c>
      <c r="H118" s="311">
        <v>50</v>
      </c>
      <c r="I118" s="312">
        <f>F118*G118</f>
        <v>1.9245008972987525E-2</v>
      </c>
      <c r="J118" s="312">
        <f>I118^2</f>
        <v>3.7037037037037035E-4</v>
      </c>
      <c r="K118" s="312">
        <f>((I118)^4)/H118</f>
        <v>2.7434842249657066E-9</v>
      </c>
      <c r="T118" s="134" t="s">
        <v>217</v>
      </c>
      <c r="U118" s="964">
        <f>((((AN2-AJ2)*(S116-AH2)))/(AL2-AH2))+AJ2</f>
        <v>3.3333333333333333E-2</v>
      </c>
    </row>
    <row r="119" spans="1:21" x14ac:dyDescent="0.3">
      <c r="A119" s="316"/>
      <c r="B119" s="316"/>
      <c r="C119" s="316"/>
      <c r="D119" s="316"/>
      <c r="E119" s="666" t="s">
        <v>218</v>
      </c>
      <c r="F119" s="667"/>
      <c r="G119" s="667"/>
      <c r="H119" s="667"/>
      <c r="I119" s="668"/>
      <c r="J119" s="317">
        <f>SUM(J115:J118)</f>
        <v>8.6203703703703727E-2</v>
      </c>
      <c r="K119" s="317">
        <f>SUM(K115:K118)</f>
        <v>1.3901663237311391E-4</v>
      </c>
    </row>
    <row r="120" spans="1:21" ht="16.8" x14ac:dyDescent="0.4">
      <c r="A120" s="318"/>
      <c r="B120" s="318"/>
      <c r="C120" s="318"/>
      <c r="D120" s="318"/>
      <c r="E120" s="1507" t="s">
        <v>219</v>
      </c>
      <c r="F120" s="1508"/>
      <c r="G120" s="1508"/>
      <c r="H120" s="1508"/>
      <c r="I120" s="1509"/>
      <c r="J120" s="317">
        <f>SQRT(J119)</f>
        <v>0.29360467248275141</v>
      </c>
      <c r="K120" s="312"/>
    </row>
    <row r="121" spans="1:21" x14ac:dyDescent="0.3">
      <c r="A121" s="318"/>
      <c r="B121" s="318"/>
      <c r="C121" s="318"/>
      <c r="D121" s="318"/>
      <c r="E121" s="1507" t="s">
        <v>220</v>
      </c>
      <c r="F121" s="1508"/>
      <c r="G121" s="1508"/>
      <c r="H121" s="1508"/>
      <c r="I121" s="1509"/>
      <c r="J121" s="317">
        <f>((J120)^4)/K119</f>
        <v>53.454600398399009</v>
      </c>
      <c r="K121" s="312"/>
    </row>
    <row r="122" spans="1:21" x14ac:dyDescent="0.3">
      <c r="A122" s="318"/>
      <c r="B122" s="318"/>
      <c r="C122" s="318"/>
      <c r="D122" s="318"/>
      <c r="E122" s="1507" t="s">
        <v>221</v>
      </c>
      <c r="F122" s="1508"/>
      <c r="G122" s="1508"/>
      <c r="H122" s="1508"/>
      <c r="I122" s="1509"/>
      <c r="J122" s="312">
        <f>TINV(0.05,J121)</f>
        <v>2.0057459953178696</v>
      </c>
      <c r="K122" s="312"/>
    </row>
    <row r="123" spans="1:21" x14ac:dyDescent="0.3">
      <c r="A123" s="318"/>
      <c r="B123" s="318"/>
      <c r="C123" s="318"/>
      <c r="D123" s="318"/>
      <c r="E123" s="1507" t="s">
        <v>222</v>
      </c>
      <c r="F123" s="1508"/>
      <c r="G123" s="1508"/>
      <c r="H123" s="1508"/>
      <c r="I123" s="1509"/>
      <c r="J123" s="319">
        <f>J122*J120</f>
        <v>0.58889639603889332</v>
      </c>
      <c r="K123" s="312"/>
    </row>
    <row r="124" spans="1:21" x14ac:dyDescent="0.3">
      <c r="J124" s="321"/>
    </row>
    <row r="126" spans="1:21" x14ac:dyDescent="0.3">
      <c r="A126" s="324">
        <f>ID!D63</f>
        <v>200</v>
      </c>
      <c r="B126" s="325" t="str">
        <f>B127</f>
        <v>mmHg</v>
      </c>
      <c r="C126" s="326">
        <v>5</v>
      </c>
      <c r="D126" s="318"/>
      <c r="E126" s="320"/>
      <c r="F126" s="320"/>
      <c r="G126" s="320"/>
      <c r="H126" s="320"/>
      <c r="I126" s="320"/>
      <c r="J126" s="323"/>
      <c r="K126" s="322"/>
    </row>
    <row r="127" spans="1:21" x14ac:dyDescent="0.3">
      <c r="A127" s="301">
        <f>ID!L63</f>
        <v>194.91000009999999</v>
      </c>
      <c r="B127" s="302" t="s">
        <v>200</v>
      </c>
    </row>
    <row r="128" spans="1:21" ht="18" x14ac:dyDescent="0.4">
      <c r="A128" s="303" t="s">
        <v>201</v>
      </c>
      <c r="B128" s="303" t="s">
        <v>202</v>
      </c>
      <c r="C128" s="303" t="s">
        <v>203</v>
      </c>
      <c r="D128" s="303" t="s">
        <v>204</v>
      </c>
      <c r="E128" s="303" t="s">
        <v>205</v>
      </c>
      <c r="F128" s="303" t="s">
        <v>206</v>
      </c>
      <c r="G128" s="303" t="s">
        <v>207</v>
      </c>
      <c r="H128" s="303" t="s">
        <v>208</v>
      </c>
      <c r="I128" s="303" t="s">
        <v>209</v>
      </c>
      <c r="J128" s="303" t="s">
        <v>210</v>
      </c>
      <c r="K128" s="304" t="s">
        <v>211</v>
      </c>
    </row>
    <row r="129" spans="1:21" x14ac:dyDescent="0.3">
      <c r="A129" s="307" t="s">
        <v>212</v>
      </c>
      <c r="B129" s="308" t="s">
        <v>200</v>
      </c>
      <c r="C129" s="309" t="s">
        <v>213</v>
      </c>
      <c r="D129" s="310">
        <f>ID!Q63</f>
        <v>0</v>
      </c>
      <c r="E129" s="310">
        <f>SQRT(5)</f>
        <v>2.2360679774997898</v>
      </c>
      <c r="F129" s="310">
        <f>(D129/E129)</f>
        <v>0</v>
      </c>
      <c r="G129" s="311">
        <v>1</v>
      </c>
      <c r="H129" s="311">
        <f>5-1</f>
        <v>4</v>
      </c>
      <c r="I129" s="312">
        <f>F129*G129</f>
        <v>0</v>
      </c>
      <c r="J129" s="312">
        <f>I129^2</f>
        <v>0</v>
      </c>
      <c r="K129" s="312">
        <f>((I129)^4)/H129</f>
        <v>0</v>
      </c>
    </row>
    <row r="130" spans="1:21" x14ac:dyDescent="0.3">
      <c r="A130" s="307" t="s">
        <v>214</v>
      </c>
      <c r="B130" s="308" t="s">
        <v>200</v>
      </c>
      <c r="C130" s="309" t="s">
        <v>213</v>
      </c>
      <c r="D130" s="1260">
        <f>'INTERPOLASI  '!AJ22</f>
        <v>0.1</v>
      </c>
      <c r="E130" s="311">
        <v>2</v>
      </c>
      <c r="F130" s="310">
        <f>D130/E130</f>
        <v>0.05</v>
      </c>
      <c r="G130" s="311">
        <v>1</v>
      </c>
      <c r="H130" s="311">
        <v>50</v>
      </c>
      <c r="I130" s="312">
        <f>F130*G130</f>
        <v>0.05</v>
      </c>
      <c r="J130" s="312">
        <f>I130^2</f>
        <v>2.5000000000000005E-3</v>
      </c>
      <c r="K130" s="312">
        <f>((I130)^4)/H130</f>
        <v>1.2500000000000005E-7</v>
      </c>
      <c r="Q130" s="961">
        <f>A127</f>
        <v>194.91000009999999</v>
      </c>
      <c r="R130" s="952" t="s">
        <v>516</v>
      </c>
      <c r="S130" s="962">
        <v>194.12</v>
      </c>
      <c r="T130" s="953" t="s">
        <v>214</v>
      </c>
      <c r="U130" s="964">
        <f>((((AD4-Z4)*(S130-X4)))/(AB4-X4))+Z4</f>
        <v>-0.87648000000000004</v>
      </c>
    </row>
    <row r="131" spans="1:21" x14ac:dyDescent="0.3">
      <c r="A131" s="307" t="s">
        <v>215</v>
      </c>
      <c r="B131" s="308" t="s">
        <v>200</v>
      </c>
      <c r="C131" s="309" t="s">
        <v>216</v>
      </c>
      <c r="D131" s="310">
        <f>D90</f>
        <v>0.5</v>
      </c>
      <c r="E131" s="310">
        <f>SQRT(3)</f>
        <v>1.7320508075688772</v>
      </c>
      <c r="F131" s="310">
        <f>D131/E131</f>
        <v>0.28867513459481292</v>
      </c>
      <c r="G131" s="311">
        <v>1</v>
      </c>
      <c r="H131" s="311">
        <v>50</v>
      </c>
      <c r="I131" s="312">
        <f>F131*G131</f>
        <v>0.28867513459481292</v>
      </c>
      <c r="J131" s="312">
        <f>I131^2</f>
        <v>8.3333333333333356E-2</v>
      </c>
      <c r="K131" s="312">
        <f>((I131)^4)/H131</f>
        <v>1.3888888888888897E-4</v>
      </c>
    </row>
    <row r="132" spans="1:21" x14ac:dyDescent="0.3">
      <c r="A132" s="307" t="s">
        <v>217</v>
      </c>
      <c r="B132" s="308" t="s">
        <v>200</v>
      </c>
      <c r="C132" s="309" t="s">
        <v>216</v>
      </c>
      <c r="D132" s="1260">
        <f>'INTERPOLASI  '!BI22</f>
        <v>3.3333333333333333E-2</v>
      </c>
      <c r="E132" s="310">
        <f>SQRT(3)</f>
        <v>1.7320508075688772</v>
      </c>
      <c r="F132" s="310">
        <f>D132/E132</f>
        <v>1.9245008972987525E-2</v>
      </c>
      <c r="G132" s="311">
        <v>1</v>
      </c>
      <c r="H132" s="311">
        <v>50</v>
      </c>
      <c r="I132" s="312">
        <f>F132*G132</f>
        <v>1.9245008972987525E-2</v>
      </c>
      <c r="J132" s="312">
        <f>I132^2</f>
        <v>3.7037037037037035E-4</v>
      </c>
      <c r="K132" s="312">
        <f>((I132)^4)/H132</f>
        <v>2.7434842249657066E-9</v>
      </c>
      <c r="T132" s="134" t="s">
        <v>217</v>
      </c>
      <c r="U132" s="964">
        <f>((((AN4-AJ4)*(S130-AH4)))/(AL4-AH4))+AJ4</f>
        <v>3.3333333333333333E-2</v>
      </c>
    </row>
    <row r="133" spans="1:21" x14ac:dyDescent="0.3">
      <c r="A133" s="316"/>
      <c r="B133" s="316"/>
      <c r="C133" s="316"/>
      <c r="D133" s="316"/>
      <c r="E133" s="666" t="s">
        <v>218</v>
      </c>
      <c r="F133" s="667"/>
      <c r="G133" s="667"/>
      <c r="H133" s="667"/>
      <c r="I133" s="668"/>
      <c r="J133" s="317">
        <f>SUM(J129:J132)</f>
        <v>8.6203703703703727E-2</v>
      </c>
      <c r="K133" s="317">
        <f>SUM(K129:K132)</f>
        <v>1.3901663237311391E-4</v>
      </c>
    </row>
    <row r="134" spans="1:21" ht="16.8" x14ac:dyDescent="0.4">
      <c r="A134" s="318"/>
      <c r="B134" s="318"/>
      <c r="C134" s="318"/>
      <c r="D134" s="318"/>
      <c r="E134" s="1507" t="s">
        <v>219</v>
      </c>
      <c r="F134" s="1508"/>
      <c r="G134" s="1508"/>
      <c r="H134" s="1508"/>
      <c r="I134" s="1509"/>
      <c r="J134" s="317">
        <f>SQRT(J133)</f>
        <v>0.29360467248275141</v>
      </c>
      <c r="K134" s="312"/>
    </row>
    <row r="135" spans="1:21" x14ac:dyDescent="0.3">
      <c r="A135" s="318"/>
      <c r="B135" s="318"/>
      <c r="C135" s="318"/>
      <c r="D135" s="318"/>
      <c r="E135" s="1507" t="s">
        <v>220</v>
      </c>
      <c r="F135" s="1508"/>
      <c r="G135" s="1508"/>
      <c r="H135" s="1508"/>
      <c r="I135" s="1509"/>
      <c r="J135" s="317">
        <f>((J134)^4)/K133</f>
        <v>53.454600398399009</v>
      </c>
      <c r="K135" s="312"/>
    </row>
    <row r="136" spans="1:21" x14ac:dyDescent="0.3">
      <c r="A136" s="318"/>
      <c r="B136" s="318"/>
      <c r="C136" s="318"/>
      <c r="D136" s="318"/>
      <c r="E136" s="1507" t="s">
        <v>221</v>
      </c>
      <c r="F136" s="1508"/>
      <c r="G136" s="1508"/>
      <c r="H136" s="1508"/>
      <c r="I136" s="1509"/>
      <c r="J136" s="312">
        <f>TINV(0.05,J135)</f>
        <v>2.0057459953178696</v>
      </c>
      <c r="K136" s="312"/>
    </row>
    <row r="137" spans="1:21" x14ac:dyDescent="0.3">
      <c r="A137" s="318"/>
      <c r="B137" s="318"/>
      <c r="C137" s="318"/>
      <c r="D137" s="318"/>
      <c r="E137" s="1507" t="s">
        <v>222</v>
      </c>
      <c r="F137" s="1508"/>
      <c r="G137" s="1508"/>
      <c r="H137" s="1508"/>
      <c r="I137" s="1509"/>
      <c r="J137" s="319">
        <f>J136*J134</f>
        <v>0.58889639603889332</v>
      </c>
      <c r="K137" s="312"/>
    </row>
    <row r="138" spans="1:21" hidden="1" x14ac:dyDescent="0.3">
      <c r="J138" s="321"/>
    </row>
    <row r="139" spans="1:21" hidden="1" x14ac:dyDescent="0.3"/>
    <row r="140" spans="1:21" x14ac:dyDescent="0.3">
      <c r="A140" s="324">
        <f>ID!D64</f>
        <v>150</v>
      </c>
      <c r="B140" s="325" t="str">
        <f>B141</f>
        <v>mmHg</v>
      </c>
      <c r="C140" s="326">
        <v>5</v>
      </c>
      <c r="D140" s="318"/>
      <c r="E140" s="320"/>
      <c r="F140" s="320"/>
      <c r="G140" s="320"/>
      <c r="H140" s="320"/>
      <c r="I140" s="320"/>
      <c r="J140" s="323"/>
      <c r="K140" s="322"/>
    </row>
    <row r="141" spans="1:21" x14ac:dyDescent="0.3">
      <c r="A141" s="301">
        <f>ID!L64</f>
        <v>149.61199999999999</v>
      </c>
      <c r="B141" s="302" t="s">
        <v>200</v>
      </c>
    </row>
    <row r="142" spans="1:21" ht="18" x14ac:dyDescent="0.4">
      <c r="A142" s="303" t="s">
        <v>201</v>
      </c>
      <c r="B142" s="303" t="s">
        <v>202</v>
      </c>
      <c r="C142" s="303" t="s">
        <v>203</v>
      </c>
      <c r="D142" s="303" t="s">
        <v>204</v>
      </c>
      <c r="E142" s="303" t="s">
        <v>205</v>
      </c>
      <c r="F142" s="303" t="s">
        <v>206</v>
      </c>
      <c r="G142" s="303" t="s">
        <v>207</v>
      </c>
      <c r="H142" s="303" t="s">
        <v>208</v>
      </c>
      <c r="I142" s="303" t="s">
        <v>209</v>
      </c>
      <c r="J142" s="303" t="s">
        <v>210</v>
      </c>
      <c r="K142" s="304" t="s">
        <v>211</v>
      </c>
    </row>
    <row r="143" spans="1:21" x14ac:dyDescent="0.3">
      <c r="A143" s="307" t="s">
        <v>212</v>
      </c>
      <c r="B143" s="308" t="s">
        <v>200</v>
      </c>
      <c r="C143" s="309" t="s">
        <v>213</v>
      </c>
      <c r="D143" s="310">
        <f>ID!Q64</f>
        <v>0</v>
      </c>
      <c r="E143" s="310">
        <f>SQRT(5)</f>
        <v>2.2360679774997898</v>
      </c>
      <c r="F143" s="310">
        <f>(D143/E143)</f>
        <v>0</v>
      </c>
      <c r="G143" s="311">
        <v>1</v>
      </c>
      <c r="H143" s="311">
        <f>5-1</f>
        <v>4</v>
      </c>
      <c r="I143" s="312">
        <f>F143*G143</f>
        <v>0</v>
      </c>
      <c r="J143" s="312">
        <f>I143^2</f>
        <v>0</v>
      </c>
      <c r="K143" s="310">
        <f>((I143)^4)/H143</f>
        <v>0</v>
      </c>
    </row>
    <row r="144" spans="1:21" x14ac:dyDescent="0.3">
      <c r="A144" s="307" t="s">
        <v>214</v>
      </c>
      <c r="B144" s="308" t="s">
        <v>200</v>
      </c>
      <c r="C144" s="309" t="s">
        <v>213</v>
      </c>
      <c r="D144" s="1260">
        <f>'INTERPOLASI  '!AU22</f>
        <v>0.1</v>
      </c>
      <c r="E144" s="311">
        <v>2</v>
      </c>
      <c r="F144" s="310">
        <f>D144/E144</f>
        <v>0.05</v>
      </c>
      <c r="G144" s="311">
        <v>1</v>
      </c>
      <c r="H144" s="311">
        <v>50</v>
      </c>
      <c r="I144" s="312">
        <f>F144*G144</f>
        <v>0.05</v>
      </c>
      <c r="J144" s="312">
        <f>I144^2</f>
        <v>2.5000000000000005E-3</v>
      </c>
      <c r="K144" s="312">
        <f>((I144)^4)/H144</f>
        <v>1.2500000000000005E-7</v>
      </c>
      <c r="T144" s="953" t="s">
        <v>214</v>
      </c>
      <c r="U144" s="964">
        <f>((((AD3-Z3)*(S145-X3)))/(AB3-X3))+Z3</f>
        <v>-0.66598000000000002</v>
      </c>
    </row>
    <row r="145" spans="1:21" x14ac:dyDescent="0.3">
      <c r="A145" s="307" t="s">
        <v>215</v>
      </c>
      <c r="B145" s="308" t="s">
        <v>200</v>
      </c>
      <c r="C145" s="309" t="s">
        <v>216</v>
      </c>
      <c r="D145" s="310">
        <f>D104</f>
        <v>0.5</v>
      </c>
      <c r="E145" s="310">
        <f>SQRT(3)</f>
        <v>1.7320508075688772</v>
      </c>
      <c r="F145" s="310">
        <f>D145/E145</f>
        <v>0.28867513459481292</v>
      </c>
      <c r="G145" s="311">
        <v>1</v>
      </c>
      <c r="H145" s="311">
        <v>50</v>
      </c>
      <c r="I145" s="312">
        <f>F145*G145</f>
        <v>0.28867513459481292</v>
      </c>
      <c r="J145" s="312">
        <f>I145^2</f>
        <v>8.3333333333333356E-2</v>
      </c>
      <c r="K145" s="312">
        <f>((I145)^4)/H145</f>
        <v>1.3888888888888897E-4</v>
      </c>
      <c r="Q145" s="961">
        <f>A141</f>
        <v>149.61199999999999</v>
      </c>
      <c r="R145" s="952" t="s">
        <v>516</v>
      </c>
      <c r="S145" s="962">
        <v>144.33000000000001</v>
      </c>
    </row>
    <row r="146" spans="1:21" x14ac:dyDescent="0.3">
      <c r="A146" s="307" t="s">
        <v>217</v>
      </c>
      <c r="B146" s="308" t="s">
        <v>200</v>
      </c>
      <c r="C146" s="309" t="s">
        <v>216</v>
      </c>
      <c r="D146" s="1260">
        <f>'INTERPOLASI  '!BT22</f>
        <v>3.3333333333333333E-2</v>
      </c>
      <c r="E146" s="310">
        <f>SQRT(3)</f>
        <v>1.7320508075688772</v>
      </c>
      <c r="F146" s="310">
        <f>D146/E146</f>
        <v>1.9245008972987525E-2</v>
      </c>
      <c r="G146" s="311">
        <v>1</v>
      </c>
      <c r="H146" s="311">
        <v>50</v>
      </c>
      <c r="I146" s="312">
        <f>F146*G146</f>
        <v>1.9245008972987525E-2</v>
      </c>
      <c r="J146" s="312">
        <f>I146^2</f>
        <v>3.7037037037037035E-4</v>
      </c>
      <c r="K146" s="312">
        <f>((I146)^4)/H146</f>
        <v>2.7434842249657066E-9</v>
      </c>
      <c r="N146" s="136"/>
      <c r="P146" s="135"/>
      <c r="T146" s="134" t="s">
        <v>217</v>
      </c>
      <c r="U146" s="964">
        <f>((((AN3-AJ3)*(S145-AH3)))/(AL3-AH3))+AJ3</f>
        <v>3.3333333333333333E-2</v>
      </c>
    </row>
    <row r="147" spans="1:21" x14ac:dyDescent="0.3">
      <c r="A147" s="316"/>
      <c r="B147" s="316"/>
      <c r="C147" s="316"/>
      <c r="D147" s="316"/>
      <c r="E147" s="666" t="s">
        <v>218</v>
      </c>
      <c r="F147" s="667"/>
      <c r="G147" s="667"/>
      <c r="H147" s="667"/>
      <c r="I147" s="668"/>
      <c r="J147" s="317">
        <f>SUM(J143:J146)</f>
        <v>8.6203703703703727E-2</v>
      </c>
      <c r="K147" s="332">
        <f>SUM(K143:K146)</f>
        <v>1.3901663237311391E-4</v>
      </c>
      <c r="N147" s="124"/>
      <c r="O147" s="124"/>
      <c r="P147" s="124"/>
    </row>
    <row r="148" spans="1:21" ht="16.8" x14ac:dyDescent="0.4">
      <c r="A148" s="318"/>
      <c r="B148" s="318"/>
      <c r="C148" s="318"/>
      <c r="D148" s="318"/>
      <c r="E148" s="1507" t="s">
        <v>219</v>
      </c>
      <c r="F148" s="1508"/>
      <c r="G148" s="1508"/>
      <c r="H148" s="1508"/>
      <c r="I148" s="1509"/>
      <c r="J148" s="317">
        <f>SQRT(J147)</f>
        <v>0.29360467248275141</v>
      </c>
      <c r="K148" s="312"/>
    </row>
    <row r="149" spans="1:21" x14ac:dyDescent="0.3">
      <c r="A149" s="318"/>
      <c r="B149" s="318"/>
      <c r="C149" s="318"/>
      <c r="D149" s="318"/>
      <c r="E149" s="1507" t="s">
        <v>220</v>
      </c>
      <c r="F149" s="1508"/>
      <c r="G149" s="1508"/>
      <c r="H149" s="1508"/>
      <c r="I149" s="1509"/>
      <c r="J149" s="317">
        <f>((J148)^4)/K147</f>
        <v>53.454600398399009</v>
      </c>
      <c r="K149" s="312"/>
    </row>
    <row r="150" spans="1:21" x14ac:dyDescent="0.3">
      <c r="A150" s="318"/>
      <c r="B150" s="318"/>
      <c r="C150" s="318"/>
      <c r="D150" s="318"/>
      <c r="E150" s="1507" t="s">
        <v>221</v>
      </c>
      <c r="F150" s="1508"/>
      <c r="G150" s="1508"/>
      <c r="H150" s="1508"/>
      <c r="I150" s="1509"/>
      <c r="J150" s="312">
        <f>TINV(0.05,J149)</f>
        <v>2.0057459953178696</v>
      </c>
      <c r="K150" s="312"/>
    </row>
    <row r="151" spans="1:21" x14ac:dyDescent="0.3">
      <c r="A151" s="318"/>
      <c r="B151" s="318"/>
      <c r="C151" s="318"/>
      <c r="D151" s="318"/>
      <c r="E151" s="1507" t="s">
        <v>222</v>
      </c>
      <c r="F151" s="1508"/>
      <c r="G151" s="1508"/>
      <c r="H151" s="1508"/>
      <c r="I151" s="1509"/>
      <c r="J151" s="319">
        <f>J150*J148</f>
        <v>0.58889639603889332</v>
      </c>
      <c r="K151" s="312"/>
    </row>
    <row r="152" spans="1:21" x14ac:dyDescent="0.3">
      <c r="J152" s="321"/>
    </row>
    <row r="153" spans="1:21" hidden="1" x14ac:dyDescent="0.3"/>
    <row r="154" spans="1:21" hidden="1" x14ac:dyDescent="0.3"/>
    <row r="155" spans="1:21" hidden="1" x14ac:dyDescent="0.3"/>
    <row r="156" spans="1:21" x14ac:dyDescent="0.3">
      <c r="A156" s="1513" t="s">
        <v>223</v>
      </c>
      <c r="B156" s="1513"/>
      <c r="C156" s="1513"/>
      <c r="D156" s="1513"/>
      <c r="E156" s="1513"/>
      <c r="F156" s="1513"/>
      <c r="G156" s="1513"/>
      <c r="H156" s="1513"/>
      <c r="I156" s="1513"/>
      <c r="J156" s="1513"/>
      <c r="K156" s="1513"/>
      <c r="L156" s="1513"/>
      <c r="M156" s="1513"/>
      <c r="N156" s="1513"/>
      <c r="O156" s="1513"/>
      <c r="P156" s="1513"/>
    </row>
    <row r="157" spans="1:21" x14ac:dyDescent="0.3">
      <c r="A157" s="324">
        <f>ID!D73</f>
        <v>60</v>
      </c>
      <c r="B157" s="325" t="s">
        <v>224</v>
      </c>
      <c r="C157" s="326"/>
      <c r="D157" s="318"/>
      <c r="E157" s="320"/>
      <c r="F157" s="320"/>
      <c r="G157" s="320"/>
      <c r="H157" s="320"/>
      <c r="I157" s="320"/>
      <c r="J157" s="323"/>
      <c r="K157" s="322"/>
    </row>
    <row r="158" spans="1:21" x14ac:dyDescent="0.3">
      <c r="A158" s="301">
        <f>ID!J73</f>
        <v>60</v>
      </c>
      <c r="B158" s="302"/>
    </row>
    <row r="159" spans="1:21" ht="18" x14ac:dyDescent="0.4">
      <c r="A159" s="303" t="s">
        <v>201</v>
      </c>
      <c r="B159" s="303" t="s">
        <v>202</v>
      </c>
      <c r="C159" s="303" t="s">
        <v>203</v>
      </c>
      <c r="D159" s="303" t="s">
        <v>204</v>
      </c>
      <c r="E159" s="303" t="s">
        <v>205</v>
      </c>
      <c r="F159" s="303" t="s">
        <v>206</v>
      </c>
      <c r="G159" s="303" t="s">
        <v>207</v>
      </c>
      <c r="H159" s="303" t="s">
        <v>208</v>
      </c>
      <c r="I159" s="303" t="s">
        <v>209</v>
      </c>
      <c r="J159" s="303" t="s">
        <v>210</v>
      </c>
      <c r="K159" s="304" t="s">
        <v>211</v>
      </c>
    </row>
    <row r="160" spans="1:21" x14ac:dyDescent="0.3">
      <c r="A160" s="307" t="s">
        <v>212</v>
      </c>
      <c r="B160" s="308" t="str">
        <f>B157</f>
        <v>bpm</v>
      </c>
      <c r="C160" s="309" t="s">
        <v>213</v>
      </c>
      <c r="D160" s="333">
        <f>ID!O73</f>
        <v>0</v>
      </c>
      <c r="E160" s="333">
        <f>SQRT(3)</f>
        <v>1.7320508075688772</v>
      </c>
      <c r="F160" s="333">
        <f>(D160/E160)</f>
        <v>0</v>
      </c>
      <c r="G160" s="311">
        <v>1</v>
      </c>
      <c r="H160" s="311">
        <f>3-1</f>
        <v>2</v>
      </c>
      <c r="I160" s="312">
        <f>F160*G160</f>
        <v>0</v>
      </c>
      <c r="J160" s="312">
        <f>I160^2</f>
        <v>0</v>
      </c>
      <c r="K160" s="312">
        <f>((I160)^4)/H160</f>
        <v>0</v>
      </c>
    </row>
    <row r="161" spans="1:11" hidden="1" x14ac:dyDescent="0.3">
      <c r="A161" s="307" t="s">
        <v>214</v>
      </c>
      <c r="B161" s="308" t="str">
        <f>B157</f>
        <v>bpm</v>
      </c>
      <c r="C161" s="309" t="s">
        <v>213</v>
      </c>
      <c r="D161" s="334">
        <v>0</v>
      </c>
      <c r="E161" s="333">
        <v>2</v>
      </c>
      <c r="F161" s="333">
        <f>D161/E161</f>
        <v>0</v>
      </c>
      <c r="G161" s="311">
        <v>1</v>
      </c>
      <c r="H161" s="311">
        <v>50</v>
      </c>
      <c r="I161" s="312">
        <f>F161*G161</f>
        <v>0</v>
      </c>
      <c r="J161" s="312">
        <f>I161^2</f>
        <v>0</v>
      </c>
      <c r="K161" s="312">
        <f>((I161)^4)/H161</f>
        <v>0</v>
      </c>
    </row>
    <row r="162" spans="1:11" x14ac:dyDescent="0.3">
      <c r="A162" s="307" t="s">
        <v>215</v>
      </c>
      <c r="B162" s="308" t="str">
        <f>B157</f>
        <v>bpm</v>
      </c>
      <c r="C162" s="309" t="s">
        <v>216</v>
      </c>
      <c r="D162" s="333">
        <f>ID!J14*0.5</f>
        <v>0.5</v>
      </c>
      <c r="E162" s="333">
        <f>SQRT(3)</f>
        <v>1.7320508075688772</v>
      </c>
      <c r="F162" s="333">
        <f>D162/E162</f>
        <v>0.28867513459481292</v>
      </c>
      <c r="G162" s="311">
        <v>1</v>
      </c>
      <c r="H162" s="311">
        <v>50</v>
      </c>
      <c r="I162" s="312">
        <f>F162*G162</f>
        <v>0.28867513459481292</v>
      </c>
      <c r="J162" s="312">
        <f>I162^2</f>
        <v>8.3333333333333356E-2</v>
      </c>
      <c r="K162" s="312">
        <f>((I162)^4)/H162</f>
        <v>1.3888888888888897E-4</v>
      </c>
    </row>
    <row r="163" spans="1:11" hidden="1" x14ac:dyDescent="0.3">
      <c r="A163" s="307" t="s">
        <v>217</v>
      </c>
      <c r="B163" s="308" t="str">
        <f>B157</f>
        <v>bpm</v>
      </c>
      <c r="C163" s="309" t="s">
        <v>216</v>
      </c>
      <c r="D163" s="334">
        <v>0</v>
      </c>
      <c r="E163" s="333">
        <f>SQRT(3)</f>
        <v>1.7320508075688772</v>
      </c>
      <c r="F163" s="333">
        <f>D163/E163</f>
        <v>0</v>
      </c>
      <c r="G163" s="311">
        <v>1</v>
      </c>
      <c r="H163" s="311">
        <v>50</v>
      </c>
      <c r="I163" s="312">
        <f>F163*G163</f>
        <v>0</v>
      </c>
      <c r="J163" s="312">
        <f>I163^2</f>
        <v>0</v>
      </c>
      <c r="K163" s="312">
        <f>((I163)^4)/H163</f>
        <v>0</v>
      </c>
    </row>
    <row r="164" spans="1:11" x14ac:dyDescent="0.3">
      <c r="A164" s="316"/>
      <c r="B164" s="316"/>
      <c r="C164" s="316"/>
      <c r="D164" s="316"/>
      <c r="E164" s="666" t="s">
        <v>218</v>
      </c>
      <c r="F164" s="667"/>
      <c r="G164" s="667"/>
      <c r="H164" s="667"/>
      <c r="I164" s="668"/>
      <c r="J164" s="317">
        <f>SUM(J160:J163)</f>
        <v>8.3333333333333356E-2</v>
      </c>
      <c r="K164" s="317">
        <f>SUM(K160:K163)</f>
        <v>1.3888888888888897E-4</v>
      </c>
    </row>
    <row r="165" spans="1:11" ht="16.8" x14ac:dyDescent="0.4">
      <c r="A165" s="318"/>
      <c r="B165" s="318"/>
      <c r="C165" s="318"/>
      <c r="D165" s="318"/>
      <c r="E165" s="1507" t="s">
        <v>219</v>
      </c>
      <c r="F165" s="1508"/>
      <c r="G165" s="1508"/>
      <c r="H165" s="1508"/>
      <c r="I165" s="1509"/>
      <c r="J165" s="317">
        <f>SQRT(J164)</f>
        <v>0.28867513459481292</v>
      </c>
      <c r="K165" s="312"/>
    </row>
    <row r="166" spans="1:11" x14ac:dyDescent="0.3">
      <c r="A166" s="318"/>
      <c r="B166" s="318"/>
      <c r="C166" s="318"/>
      <c r="D166" s="318"/>
      <c r="E166" s="1507" t="s">
        <v>220</v>
      </c>
      <c r="F166" s="1508"/>
      <c r="G166" s="1508"/>
      <c r="H166" s="1508"/>
      <c r="I166" s="1509"/>
      <c r="J166" s="317">
        <f>((J165)^4)/K164</f>
        <v>50</v>
      </c>
      <c r="K166" s="312"/>
    </row>
    <row r="167" spans="1:11" x14ac:dyDescent="0.3">
      <c r="A167" s="318"/>
      <c r="B167" s="318"/>
      <c r="C167" s="318"/>
      <c r="D167" s="318"/>
      <c r="E167" s="1507" t="s">
        <v>221</v>
      </c>
      <c r="F167" s="1508"/>
      <c r="G167" s="1508"/>
      <c r="H167" s="1508"/>
      <c r="I167" s="1509"/>
      <c r="J167" s="312">
        <f>TINV(0.05,J166)</f>
        <v>2.0085591121007611</v>
      </c>
      <c r="K167" s="312"/>
    </row>
    <row r="168" spans="1:11" x14ac:dyDescent="0.3">
      <c r="A168" s="318"/>
      <c r="B168" s="318"/>
      <c r="C168" s="318"/>
      <c r="D168" s="318"/>
      <c r="E168" s="1507" t="s">
        <v>222</v>
      </c>
      <c r="F168" s="1508"/>
      <c r="G168" s="1508"/>
      <c r="H168" s="1508"/>
      <c r="I168" s="1509"/>
      <c r="J168" s="332">
        <f>J167*J165</f>
        <v>0.57982107202732514</v>
      </c>
      <c r="K168" s="312"/>
    </row>
    <row r="169" spans="1:11" x14ac:dyDescent="0.3">
      <c r="J169" s="335">
        <f>(ABS(J168/A158)*100)</f>
        <v>0.96636845337887511</v>
      </c>
    </row>
    <row r="170" spans="1:11" x14ac:dyDescent="0.3">
      <c r="A170" s="324">
        <f>ID!D74</f>
        <v>120</v>
      </c>
      <c r="B170" s="325" t="str">
        <f>B157</f>
        <v>bpm</v>
      </c>
      <c r="C170" s="326"/>
      <c r="D170" s="318"/>
      <c r="E170" s="320"/>
      <c r="F170" s="320"/>
      <c r="G170" s="320"/>
      <c r="H170" s="320"/>
      <c r="I170" s="320"/>
      <c r="J170" s="323"/>
      <c r="K170" s="322"/>
    </row>
    <row r="171" spans="1:11" x14ac:dyDescent="0.3">
      <c r="A171" s="301">
        <f>ID!J74</f>
        <v>121</v>
      </c>
      <c r="B171" s="302"/>
    </row>
    <row r="172" spans="1:11" ht="18" x14ac:dyDescent="0.4">
      <c r="A172" s="303" t="s">
        <v>201</v>
      </c>
      <c r="B172" s="303" t="s">
        <v>202</v>
      </c>
      <c r="C172" s="303" t="s">
        <v>203</v>
      </c>
      <c r="D172" s="303" t="s">
        <v>204</v>
      </c>
      <c r="E172" s="303" t="s">
        <v>205</v>
      </c>
      <c r="F172" s="303" t="s">
        <v>206</v>
      </c>
      <c r="G172" s="303" t="s">
        <v>207</v>
      </c>
      <c r="H172" s="303" t="s">
        <v>208</v>
      </c>
      <c r="I172" s="303" t="s">
        <v>209</v>
      </c>
      <c r="J172" s="303" t="s">
        <v>210</v>
      </c>
      <c r="K172" s="304" t="s">
        <v>211</v>
      </c>
    </row>
    <row r="173" spans="1:11" x14ac:dyDescent="0.3">
      <c r="A173" s="307" t="s">
        <v>212</v>
      </c>
      <c r="B173" s="308" t="str">
        <f>B170</f>
        <v>bpm</v>
      </c>
      <c r="C173" s="309" t="s">
        <v>213</v>
      </c>
      <c r="D173" s="333">
        <f>ID!O74</f>
        <v>0</v>
      </c>
      <c r="E173" s="333">
        <f>SQRT(3)</f>
        <v>1.7320508075688772</v>
      </c>
      <c r="F173" s="333">
        <f>(D173/E173)</f>
        <v>0</v>
      </c>
      <c r="G173" s="311">
        <v>1</v>
      </c>
      <c r="H173" s="311">
        <f>3-1</f>
        <v>2</v>
      </c>
      <c r="I173" s="312">
        <f>F173*G173</f>
        <v>0</v>
      </c>
      <c r="J173" s="312">
        <f>I173^2</f>
        <v>0</v>
      </c>
      <c r="K173" s="312">
        <f>((I173)^4)/H173</f>
        <v>0</v>
      </c>
    </row>
    <row r="174" spans="1:11" hidden="1" x14ac:dyDescent="0.3">
      <c r="A174" s="307" t="s">
        <v>214</v>
      </c>
      <c r="B174" s="308" t="str">
        <f>B170</f>
        <v>bpm</v>
      </c>
      <c r="C174" s="309" t="s">
        <v>213</v>
      </c>
      <c r="D174" s="334">
        <v>0</v>
      </c>
      <c r="E174" s="333">
        <v>2</v>
      </c>
      <c r="F174" s="333">
        <f>D174/E174</f>
        <v>0</v>
      </c>
      <c r="G174" s="311">
        <v>1</v>
      </c>
      <c r="H174" s="311">
        <v>50</v>
      </c>
      <c r="I174" s="312">
        <f>F174*G174</f>
        <v>0</v>
      </c>
      <c r="J174" s="312">
        <f>I174^2</f>
        <v>0</v>
      </c>
      <c r="K174" s="312">
        <f>((I174)^4)/H174</f>
        <v>0</v>
      </c>
    </row>
    <row r="175" spans="1:11" x14ac:dyDescent="0.3">
      <c r="A175" s="307" t="s">
        <v>215</v>
      </c>
      <c r="B175" s="308" t="str">
        <f>B170</f>
        <v>bpm</v>
      </c>
      <c r="C175" s="309" t="s">
        <v>216</v>
      </c>
      <c r="D175" s="333">
        <f>D162</f>
        <v>0.5</v>
      </c>
      <c r="E175" s="333">
        <f>SQRT(3)</f>
        <v>1.7320508075688772</v>
      </c>
      <c r="F175" s="333">
        <f>D175/E175</f>
        <v>0.28867513459481292</v>
      </c>
      <c r="G175" s="311">
        <v>1</v>
      </c>
      <c r="H175" s="311">
        <v>50</v>
      </c>
      <c r="I175" s="312">
        <f>F175*G175</f>
        <v>0.28867513459481292</v>
      </c>
      <c r="J175" s="312">
        <f>I175^2</f>
        <v>8.3333333333333356E-2</v>
      </c>
      <c r="K175" s="312">
        <f>((I175)^4)/H175</f>
        <v>1.3888888888888897E-4</v>
      </c>
    </row>
    <row r="176" spans="1:11" hidden="1" x14ac:dyDescent="0.3">
      <c r="A176" s="307" t="s">
        <v>217</v>
      </c>
      <c r="B176" s="308" t="str">
        <f>B170</f>
        <v>bpm</v>
      </c>
      <c r="C176" s="309" t="s">
        <v>216</v>
      </c>
      <c r="D176" s="334">
        <v>0</v>
      </c>
      <c r="E176" s="333">
        <f>SQRT(3)</f>
        <v>1.7320508075688772</v>
      </c>
      <c r="F176" s="333">
        <f>D176/E176</f>
        <v>0</v>
      </c>
      <c r="G176" s="311">
        <v>1</v>
      </c>
      <c r="H176" s="311">
        <v>50</v>
      </c>
      <c r="I176" s="312">
        <f>F176*G176</f>
        <v>0</v>
      </c>
      <c r="J176" s="312">
        <f>I176^2</f>
        <v>0</v>
      </c>
      <c r="K176" s="312">
        <f>((I176)^4)/H176</f>
        <v>0</v>
      </c>
    </row>
    <row r="177" spans="1:11" x14ac:dyDescent="0.3">
      <c r="A177" s="316"/>
      <c r="B177" s="316"/>
      <c r="C177" s="316"/>
      <c r="D177" s="316"/>
      <c r="E177" s="666" t="s">
        <v>218</v>
      </c>
      <c r="F177" s="667"/>
      <c r="G177" s="667"/>
      <c r="H177" s="667"/>
      <c r="I177" s="668"/>
      <c r="J177" s="317">
        <f>SUM(J173:J176)</f>
        <v>8.3333333333333356E-2</v>
      </c>
      <c r="K177" s="317">
        <f>SUM(K173:K176)</f>
        <v>1.3888888888888897E-4</v>
      </c>
    </row>
    <row r="178" spans="1:11" ht="16.8" x14ac:dyDescent="0.4">
      <c r="A178" s="318"/>
      <c r="B178" s="318"/>
      <c r="C178" s="318"/>
      <c r="D178" s="318"/>
      <c r="E178" s="1507" t="s">
        <v>219</v>
      </c>
      <c r="F178" s="1508"/>
      <c r="G178" s="1508"/>
      <c r="H178" s="1508"/>
      <c r="I178" s="1509"/>
      <c r="J178" s="317">
        <f>SQRT(J177)</f>
        <v>0.28867513459481292</v>
      </c>
      <c r="K178" s="312"/>
    </row>
    <row r="179" spans="1:11" x14ac:dyDescent="0.3">
      <c r="A179" s="318"/>
      <c r="B179" s="318"/>
      <c r="C179" s="318"/>
      <c r="D179" s="318"/>
      <c r="E179" s="1507" t="s">
        <v>220</v>
      </c>
      <c r="F179" s="1508"/>
      <c r="G179" s="1508"/>
      <c r="H179" s="1508"/>
      <c r="I179" s="1509"/>
      <c r="J179" s="317">
        <f>((J178)^4)/K177</f>
        <v>50</v>
      </c>
      <c r="K179" s="312"/>
    </row>
    <row r="180" spans="1:11" x14ac:dyDescent="0.3">
      <c r="A180" s="318"/>
      <c r="B180" s="318"/>
      <c r="C180" s="318"/>
      <c r="D180" s="318"/>
      <c r="E180" s="1507" t="s">
        <v>221</v>
      </c>
      <c r="F180" s="1508"/>
      <c r="G180" s="1508"/>
      <c r="H180" s="1508"/>
      <c r="I180" s="1509"/>
      <c r="J180" s="312">
        <f>TINV(0.05,J179)</f>
        <v>2.0085591121007611</v>
      </c>
      <c r="K180" s="312"/>
    </row>
    <row r="181" spans="1:11" x14ac:dyDescent="0.3">
      <c r="A181" s="318"/>
      <c r="B181" s="318"/>
      <c r="C181" s="318"/>
      <c r="D181" s="318"/>
      <c r="E181" s="1507" t="s">
        <v>222</v>
      </c>
      <c r="F181" s="1508"/>
      <c r="G181" s="1508"/>
      <c r="H181" s="1508"/>
      <c r="I181" s="1509"/>
      <c r="J181" s="332">
        <f>J180*J178</f>
        <v>0.57982107202732514</v>
      </c>
      <c r="K181" s="312"/>
    </row>
    <row r="182" spans="1:11" x14ac:dyDescent="0.3">
      <c r="J182" s="335">
        <f>(ABS(J181/A171)*100)</f>
        <v>0.47919096861762406</v>
      </c>
    </row>
    <row r="183" spans="1:11" x14ac:dyDescent="0.3">
      <c r="A183" s="324">
        <f>ID!D75</f>
        <v>180</v>
      </c>
      <c r="B183" s="325" t="str">
        <f>B170</f>
        <v>bpm</v>
      </c>
      <c r="C183" s="326"/>
      <c r="D183" s="318"/>
      <c r="E183" s="320"/>
      <c r="F183" s="320"/>
      <c r="G183" s="320"/>
      <c r="H183" s="320"/>
      <c r="I183" s="320"/>
      <c r="J183" s="323"/>
      <c r="K183" s="322"/>
    </row>
    <row r="184" spans="1:11" x14ac:dyDescent="0.3">
      <c r="A184" s="301">
        <f>ID!J75</f>
        <v>179</v>
      </c>
      <c r="B184" s="302"/>
    </row>
    <row r="185" spans="1:11" ht="18" x14ac:dyDescent="0.4">
      <c r="A185" s="303" t="s">
        <v>201</v>
      </c>
      <c r="B185" s="303" t="s">
        <v>202</v>
      </c>
      <c r="C185" s="303" t="s">
        <v>203</v>
      </c>
      <c r="D185" s="303" t="s">
        <v>204</v>
      </c>
      <c r="E185" s="303" t="s">
        <v>205</v>
      </c>
      <c r="F185" s="303" t="s">
        <v>206</v>
      </c>
      <c r="G185" s="303" t="s">
        <v>207</v>
      </c>
      <c r="H185" s="303" t="s">
        <v>208</v>
      </c>
      <c r="I185" s="303" t="s">
        <v>209</v>
      </c>
      <c r="J185" s="303" t="s">
        <v>210</v>
      </c>
      <c r="K185" s="304" t="s">
        <v>211</v>
      </c>
    </row>
    <row r="186" spans="1:11" x14ac:dyDescent="0.3">
      <c r="A186" s="307" t="s">
        <v>212</v>
      </c>
      <c r="B186" s="308" t="str">
        <f>B183</f>
        <v>bpm</v>
      </c>
      <c r="C186" s="309" t="s">
        <v>213</v>
      </c>
      <c r="D186" s="333">
        <f>ID!O75</f>
        <v>0</v>
      </c>
      <c r="E186" s="333">
        <f>SQRT(3)</f>
        <v>1.7320508075688772</v>
      </c>
      <c r="F186" s="333">
        <f>(D186/E186)</f>
        <v>0</v>
      </c>
      <c r="G186" s="311">
        <v>1</v>
      </c>
      <c r="H186" s="311">
        <f>3-1</f>
        <v>2</v>
      </c>
      <c r="I186" s="312">
        <f>F186*G186</f>
        <v>0</v>
      </c>
      <c r="J186" s="312">
        <f>I186^2</f>
        <v>0</v>
      </c>
      <c r="K186" s="312">
        <f>((I186)^4)/H186</f>
        <v>0</v>
      </c>
    </row>
    <row r="187" spans="1:11" hidden="1" x14ac:dyDescent="0.3">
      <c r="A187" s="307" t="s">
        <v>214</v>
      </c>
      <c r="B187" s="308" t="str">
        <f>B183</f>
        <v>bpm</v>
      </c>
      <c r="C187" s="309" t="s">
        <v>213</v>
      </c>
      <c r="D187" s="334">
        <v>0</v>
      </c>
      <c r="E187" s="333">
        <v>2</v>
      </c>
      <c r="F187" s="333">
        <f>D187/E187</f>
        <v>0</v>
      </c>
      <c r="G187" s="311">
        <v>1</v>
      </c>
      <c r="H187" s="311">
        <v>50</v>
      </c>
      <c r="I187" s="312">
        <f>F187*G187</f>
        <v>0</v>
      </c>
      <c r="J187" s="312">
        <f>I187^2</f>
        <v>0</v>
      </c>
      <c r="K187" s="312">
        <f>((I187)^4)/H187</f>
        <v>0</v>
      </c>
    </row>
    <row r="188" spans="1:11" x14ac:dyDescent="0.3">
      <c r="A188" s="307" t="s">
        <v>215</v>
      </c>
      <c r="B188" s="308" t="str">
        <f>B183</f>
        <v>bpm</v>
      </c>
      <c r="C188" s="309" t="s">
        <v>216</v>
      </c>
      <c r="D188" s="333">
        <f>D175</f>
        <v>0.5</v>
      </c>
      <c r="E188" s="333">
        <f>SQRT(3)</f>
        <v>1.7320508075688772</v>
      </c>
      <c r="F188" s="333">
        <f>D188/E188</f>
        <v>0.28867513459481292</v>
      </c>
      <c r="G188" s="311">
        <v>1</v>
      </c>
      <c r="H188" s="311">
        <v>50</v>
      </c>
      <c r="I188" s="312">
        <f>F188*G188</f>
        <v>0.28867513459481292</v>
      </c>
      <c r="J188" s="312">
        <f>I188^2</f>
        <v>8.3333333333333356E-2</v>
      </c>
      <c r="K188" s="312">
        <f>((I188)^4)/H188</f>
        <v>1.3888888888888897E-4</v>
      </c>
    </row>
    <row r="189" spans="1:11" hidden="1" x14ac:dyDescent="0.3">
      <c r="A189" s="307" t="s">
        <v>217</v>
      </c>
      <c r="B189" s="308" t="str">
        <f>B183</f>
        <v>bpm</v>
      </c>
      <c r="C189" s="309" t="s">
        <v>216</v>
      </c>
      <c r="D189" s="334">
        <v>0</v>
      </c>
      <c r="E189" s="333">
        <f>SQRT(3)</f>
        <v>1.7320508075688772</v>
      </c>
      <c r="F189" s="333">
        <f>D189/E189</f>
        <v>0</v>
      </c>
      <c r="G189" s="311">
        <v>1</v>
      </c>
      <c r="H189" s="311">
        <v>50</v>
      </c>
      <c r="I189" s="312">
        <f>F189*G189</f>
        <v>0</v>
      </c>
      <c r="J189" s="312">
        <f>I189^2</f>
        <v>0</v>
      </c>
      <c r="K189" s="312">
        <f>((I189)^4)/H189</f>
        <v>0</v>
      </c>
    </row>
    <row r="190" spans="1:11" x14ac:dyDescent="0.3">
      <c r="A190" s="316"/>
      <c r="B190" s="316"/>
      <c r="C190" s="316"/>
      <c r="D190" s="316"/>
      <c r="E190" s="666" t="s">
        <v>218</v>
      </c>
      <c r="F190" s="667"/>
      <c r="G190" s="667"/>
      <c r="H190" s="667"/>
      <c r="I190" s="668"/>
      <c r="J190" s="317">
        <f>SUM(J186:J189)</f>
        <v>8.3333333333333356E-2</v>
      </c>
      <c r="K190" s="317">
        <f>SUM(K186:K189)</f>
        <v>1.3888888888888897E-4</v>
      </c>
    </row>
    <row r="191" spans="1:11" ht="16.8" x14ac:dyDescent="0.4">
      <c r="A191" s="318"/>
      <c r="B191" s="318"/>
      <c r="C191" s="318"/>
      <c r="D191" s="318"/>
      <c r="E191" s="1507" t="s">
        <v>219</v>
      </c>
      <c r="F191" s="1508"/>
      <c r="G191" s="1508"/>
      <c r="H191" s="1508"/>
      <c r="I191" s="1509"/>
      <c r="J191" s="317">
        <f>SQRT(J190)</f>
        <v>0.28867513459481292</v>
      </c>
      <c r="K191" s="312"/>
    </row>
    <row r="192" spans="1:11" x14ac:dyDescent="0.3">
      <c r="A192" s="318"/>
      <c r="B192" s="318"/>
      <c r="C192" s="318"/>
      <c r="D192" s="318"/>
      <c r="E192" s="1507" t="s">
        <v>220</v>
      </c>
      <c r="F192" s="1508"/>
      <c r="G192" s="1508"/>
      <c r="H192" s="1508"/>
      <c r="I192" s="1509"/>
      <c r="J192" s="317">
        <f>((J191)^4)/K190</f>
        <v>50</v>
      </c>
      <c r="K192" s="312"/>
    </row>
    <row r="193" spans="1:11" x14ac:dyDescent="0.3">
      <c r="A193" s="318"/>
      <c r="B193" s="318"/>
      <c r="C193" s="318"/>
      <c r="D193" s="318"/>
      <c r="E193" s="1507" t="s">
        <v>221</v>
      </c>
      <c r="F193" s="1508"/>
      <c r="G193" s="1508"/>
      <c r="H193" s="1508"/>
      <c r="I193" s="1509"/>
      <c r="J193" s="312">
        <f>TINV(0.05,J192)</f>
        <v>2.0085591121007611</v>
      </c>
      <c r="K193" s="312"/>
    </row>
    <row r="194" spans="1:11" x14ac:dyDescent="0.3">
      <c r="A194" s="318"/>
      <c r="B194" s="318"/>
      <c r="C194" s="318"/>
      <c r="D194" s="318"/>
      <c r="E194" s="1507" t="s">
        <v>222</v>
      </c>
      <c r="F194" s="1508"/>
      <c r="G194" s="1508"/>
      <c r="H194" s="1508"/>
      <c r="I194" s="1509"/>
      <c r="J194" s="332">
        <f>J193*J191</f>
        <v>0.57982107202732514</v>
      </c>
      <c r="K194" s="312"/>
    </row>
    <row r="195" spans="1:11" x14ac:dyDescent="0.3">
      <c r="J195" s="335">
        <f>(ABS(J194/A184)*100)</f>
        <v>0.32392238660744421</v>
      </c>
    </row>
    <row r="196" spans="1:11" hidden="1" x14ac:dyDescent="0.3">
      <c r="A196" s="324">
        <f>ID!E60</f>
        <v>80</v>
      </c>
      <c r="B196" s="325" t="s">
        <v>225</v>
      </c>
      <c r="C196" s="326"/>
      <c r="D196" s="318"/>
      <c r="E196" s="320"/>
      <c r="F196" s="320"/>
      <c r="G196" s="320"/>
      <c r="H196" s="320"/>
      <c r="I196" s="320"/>
      <c r="J196" s="323"/>
      <c r="K196" s="322"/>
    </row>
    <row r="197" spans="1:11" hidden="1" x14ac:dyDescent="0.3">
      <c r="A197" s="301">
        <f>ID!L62</f>
        <v>0</v>
      </c>
      <c r="B197" s="302"/>
    </row>
    <row r="198" spans="1:11" ht="18" hidden="1" x14ac:dyDescent="0.4">
      <c r="A198" s="303" t="s">
        <v>201</v>
      </c>
      <c r="B198" s="303" t="s">
        <v>202</v>
      </c>
      <c r="C198" s="303" t="s">
        <v>203</v>
      </c>
      <c r="D198" s="303" t="s">
        <v>204</v>
      </c>
      <c r="E198" s="303" t="s">
        <v>205</v>
      </c>
      <c r="F198" s="303" t="s">
        <v>206</v>
      </c>
      <c r="G198" s="303" t="s">
        <v>207</v>
      </c>
      <c r="H198" s="303" t="s">
        <v>208</v>
      </c>
      <c r="I198" s="303" t="s">
        <v>209</v>
      </c>
      <c r="J198" s="303" t="s">
        <v>210</v>
      </c>
      <c r="K198" s="304" t="s">
        <v>211</v>
      </c>
    </row>
    <row r="199" spans="1:11" hidden="1" x14ac:dyDescent="0.3">
      <c r="A199" s="307" t="s">
        <v>212</v>
      </c>
      <c r="B199" s="308" t="str">
        <f>B196</f>
        <v>BPM</v>
      </c>
      <c r="C199" s="309" t="s">
        <v>213</v>
      </c>
      <c r="D199" s="333" t="e">
        <f>STDEV(ID!F62:H62)</f>
        <v>#DIV/0!</v>
      </c>
      <c r="E199" s="333">
        <f>SQRT(6)</f>
        <v>2.4494897427831779</v>
      </c>
      <c r="F199" s="333" t="e">
        <f>(D199/E199)</f>
        <v>#DIV/0!</v>
      </c>
      <c r="G199" s="311">
        <v>1</v>
      </c>
      <c r="H199" s="311">
        <f>3-1</f>
        <v>2</v>
      </c>
      <c r="I199" s="312" t="e">
        <f>F199*G199</f>
        <v>#DIV/0!</v>
      </c>
      <c r="J199" s="312" t="e">
        <f>I199^2</f>
        <v>#DIV/0!</v>
      </c>
      <c r="K199" s="312" t="e">
        <f>((I199)^4)/H199</f>
        <v>#DIV/0!</v>
      </c>
    </row>
    <row r="200" spans="1:11" hidden="1" x14ac:dyDescent="0.3">
      <c r="A200" s="307" t="s">
        <v>214</v>
      </c>
      <c r="B200" s="308" t="str">
        <f>B196</f>
        <v>BPM</v>
      </c>
      <c r="C200" s="309" t="s">
        <v>213</v>
      </c>
      <c r="D200" s="334">
        <v>0</v>
      </c>
      <c r="E200" s="333">
        <v>2</v>
      </c>
      <c r="F200" s="333">
        <f>D200/E200</f>
        <v>0</v>
      </c>
      <c r="G200" s="311">
        <v>1</v>
      </c>
      <c r="H200" s="311">
        <v>50</v>
      </c>
      <c r="I200" s="312">
        <f>F200*G200</f>
        <v>0</v>
      </c>
      <c r="J200" s="312">
        <f>I200^2</f>
        <v>0</v>
      </c>
      <c r="K200" s="312">
        <f>((I200)^4)/H200</f>
        <v>0</v>
      </c>
    </row>
    <row r="201" spans="1:11" hidden="1" x14ac:dyDescent="0.3">
      <c r="A201" s="307" t="s">
        <v>215</v>
      </c>
      <c r="B201" s="308" t="str">
        <f>B196</f>
        <v>BPM</v>
      </c>
      <c r="C201" s="309" t="s">
        <v>216</v>
      </c>
      <c r="D201" s="333">
        <f>ID!E14</f>
        <v>1</v>
      </c>
      <c r="E201" s="333">
        <f>SQRT(3)</f>
        <v>1.7320508075688772</v>
      </c>
      <c r="F201" s="333">
        <f>D201/E201</f>
        <v>0.57735026918962584</v>
      </c>
      <c r="G201" s="311">
        <v>1</v>
      </c>
      <c r="H201" s="311">
        <v>50</v>
      </c>
      <c r="I201" s="312">
        <f>F201*G201</f>
        <v>0.57735026918962584</v>
      </c>
      <c r="J201" s="312">
        <f>I201^2</f>
        <v>0.33333333333333343</v>
      </c>
      <c r="K201" s="312">
        <f>((I201)^4)/H201</f>
        <v>2.2222222222222235E-3</v>
      </c>
    </row>
    <row r="202" spans="1:11" hidden="1" x14ac:dyDescent="0.3">
      <c r="A202" s="307" t="s">
        <v>217</v>
      </c>
      <c r="B202" s="308" t="str">
        <f>B196</f>
        <v>BPM</v>
      </c>
      <c r="C202" s="309" t="s">
        <v>216</v>
      </c>
      <c r="D202" s="334">
        <v>0</v>
      </c>
      <c r="E202" s="333">
        <f>SQRT(3)</f>
        <v>1.7320508075688772</v>
      </c>
      <c r="F202" s="333">
        <f>D202/E202</f>
        <v>0</v>
      </c>
      <c r="G202" s="311">
        <v>1</v>
      </c>
      <c r="H202" s="311">
        <v>50</v>
      </c>
      <c r="I202" s="312">
        <f>F202*G202</f>
        <v>0</v>
      </c>
      <c r="J202" s="312">
        <f>I202^2</f>
        <v>0</v>
      </c>
      <c r="K202" s="312">
        <f>((I202)^4)/H202</f>
        <v>0</v>
      </c>
    </row>
    <row r="203" spans="1:11" hidden="1" x14ac:dyDescent="0.3">
      <c r="A203" s="316"/>
      <c r="B203" s="316"/>
      <c r="C203" s="316"/>
      <c r="D203" s="316"/>
      <c r="E203" s="666" t="s">
        <v>218</v>
      </c>
      <c r="F203" s="667"/>
      <c r="G203" s="667"/>
      <c r="H203" s="667"/>
      <c r="I203" s="668"/>
      <c r="J203" s="317" t="e">
        <f>SUM(J199:J202)</f>
        <v>#DIV/0!</v>
      </c>
      <c r="K203" s="317" t="e">
        <f>SUM(K199:K202)</f>
        <v>#DIV/0!</v>
      </c>
    </row>
    <row r="204" spans="1:11" ht="16.8" hidden="1" x14ac:dyDescent="0.4">
      <c r="A204" s="318"/>
      <c r="B204" s="318"/>
      <c r="C204" s="318"/>
      <c r="D204" s="318"/>
      <c r="E204" s="1507" t="s">
        <v>219</v>
      </c>
      <c r="F204" s="1508"/>
      <c r="G204" s="1508"/>
      <c r="H204" s="1508"/>
      <c r="I204" s="1509"/>
      <c r="J204" s="317" t="e">
        <f>SQRT(J203)</f>
        <v>#DIV/0!</v>
      </c>
      <c r="K204" s="312"/>
    </row>
    <row r="205" spans="1:11" hidden="1" x14ac:dyDescent="0.3">
      <c r="A205" s="318"/>
      <c r="B205" s="318"/>
      <c r="C205" s="318"/>
      <c r="D205" s="318"/>
      <c r="E205" s="1507" t="s">
        <v>220</v>
      </c>
      <c r="F205" s="1508"/>
      <c r="G205" s="1508"/>
      <c r="H205" s="1508"/>
      <c r="I205" s="1509"/>
      <c r="J205" s="317" t="e">
        <f>((J204)^4)/K203</f>
        <v>#DIV/0!</v>
      </c>
      <c r="K205" s="312"/>
    </row>
    <row r="206" spans="1:11" hidden="1" x14ac:dyDescent="0.3">
      <c r="A206" s="318"/>
      <c r="B206" s="318"/>
      <c r="C206" s="318"/>
      <c r="D206" s="318"/>
      <c r="E206" s="1507" t="s">
        <v>221</v>
      </c>
      <c r="F206" s="1508"/>
      <c r="G206" s="1508"/>
      <c r="H206" s="1508"/>
      <c r="I206" s="1509"/>
      <c r="J206" s="312" t="e">
        <f>TINV(0.05,J205)</f>
        <v>#DIV/0!</v>
      </c>
      <c r="K206" s="312"/>
    </row>
    <row r="207" spans="1:11" hidden="1" x14ac:dyDescent="0.3">
      <c r="A207" s="318"/>
      <c r="B207" s="318"/>
      <c r="C207" s="318"/>
      <c r="D207" s="318"/>
      <c r="E207" s="1507" t="s">
        <v>222</v>
      </c>
      <c r="F207" s="1508"/>
      <c r="G207" s="1508"/>
      <c r="H207" s="1508"/>
      <c r="I207" s="1509"/>
      <c r="J207" s="332" t="e">
        <f>J206*J204</f>
        <v>#DIV/0!</v>
      </c>
      <c r="K207" s="312"/>
    </row>
    <row r="208" spans="1:11" hidden="1" x14ac:dyDescent="0.3">
      <c r="J208" s="335" t="e">
        <f>(ABS(J207/A197)*100)</f>
        <v>#DIV/0!</v>
      </c>
    </row>
    <row r="209" spans="1:11" hidden="1" x14ac:dyDescent="0.3">
      <c r="A209" s="324">
        <f>ID!E63</f>
        <v>80</v>
      </c>
      <c r="B209" s="325" t="s">
        <v>225</v>
      </c>
      <c r="C209" s="326"/>
      <c r="D209" s="318"/>
      <c r="E209" s="320"/>
      <c r="F209" s="320"/>
      <c r="G209" s="320"/>
      <c r="H209" s="320"/>
      <c r="I209" s="320"/>
      <c r="J209" s="323"/>
      <c r="K209" s="322"/>
    </row>
    <row r="210" spans="1:11" hidden="1" x14ac:dyDescent="0.3">
      <c r="A210" s="301">
        <f>ID!L65</f>
        <v>0</v>
      </c>
      <c r="B210" s="302"/>
    </row>
    <row r="211" spans="1:11" ht="18" hidden="1" x14ac:dyDescent="0.4">
      <c r="A211" s="303" t="s">
        <v>201</v>
      </c>
      <c r="B211" s="303" t="s">
        <v>202</v>
      </c>
      <c r="C211" s="303" t="s">
        <v>203</v>
      </c>
      <c r="D211" s="303" t="s">
        <v>204</v>
      </c>
      <c r="E211" s="303" t="s">
        <v>205</v>
      </c>
      <c r="F211" s="303" t="s">
        <v>206</v>
      </c>
      <c r="G211" s="303" t="s">
        <v>207</v>
      </c>
      <c r="H211" s="303" t="s">
        <v>208</v>
      </c>
      <c r="I211" s="303" t="s">
        <v>209</v>
      </c>
      <c r="J211" s="303" t="s">
        <v>210</v>
      </c>
      <c r="K211" s="304" t="s">
        <v>211</v>
      </c>
    </row>
    <row r="212" spans="1:11" hidden="1" x14ac:dyDescent="0.3">
      <c r="A212" s="307" t="s">
        <v>212</v>
      </c>
      <c r="B212" s="308" t="str">
        <f>B209</f>
        <v>BPM</v>
      </c>
      <c r="C212" s="309" t="s">
        <v>213</v>
      </c>
      <c r="D212" s="333" t="e">
        <f>STDEV(ID!F65:H65)</f>
        <v>#DIV/0!</v>
      </c>
      <c r="E212" s="333">
        <f>SQRT(6)</f>
        <v>2.4494897427831779</v>
      </c>
      <c r="F212" s="333" t="e">
        <f>(D212/E212)</f>
        <v>#DIV/0!</v>
      </c>
      <c r="G212" s="311">
        <v>1</v>
      </c>
      <c r="H212" s="311">
        <f>3-1</f>
        <v>2</v>
      </c>
      <c r="I212" s="312" t="e">
        <f>F212*G212</f>
        <v>#DIV/0!</v>
      </c>
      <c r="J212" s="312" t="e">
        <f>I212^2</f>
        <v>#DIV/0!</v>
      </c>
      <c r="K212" s="312" t="e">
        <f>((I212)^4)/H212</f>
        <v>#DIV/0!</v>
      </c>
    </row>
    <row r="213" spans="1:11" hidden="1" x14ac:dyDescent="0.3">
      <c r="A213" s="307" t="s">
        <v>214</v>
      </c>
      <c r="B213" s="308" t="str">
        <f>B209</f>
        <v>BPM</v>
      </c>
      <c r="C213" s="309" t="s">
        <v>213</v>
      </c>
      <c r="D213" s="334">
        <v>0</v>
      </c>
      <c r="E213" s="333">
        <v>2</v>
      </c>
      <c r="F213" s="333">
        <f>D213/E213</f>
        <v>0</v>
      </c>
      <c r="G213" s="311">
        <v>1</v>
      </c>
      <c r="H213" s="311">
        <v>50</v>
      </c>
      <c r="I213" s="312">
        <f>F213*G213</f>
        <v>0</v>
      </c>
      <c r="J213" s="312">
        <f>I213^2</f>
        <v>0</v>
      </c>
      <c r="K213" s="312">
        <f>((I213)^4)/H213</f>
        <v>0</v>
      </c>
    </row>
    <row r="214" spans="1:11" hidden="1" x14ac:dyDescent="0.3">
      <c r="A214" s="307" t="s">
        <v>215</v>
      </c>
      <c r="B214" s="308" t="str">
        <f>B209</f>
        <v>BPM</v>
      </c>
      <c r="C214" s="309" t="s">
        <v>216</v>
      </c>
      <c r="D214" s="333">
        <f>ID!E14</f>
        <v>1</v>
      </c>
      <c r="E214" s="333">
        <f>SQRT(3)</f>
        <v>1.7320508075688772</v>
      </c>
      <c r="F214" s="333">
        <f>D214/E214</f>
        <v>0.57735026918962584</v>
      </c>
      <c r="G214" s="311">
        <v>1</v>
      </c>
      <c r="H214" s="311">
        <v>50</v>
      </c>
      <c r="I214" s="312">
        <f>F214*G214</f>
        <v>0.57735026918962584</v>
      </c>
      <c r="J214" s="312">
        <f>I214^2</f>
        <v>0.33333333333333343</v>
      </c>
      <c r="K214" s="312">
        <f>((I214)^4)/H214</f>
        <v>2.2222222222222235E-3</v>
      </c>
    </row>
    <row r="215" spans="1:11" hidden="1" x14ac:dyDescent="0.3">
      <c r="A215" s="307" t="s">
        <v>217</v>
      </c>
      <c r="B215" s="308" t="str">
        <f>B209</f>
        <v>BPM</v>
      </c>
      <c r="C215" s="309" t="s">
        <v>216</v>
      </c>
      <c r="D215" s="334">
        <v>0</v>
      </c>
      <c r="E215" s="333">
        <f>SQRT(3)</f>
        <v>1.7320508075688772</v>
      </c>
      <c r="F215" s="333">
        <f>D215/E215</f>
        <v>0</v>
      </c>
      <c r="G215" s="311">
        <v>1</v>
      </c>
      <c r="H215" s="311">
        <v>50</v>
      </c>
      <c r="I215" s="312">
        <f>F215*G215</f>
        <v>0</v>
      </c>
      <c r="J215" s="312">
        <f>I215^2</f>
        <v>0</v>
      </c>
      <c r="K215" s="312">
        <f>((I215)^4)/H215</f>
        <v>0</v>
      </c>
    </row>
    <row r="216" spans="1:11" hidden="1" x14ac:dyDescent="0.3">
      <c r="A216" s="316"/>
      <c r="B216" s="316"/>
      <c r="C216" s="316"/>
      <c r="D216" s="316"/>
      <c r="E216" s="666" t="s">
        <v>218</v>
      </c>
      <c r="F216" s="667"/>
      <c r="G216" s="667"/>
      <c r="H216" s="667"/>
      <c r="I216" s="668"/>
      <c r="J216" s="317" t="e">
        <f>SUM(J212:J215)</f>
        <v>#DIV/0!</v>
      </c>
      <c r="K216" s="317" t="e">
        <f>SUM(K212:K215)</f>
        <v>#DIV/0!</v>
      </c>
    </row>
    <row r="217" spans="1:11" ht="16.8" hidden="1" x14ac:dyDescent="0.4">
      <c r="A217" s="318"/>
      <c r="B217" s="318"/>
      <c r="C217" s="318"/>
      <c r="D217" s="318"/>
      <c r="E217" s="1507" t="s">
        <v>219</v>
      </c>
      <c r="F217" s="1508"/>
      <c r="G217" s="1508"/>
      <c r="H217" s="1508"/>
      <c r="I217" s="1509"/>
      <c r="J217" s="317" t="e">
        <f>SQRT(J216)</f>
        <v>#DIV/0!</v>
      </c>
      <c r="K217" s="312"/>
    </row>
    <row r="218" spans="1:11" hidden="1" x14ac:dyDescent="0.3">
      <c r="A218" s="318"/>
      <c r="B218" s="318"/>
      <c r="C218" s="318"/>
      <c r="D218" s="318"/>
      <c r="E218" s="1507" t="s">
        <v>220</v>
      </c>
      <c r="F218" s="1508"/>
      <c r="G218" s="1508"/>
      <c r="H218" s="1508"/>
      <c r="I218" s="1509"/>
      <c r="J218" s="317" t="e">
        <f>((J217)^4)/K216</f>
        <v>#DIV/0!</v>
      </c>
      <c r="K218" s="312"/>
    </row>
    <row r="219" spans="1:11" hidden="1" x14ac:dyDescent="0.3">
      <c r="A219" s="318"/>
      <c r="B219" s="318"/>
      <c r="C219" s="318"/>
      <c r="D219" s="318"/>
      <c r="E219" s="1507" t="s">
        <v>221</v>
      </c>
      <c r="F219" s="1508"/>
      <c r="G219" s="1508"/>
      <c r="H219" s="1508"/>
      <c r="I219" s="1509"/>
      <c r="J219" s="312" t="e">
        <f>TINV(0.05,J218)</f>
        <v>#DIV/0!</v>
      </c>
      <c r="K219" s="312"/>
    </row>
    <row r="220" spans="1:11" hidden="1" x14ac:dyDescent="0.3">
      <c r="A220" s="318"/>
      <c r="B220" s="318"/>
      <c r="C220" s="318"/>
      <c r="D220" s="318"/>
      <c r="E220" s="1507" t="s">
        <v>222</v>
      </c>
      <c r="F220" s="1508"/>
      <c r="G220" s="1508"/>
      <c r="H220" s="1508"/>
      <c r="I220" s="1509"/>
      <c r="J220" s="332" t="e">
        <f>J219*J217</f>
        <v>#DIV/0!</v>
      </c>
      <c r="K220" s="312"/>
    </row>
    <row r="221" spans="1:11" hidden="1" x14ac:dyDescent="0.3">
      <c r="J221" s="335" t="e">
        <f>(ABS(J220/A210)*100)</f>
        <v>#DIV/0!</v>
      </c>
    </row>
    <row r="222" spans="1:11" hidden="1" x14ac:dyDescent="0.3"/>
    <row r="223" spans="1:11" hidden="1" x14ac:dyDescent="0.3"/>
    <row r="224" spans="1:11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</sheetData>
  <mergeCells count="67">
    <mergeCell ref="A156:P156"/>
    <mergeCell ref="E207:I207"/>
    <mergeCell ref="E217:I217"/>
    <mergeCell ref="E218:I218"/>
    <mergeCell ref="E219:I219"/>
    <mergeCell ref="E179:I179"/>
    <mergeCell ref="E180:I180"/>
    <mergeCell ref="E181:I181"/>
    <mergeCell ref="E191:I191"/>
    <mergeCell ref="E192:I192"/>
    <mergeCell ref="E165:I165"/>
    <mergeCell ref="E166:I166"/>
    <mergeCell ref="E167:I167"/>
    <mergeCell ref="E168:I168"/>
    <mergeCell ref="E178:I178"/>
    <mergeCell ref="E220:I220"/>
    <mergeCell ref="E193:I193"/>
    <mergeCell ref="E194:I194"/>
    <mergeCell ref="E204:I204"/>
    <mergeCell ref="E205:I205"/>
    <mergeCell ref="E206:I206"/>
    <mergeCell ref="E42:I42"/>
    <mergeCell ref="E43:I43"/>
    <mergeCell ref="E44:I44"/>
    <mergeCell ref="E45:I45"/>
    <mergeCell ref="E17:I17"/>
    <mergeCell ref="E28:I28"/>
    <mergeCell ref="E29:I29"/>
    <mergeCell ref="E30:I30"/>
    <mergeCell ref="E31:I31"/>
    <mergeCell ref="E15:I15"/>
    <mergeCell ref="E16:I16"/>
    <mergeCell ref="A1:P1"/>
    <mergeCell ref="A2:P2"/>
    <mergeCell ref="N8:P8"/>
    <mergeCell ref="E14:I14"/>
    <mergeCell ref="A5:P5"/>
    <mergeCell ref="E65:I65"/>
    <mergeCell ref="E66:I66"/>
    <mergeCell ref="E67:I67"/>
    <mergeCell ref="E68:I68"/>
    <mergeCell ref="E79:I79"/>
    <mergeCell ref="E96:I96"/>
    <mergeCell ref="E107:I107"/>
    <mergeCell ref="E108:I108"/>
    <mergeCell ref="E109:I109"/>
    <mergeCell ref="E80:I80"/>
    <mergeCell ref="E81:I81"/>
    <mergeCell ref="E82:I82"/>
    <mergeCell ref="E93:I93"/>
    <mergeCell ref="E94:I94"/>
    <mergeCell ref="V1:AD1"/>
    <mergeCell ref="AF1:AN1"/>
    <mergeCell ref="E149:I149"/>
    <mergeCell ref="E150:I150"/>
    <mergeCell ref="E151:I151"/>
    <mergeCell ref="E134:I134"/>
    <mergeCell ref="E135:I135"/>
    <mergeCell ref="E136:I136"/>
    <mergeCell ref="E137:I137"/>
    <mergeCell ref="E148:I148"/>
    <mergeCell ref="E110:I110"/>
    <mergeCell ref="E120:I120"/>
    <mergeCell ref="E121:I121"/>
    <mergeCell ref="E122:I122"/>
    <mergeCell ref="E123:I123"/>
    <mergeCell ref="E95:I95"/>
  </mergeCells>
  <phoneticPr fontId="5" type="noConversion"/>
  <printOptions horizontalCentered="1"/>
  <pageMargins left="0.23622047244094499" right="0.23622047244094499" top="0.23622047244094499" bottom="0.23622047244094499" header="0.196850393700787" footer="0.196850393700787"/>
  <pageSetup paperSize="9" scale="63" orientation="landscape" horizontalDpi="4294967293" r:id="rId1"/>
  <headerFooter>
    <oddHeader>&amp;R&amp;"Calibri,Regular"&amp;8T.014-18</oddHeader>
    <oddFooter>&amp;R&amp;8&amp;K00-012Software BPM 2018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</sheetPr>
  <dimension ref="A1:CP92"/>
  <sheetViews>
    <sheetView showGridLines="0" tabSelected="1" view="pageBreakPreview" topLeftCell="A47" zoomScaleNormal="100" zoomScaleSheetLayoutView="100" workbookViewId="0">
      <selection activeCell="B89" sqref="B89:I89"/>
    </sheetView>
  </sheetViews>
  <sheetFormatPr defaultColWidth="9.109375" defaultRowHeight="15.6" x14ac:dyDescent="0.25"/>
  <cols>
    <col min="1" max="1" width="3.6640625" style="25" customWidth="1"/>
    <col min="2" max="2" width="19" style="25" customWidth="1"/>
    <col min="3" max="3" width="6.33203125" style="25" customWidth="1"/>
    <col min="4" max="4" width="11.6640625" style="25" customWidth="1"/>
    <col min="5" max="5" width="12" style="25" customWidth="1"/>
    <col min="6" max="6" width="10.33203125" style="25" customWidth="1"/>
    <col min="7" max="8" width="10" style="25" customWidth="1"/>
    <col min="9" max="9" width="10.5546875" style="25" customWidth="1"/>
    <col min="10" max="10" width="9.88671875" style="25" customWidth="1"/>
    <col min="11" max="11" width="10.5546875" style="25" customWidth="1"/>
    <col min="12" max="12" width="13.33203125" style="25" customWidth="1"/>
    <col min="13" max="13" width="6.88671875" style="25" customWidth="1"/>
    <col min="14" max="14" width="5.5546875" style="25" customWidth="1"/>
    <col min="15" max="15" width="15.6640625" style="25" customWidth="1"/>
    <col min="16" max="16" width="14.6640625" style="25" customWidth="1"/>
    <col min="17" max="17" width="16.6640625" style="25" customWidth="1"/>
    <col min="18" max="18" width="16.109375" style="25" customWidth="1"/>
    <col min="19" max="19" width="23.44140625" style="25" customWidth="1"/>
    <col min="20" max="20" width="11.109375" style="25" customWidth="1"/>
    <col min="21" max="30" width="9.109375" style="25" customWidth="1"/>
    <col min="31" max="31" width="13.44140625" style="25" customWidth="1"/>
    <col min="32" max="32" width="18.109375" style="25" customWidth="1"/>
    <col min="33" max="33" width="15.109375" style="25" customWidth="1"/>
    <col min="34" max="34" width="3.5546875" style="25" customWidth="1"/>
    <col min="35" max="35" width="6" style="25" customWidth="1"/>
    <col min="36" max="36" width="15.109375" style="25" customWidth="1"/>
    <col min="37" max="37" width="4.44140625" style="25" customWidth="1"/>
    <col min="38" max="38" width="9.109375" style="25" customWidth="1"/>
    <col min="39" max="39" width="4.33203125" style="25" customWidth="1"/>
    <col min="40" max="40" width="9.109375" style="25" customWidth="1"/>
    <col min="41" max="41" width="12.88671875" style="25" customWidth="1"/>
    <col min="42" max="42" width="4.33203125" style="25" customWidth="1"/>
    <col min="43" max="43" width="12.88671875" style="25" customWidth="1"/>
    <col min="44" max="47" width="9.109375" style="25" customWidth="1"/>
    <col min="48" max="48" width="13.109375" style="25" customWidth="1"/>
    <col min="49" max="58" width="9.109375" style="25" customWidth="1"/>
    <col min="59" max="59" width="20.6640625" style="25" customWidth="1"/>
    <col min="60" max="60" width="13.33203125" style="25" customWidth="1"/>
    <col min="61" max="61" width="14" style="25" customWidth="1"/>
    <col min="62" max="63" width="9.109375" style="25" customWidth="1"/>
    <col min="64" max="64" width="12.88671875" style="25" customWidth="1"/>
    <col min="65" max="66" width="9.109375" style="25" customWidth="1"/>
    <col min="67" max="67" width="10.5546875" style="25" customWidth="1"/>
    <col min="68" max="68" width="9.109375" style="25" customWidth="1"/>
    <col min="69" max="69" width="14" style="25" customWidth="1"/>
    <col min="70" max="70" width="9.109375" style="25" customWidth="1"/>
    <col min="71" max="71" width="15" style="25" customWidth="1"/>
    <col min="72" max="73" width="9.109375" style="25" customWidth="1"/>
    <col min="74" max="74" width="11.6640625" style="25" customWidth="1"/>
    <col min="75" max="76" width="9.109375" style="25" customWidth="1"/>
    <col min="77" max="77" width="13.33203125" style="25" customWidth="1"/>
    <col min="78" max="83" width="9.109375" style="25" customWidth="1"/>
    <col min="84" max="84" width="14.88671875" style="25" customWidth="1"/>
    <col min="85" max="243" width="9.109375" style="25" customWidth="1"/>
    <col min="244" max="244" width="7.6640625" style="25" customWidth="1"/>
    <col min="245" max="248" width="8.6640625" style="25" customWidth="1"/>
    <col min="249" max="249" width="0.33203125" style="25" customWidth="1"/>
    <col min="250" max="250" width="8.5546875" style="25" customWidth="1"/>
    <col min="251" max="256" width="8.6640625" style="25" customWidth="1"/>
    <col min="257" max="16384" width="9.109375" style="25"/>
  </cols>
  <sheetData>
    <row r="1" spans="1:27" ht="18" x14ac:dyDescent="0.25">
      <c r="A1" s="1352" t="s">
        <v>107</v>
      </c>
      <c r="B1" s="1352"/>
      <c r="C1" s="1352"/>
      <c r="D1" s="1352"/>
      <c r="E1" s="1352"/>
      <c r="F1" s="1352"/>
      <c r="G1" s="1352"/>
      <c r="H1" s="1352"/>
      <c r="I1" s="1352"/>
      <c r="J1" s="1352"/>
      <c r="K1" s="1352"/>
      <c r="L1" s="1352"/>
      <c r="M1" s="1352"/>
      <c r="N1" s="1352"/>
      <c r="O1" s="28"/>
      <c r="P1" s="28"/>
      <c r="Q1" s="28"/>
      <c r="R1" s="28"/>
      <c r="S1" s="28"/>
      <c r="T1" s="28"/>
      <c r="U1" s="28"/>
      <c r="V1" s="28"/>
      <c r="W1" s="28"/>
      <c r="X1" s="681" t="s">
        <v>2</v>
      </c>
      <c r="Y1" s="28"/>
      <c r="Z1" s="28"/>
      <c r="AA1" s="28"/>
    </row>
    <row r="2" spans="1:27" ht="18" customHeight="1" x14ac:dyDescent="0.25">
      <c r="A2" s="1551" t="str">
        <f>IF(PENYELIA!K69&gt;=70,KESIMPULAN!F8,KESIMPULAN!F9)</f>
        <v>Nomor sertifikat : 9 /</v>
      </c>
      <c r="B2" s="1551"/>
      <c r="C2" s="1551"/>
      <c r="D2" s="1551"/>
      <c r="E2" s="1551"/>
      <c r="F2" s="1551"/>
      <c r="G2" s="1551"/>
      <c r="I2" s="1057" t="s">
        <v>108</v>
      </c>
      <c r="J2" s="1058"/>
      <c r="K2" s="258"/>
      <c r="L2" s="258"/>
      <c r="M2" s="258"/>
      <c r="N2" s="258"/>
      <c r="O2" s="28"/>
      <c r="P2" s="28"/>
      <c r="Q2" s="28"/>
      <c r="R2" s="28"/>
      <c r="S2" s="28"/>
      <c r="T2" s="28"/>
      <c r="U2" s="28"/>
      <c r="V2" s="28"/>
      <c r="W2" s="21"/>
      <c r="X2" s="28"/>
      <c r="Y2" s="21"/>
      <c r="Z2" s="21"/>
      <c r="AA2" s="21"/>
    </row>
    <row r="3" spans="1:27" ht="17.399999999999999" x14ac:dyDescent="0.25">
      <c r="A3" s="124"/>
      <c r="B3" s="124"/>
      <c r="C3" s="124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8"/>
      <c r="P3" s="28"/>
      <c r="Q3" s="119"/>
      <c r="R3" s="20"/>
      <c r="S3" s="28"/>
      <c r="T3" s="28"/>
      <c r="U3" s="28"/>
      <c r="V3" s="28"/>
      <c r="W3" s="21"/>
      <c r="X3" s="28"/>
      <c r="Y3" s="21"/>
      <c r="Z3" s="21"/>
      <c r="AA3" s="21"/>
    </row>
    <row r="4" spans="1:27" x14ac:dyDescent="0.3">
      <c r="A4" s="124"/>
      <c r="B4" s="260" t="s">
        <v>6</v>
      </c>
      <c r="C4" s="260"/>
      <c r="D4" s="261" t="s">
        <v>7</v>
      </c>
      <c r="E4" s="1055" t="s">
        <v>109</v>
      </c>
      <c r="F4" s="124"/>
      <c r="G4" s="124"/>
      <c r="H4" s="124"/>
      <c r="I4" s="124"/>
      <c r="J4" s="124"/>
      <c r="K4" s="124"/>
      <c r="L4" s="124"/>
      <c r="M4" s="1552"/>
      <c r="N4" s="1550"/>
      <c r="O4" s="28"/>
      <c r="P4" s="28"/>
      <c r="Q4" s="28"/>
      <c r="R4" s="28"/>
      <c r="S4" s="28"/>
      <c r="T4" s="28"/>
      <c r="U4" s="21"/>
      <c r="V4" s="21"/>
      <c r="W4" s="21"/>
      <c r="X4" s="21"/>
      <c r="Y4" s="28"/>
      <c r="Z4" s="21"/>
      <c r="AA4" s="21"/>
    </row>
    <row r="5" spans="1:27" ht="15.75" customHeight="1" x14ac:dyDescent="0.3">
      <c r="A5" s="124"/>
      <c r="B5" s="260" t="s">
        <v>8</v>
      </c>
      <c r="C5" s="260"/>
      <c r="D5" s="261" t="s">
        <v>7</v>
      </c>
      <c r="E5" s="1055" t="s">
        <v>110</v>
      </c>
      <c r="F5" s="124"/>
      <c r="G5" s="124"/>
      <c r="H5" s="124"/>
      <c r="I5" s="124"/>
      <c r="J5" s="124"/>
      <c r="K5" s="124"/>
      <c r="L5" s="124"/>
      <c r="M5" s="1552"/>
      <c r="N5" s="1550"/>
      <c r="O5" s="28"/>
      <c r="P5" s="28"/>
      <c r="Q5" s="156"/>
      <c r="R5" s="156"/>
      <c r="S5" s="28"/>
      <c r="T5" s="28"/>
      <c r="U5" s="28"/>
      <c r="V5" s="28"/>
      <c r="W5" s="28"/>
      <c r="X5" s="28"/>
      <c r="Y5" s="28"/>
      <c r="Z5" s="28"/>
      <c r="AA5" s="28"/>
    </row>
    <row r="6" spans="1:27" x14ac:dyDescent="0.3">
      <c r="A6" s="124"/>
      <c r="B6" s="260" t="s">
        <v>9</v>
      </c>
      <c r="C6" s="260"/>
      <c r="D6" s="261" t="s">
        <v>7</v>
      </c>
      <c r="E6" s="1056" t="s">
        <v>111</v>
      </c>
      <c r="F6" s="258"/>
      <c r="G6" s="258"/>
      <c r="H6" s="124"/>
      <c r="I6" s="124"/>
      <c r="J6" s="124"/>
      <c r="K6" s="124"/>
      <c r="L6" s="124"/>
      <c r="M6" s="124"/>
      <c r="N6" s="124"/>
      <c r="O6" s="28"/>
      <c r="P6" s="28"/>
      <c r="Q6" s="156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x14ac:dyDescent="0.3">
      <c r="A7" s="124"/>
      <c r="B7" s="260" t="s">
        <v>446</v>
      </c>
      <c r="C7" s="260"/>
      <c r="D7" s="261" t="s">
        <v>7</v>
      </c>
      <c r="E7" s="1237">
        <v>44564</v>
      </c>
      <c r="F7" s="258"/>
      <c r="G7" s="258"/>
      <c r="H7" s="124"/>
      <c r="I7" s="124"/>
      <c r="J7" s="124"/>
      <c r="K7" s="124"/>
      <c r="L7" s="124"/>
      <c r="M7" s="124"/>
      <c r="N7" s="124"/>
      <c r="O7" s="28"/>
      <c r="P7" s="28"/>
      <c r="Q7" s="156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x14ac:dyDescent="0.3">
      <c r="A8" s="124"/>
      <c r="B8" s="260" t="str">
        <f>'LEMBAR KERJA'!B13</f>
        <v>Tanggal kalibrasi</v>
      </c>
      <c r="C8" s="260"/>
      <c r="D8" s="261" t="s">
        <v>7</v>
      </c>
      <c r="E8" s="1237">
        <f>E7</f>
        <v>44564</v>
      </c>
      <c r="F8" s="258"/>
      <c r="G8" s="258"/>
      <c r="H8" s="124"/>
      <c r="I8" s="124"/>
      <c r="J8" s="124"/>
      <c r="K8" s="124"/>
      <c r="L8" s="124"/>
      <c r="M8" s="124"/>
      <c r="N8" s="124"/>
      <c r="O8" s="28"/>
      <c r="P8" s="28"/>
      <c r="Q8" s="156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x14ac:dyDescent="0.3">
      <c r="A9" s="124"/>
      <c r="B9" s="260" t="str">
        <f>'LEMBAR KERJA'!B14</f>
        <v>Tempat kalibrasi</v>
      </c>
      <c r="C9" s="260"/>
      <c r="D9" s="261" t="s">
        <v>7</v>
      </c>
      <c r="E9" s="1055" t="s">
        <v>111</v>
      </c>
      <c r="F9" s="258"/>
      <c r="G9" s="258"/>
      <c r="H9" s="124"/>
      <c r="I9" s="124"/>
      <c r="J9" s="124"/>
      <c r="K9" s="124"/>
      <c r="L9" s="124"/>
      <c r="M9" s="124"/>
      <c r="N9" s="28"/>
      <c r="O9" s="28"/>
      <c r="P9" s="28"/>
      <c r="Q9" s="156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x14ac:dyDescent="0.3">
      <c r="A10" s="124"/>
      <c r="B10" s="260" t="s">
        <v>15</v>
      </c>
      <c r="C10" s="260"/>
      <c r="D10" s="261" t="s">
        <v>7</v>
      </c>
      <c r="E10" s="1055" t="s">
        <v>111</v>
      </c>
      <c r="F10" s="258"/>
      <c r="G10" s="258"/>
      <c r="H10" s="124"/>
      <c r="I10" s="124"/>
      <c r="J10" s="124"/>
      <c r="K10" s="124"/>
      <c r="L10" s="124"/>
      <c r="M10" s="124"/>
      <c r="N10" s="124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idden="1" x14ac:dyDescent="0.3">
      <c r="A11" s="124"/>
      <c r="B11" s="124"/>
      <c r="C11" s="124"/>
      <c r="D11" s="261" t="s">
        <v>7</v>
      </c>
      <c r="E11" s="262"/>
      <c r="F11" s="263"/>
      <c r="G11" s="258"/>
      <c r="H11" s="124"/>
      <c r="I11" s="124"/>
      <c r="J11" s="124"/>
      <c r="K11" s="124"/>
      <c r="L11" s="124"/>
      <c r="M11" s="124"/>
      <c r="N11" s="124"/>
      <c r="O11" s="28"/>
      <c r="P11" s="28"/>
      <c r="Q11" s="28"/>
      <c r="R11" s="28"/>
      <c r="S11" s="28"/>
      <c r="T11" s="28"/>
      <c r="U11" s="156"/>
      <c r="V11" s="28"/>
      <c r="W11" s="28"/>
      <c r="X11" s="28"/>
      <c r="Y11" s="28"/>
      <c r="Z11" s="28"/>
      <c r="AA11" s="28"/>
    </row>
    <row r="12" spans="1:27" hidden="1" x14ac:dyDescent="0.25">
      <c r="A12" s="124"/>
      <c r="B12" s="124"/>
      <c r="C12" s="124"/>
      <c r="D12" s="124"/>
      <c r="E12" s="124"/>
      <c r="F12" s="258"/>
      <c r="G12" s="258"/>
      <c r="H12" s="124"/>
      <c r="I12" s="265"/>
      <c r="J12" s="265"/>
      <c r="K12" s="264"/>
      <c r="L12" s="124"/>
      <c r="M12" s="124"/>
      <c r="N12" s="124"/>
      <c r="O12" s="28"/>
      <c r="P12" s="28"/>
      <c r="Q12" s="28"/>
      <c r="R12" s="28"/>
      <c r="S12" s="28"/>
      <c r="T12" s="28"/>
      <c r="U12" s="156"/>
      <c r="V12" s="28"/>
      <c r="W12" s="28"/>
      <c r="X12" s="28"/>
      <c r="Y12" s="28"/>
      <c r="Z12" s="28"/>
      <c r="AA12" s="28"/>
    </row>
    <row r="13" spans="1:27" ht="17.25" hidden="1" customHeight="1" x14ac:dyDescent="0.25">
      <c r="A13" s="124"/>
      <c r="B13" s="124"/>
      <c r="C13" s="124"/>
      <c r="D13" s="124"/>
      <c r="E13" s="124"/>
      <c r="F13" s="258"/>
      <c r="G13" s="258"/>
      <c r="H13" s="124"/>
      <c r="I13" s="265"/>
      <c r="J13" s="265"/>
      <c r="K13" s="264"/>
      <c r="L13" s="124"/>
      <c r="M13" s="124"/>
      <c r="N13" s="124"/>
      <c r="O13" s="28"/>
      <c r="P13" s="28"/>
      <c r="Q13" s="28"/>
      <c r="R13" s="28"/>
      <c r="S13" s="28"/>
      <c r="T13" s="28"/>
      <c r="U13" s="156"/>
      <c r="V13" s="28"/>
      <c r="W13" s="28"/>
      <c r="X13" s="28"/>
      <c r="Y13" s="28"/>
      <c r="Z13" s="28"/>
      <c r="AA13" s="28"/>
    </row>
    <row r="14" spans="1:27" x14ac:dyDescent="0.3">
      <c r="A14" s="124"/>
      <c r="B14" s="265" t="s">
        <v>10</v>
      </c>
      <c r="C14" s="265"/>
      <c r="D14" s="261" t="s">
        <v>7</v>
      </c>
      <c r="E14" s="1059">
        <v>1</v>
      </c>
      <c r="F14" s="124" t="s">
        <v>112</v>
      </c>
      <c r="G14" s="266"/>
      <c r="H14" s="124"/>
      <c r="I14" s="265"/>
      <c r="J14" s="1059">
        <v>1</v>
      </c>
      <c r="K14" s="265" t="s">
        <v>12</v>
      </c>
      <c r="L14" s="124"/>
      <c r="M14" s="124"/>
      <c r="N14" s="124"/>
      <c r="O14" s="28"/>
      <c r="P14" s="28"/>
      <c r="Q14" s="28"/>
      <c r="R14" s="28"/>
      <c r="S14" s="28"/>
      <c r="T14" s="28"/>
      <c r="U14" s="156"/>
      <c r="V14" s="28"/>
      <c r="W14" s="28"/>
      <c r="X14" s="28"/>
      <c r="Y14" s="28"/>
      <c r="Z14" s="28"/>
      <c r="AA14" s="28"/>
    </row>
    <row r="15" spans="1:27" x14ac:dyDescent="0.3">
      <c r="A15" s="124"/>
      <c r="B15" s="265" t="str">
        <f>'LEMBAR KERJA'!B16</f>
        <v>Petugas kalibrasi</v>
      </c>
      <c r="C15" s="265"/>
      <c r="D15" s="261" t="s">
        <v>7</v>
      </c>
      <c r="E15" s="1548" t="s">
        <v>370</v>
      </c>
      <c r="F15" s="1548"/>
      <c r="G15" s="1548"/>
      <c r="H15" s="124"/>
      <c r="I15" s="265"/>
      <c r="J15" s="265"/>
      <c r="K15" s="264"/>
      <c r="L15" s="124"/>
      <c r="M15" s="124"/>
      <c r="N15" s="124"/>
      <c r="O15" s="28"/>
      <c r="P15" s="28"/>
      <c r="Q15" s="28"/>
      <c r="R15" s="28"/>
      <c r="S15" s="28"/>
      <c r="T15" s="28"/>
      <c r="U15" s="156"/>
      <c r="V15" s="28"/>
      <c r="W15" s="28"/>
      <c r="X15" s="28"/>
      <c r="Y15" s="28"/>
      <c r="Z15" s="28"/>
      <c r="AA15" s="28"/>
    </row>
    <row r="16" spans="1:27" x14ac:dyDescent="0.3">
      <c r="A16" s="124"/>
      <c r="B16" s="124" t="s">
        <v>20</v>
      </c>
      <c r="C16" s="124"/>
      <c r="D16" s="261" t="s">
        <v>7</v>
      </c>
      <c r="E16" s="1162" t="s">
        <v>79</v>
      </c>
      <c r="F16" s="258"/>
      <c r="G16" s="266"/>
      <c r="H16" s="124"/>
      <c r="I16" s="265"/>
      <c r="J16" s="265"/>
      <c r="K16" s="264"/>
      <c r="L16" s="124"/>
      <c r="M16" s="124"/>
      <c r="N16" s="124"/>
      <c r="O16" s="28"/>
      <c r="P16" s="28"/>
      <c r="Q16" s="28"/>
      <c r="R16" s="28"/>
      <c r="S16" s="28"/>
      <c r="T16" s="28"/>
      <c r="U16" s="156"/>
      <c r="V16" s="28"/>
      <c r="W16" s="28"/>
      <c r="X16" s="28"/>
      <c r="Y16" s="28"/>
      <c r="Z16" s="28"/>
      <c r="AA16" s="28"/>
    </row>
    <row r="17" spans="1:77" x14ac:dyDescent="0.3">
      <c r="A17" s="124"/>
      <c r="B17" s="260" t="s">
        <v>114</v>
      </c>
      <c r="C17" s="260"/>
      <c r="D17" s="261" t="s">
        <v>7</v>
      </c>
      <c r="E17" s="125" t="s">
        <v>115</v>
      </c>
      <c r="F17" s="124"/>
      <c r="G17" s="124"/>
      <c r="H17" s="265"/>
      <c r="I17" s="124"/>
      <c r="J17" s="124"/>
      <c r="K17" s="124"/>
      <c r="L17" s="124"/>
      <c r="M17" s="124"/>
      <c r="N17" s="124"/>
      <c r="O17" s="28"/>
      <c r="P17" s="28"/>
      <c r="Q17" s="28"/>
      <c r="R17" s="28"/>
      <c r="S17" s="28"/>
      <c r="T17" s="28"/>
      <c r="U17" s="682"/>
      <c r="V17" s="682"/>
      <c r="W17" s="682"/>
      <c r="X17" s="682"/>
      <c r="Y17" s="28"/>
      <c r="Z17" s="28"/>
      <c r="AA17" s="28"/>
    </row>
    <row r="18" spans="1:77" hidden="1" x14ac:dyDescent="0.25">
      <c r="A18" s="124"/>
      <c r="B18" s="1547"/>
      <c r="C18" s="1547"/>
      <c r="D18" s="1547"/>
      <c r="E18" s="1547"/>
      <c r="F18" s="124"/>
      <c r="G18" s="1547"/>
      <c r="H18" s="1547"/>
      <c r="I18" s="1547"/>
      <c r="J18" s="1547"/>
      <c r="K18" s="1547"/>
      <c r="L18" s="1547"/>
      <c r="M18" s="124"/>
      <c r="N18" s="124"/>
      <c r="O18" s="28"/>
      <c r="P18" s="28"/>
      <c r="Q18" s="28"/>
      <c r="R18" s="28"/>
      <c r="S18" s="28"/>
      <c r="T18" s="28"/>
      <c r="U18" s="156"/>
      <c r="V18" s="28"/>
    </row>
    <row r="19" spans="1:77" hidden="1" x14ac:dyDescent="0.25">
      <c r="A19" s="124"/>
      <c r="B19" s="267"/>
      <c r="C19" s="267"/>
      <c r="D19" s="268"/>
      <c r="E19" s="267"/>
      <c r="F19" s="124"/>
      <c r="G19" s="268"/>
      <c r="H19" s="268"/>
      <c r="I19" s="268"/>
      <c r="J19" s="268"/>
      <c r="K19" s="268"/>
      <c r="L19" s="268"/>
      <c r="M19" s="124"/>
      <c r="N19" s="124"/>
      <c r="O19" s="28"/>
      <c r="P19" s="28"/>
      <c r="Q19" s="28"/>
      <c r="R19" s="28"/>
      <c r="S19" s="28"/>
      <c r="T19" s="28"/>
      <c r="U19" s="156"/>
      <c r="V19" s="156"/>
    </row>
    <row r="20" spans="1:77" hidden="1" x14ac:dyDescent="0.25">
      <c r="A20" s="124"/>
      <c r="B20" s="269"/>
      <c r="C20" s="269"/>
      <c r="D20" s="269"/>
      <c r="E20" s="269"/>
      <c r="F20" s="124"/>
      <c r="G20" s="269"/>
      <c r="H20" s="269"/>
      <c r="I20" s="269"/>
      <c r="J20" s="269"/>
      <c r="K20" s="269"/>
      <c r="L20" s="269"/>
      <c r="M20" s="124"/>
      <c r="N20" s="124"/>
      <c r="O20" s="28"/>
      <c r="P20" s="28"/>
      <c r="Q20" s="28"/>
      <c r="R20" s="28"/>
      <c r="S20" s="28"/>
      <c r="T20" s="28"/>
      <c r="U20" s="682"/>
      <c r="V20" s="682"/>
    </row>
    <row r="21" spans="1:77" hidden="1" x14ac:dyDescent="0.25">
      <c r="A21" s="124"/>
      <c r="B21" s="269"/>
      <c r="C21" s="269"/>
      <c r="D21" s="269"/>
      <c r="E21" s="269"/>
      <c r="F21" s="124"/>
      <c r="G21" s="269"/>
      <c r="H21" s="269"/>
      <c r="I21" s="269"/>
      <c r="J21" s="269"/>
      <c r="K21" s="269"/>
      <c r="L21" s="269"/>
      <c r="M21" s="124"/>
      <c r="N21" s="124"/>
      <c r="O21" s="28"/>
      <c r="P21" s="28"/>
      <c r="Q21" s="28"/>
      <c r="R21" s="28"/>
      <c r="S21" s="28"/>
      <c r="T21" s="28"/>
      <c r="U21" s="28"/>
      <c r="V21" s="28"/>
    </row>
    <row r="22" spans="1:77" hidden="1" x14ac:dyDescent="0.25">
      <c r="A22" s="124"/>
      <c r="B22" s="269"/>
      <c r="C22" s="269"/>
      <c r="D22" s="269"/>
      <c r="E22" s="269"/>
      <c r="F22" s="124"/>
      <c r="G22" s="269"/>
      <c r="H22" s="269"/>
      <c r="I22" s="269"/>
      <c r="J22" s="269"/>
      <c r="K22" s="269"/>
      <c r="L22" s="269"/>
      <c r="M22" s="124"/>
      <c r="N22" s="124"/>
      <c r="O22" s="28"/>
      <c r="P22" s="28"/>
      <c r="Q22" s="28"/>
      <c r="R22" s="28"/>
      <c r="S22" s="28"/>
      <c r="T22" s="28"/>
      <c r="U22" s="28"/>
      <c r="V22" s="28"/>
    </row>
    <row r="23" spans="1:77" hidden="1" x14ac:dyDescent="0.25">
      <c r="A23" s="124"/>
      <c r="B23" s="269"/>
      <c r="C23" s="269"/>
      <c r="D23" s="269"/>
      <c r="E23" s="269"/>
      <c r="F23" s="124"/>
      <c r="G23" s="269"/>
      <c r="H23" s="269"/>
      <c r="I23" s="269"/>
      <c r="J23" s="269"/>
      <c r="K23" s="269"/>
      <c r="L23" s="269"/>
      <c r="M23" s="124"/>
      <c r="N23" s="124"/>
      <c r="O23" s="28"/>
      <c r="P23" s="28"/>
      <c r="Q23" s="28"/>
      <c r="R23" s="28"/>
      <c r="S23" s="28"/>
      <c r="T23" s="28"/>
      <c r="U23" s="28"/>
      <c r="V23" s="28"/>
    </row>
    <row r="24" spans="1:77" hidden="1" x14ac:dyDescent="0.25">
      <c r="A24" s="124"/>
      <c r="B24" s="269"/>
      <c r="C24" s="269"/>
      <c r="D24" s="269"/>
      <c r="E24" s="269"/>
      <c r="F24" s="124"/>
      <c r="G24" s="269"/>
      <c r="H24" s="269"/>
      <c r="I24" s="269"/>
      <c r="J24" s="269"/>
      <c r="K24" s="269"/>
      <c r="L24" s="269"/>
      <c r="M24" s="124"/>
      <c r="N24" s="124"/>
      <c r="O24" s="28"/>
      <c r="P24" s="28"/>
      <c r="Q24" s="28"/>
      <c r="R24" s="28"/>
      <c r="S24" s="28"/>
      <c r="T24" s="28"/>
      <c r="U24" s="28"/>
      <c r="V24" s="28"/>
    </row>
    <row r="25" spans="1:77" hidden="1" x14ac:dyDescent="0.25">
      <c r="A25" s="124"/>
      <c r="B25" s="269"/>
      <c r="C25" s="269"/>
      <c r="D25" s="269"/>
      <c r="E25" s="269"/>
      <c r="F25" s="124"/>
      <c r="G25" s="269"/>
      <c r="H25" s="269"/>
      <c r="I25" s="269"/>
      <c r="J25" s="269"/>
      <c r="K25" s="269"/>
      <c r="L25" s="269"/>
      <c r="M25" s="124"/>
      <c r="N25" s="124"/>
      <c r="O25" s="28"/>
      <c r="P25" s="28"/>
      <c r="Q25" s="28"/>
      <c r="R25" s="28"/>
      <c r="S25" s="28"/>
      <c r="T25" s="28"/>
      <c r="U25" s="28"/>
      <c r="V25" s="28"/>
    </row>
    <row r="26" spans="1:77" hidden="1" x14ac:dyDescent="0.25">
      <c r="A26" s="124"/>
      <c r="B26" s="269"/>
      <c r="C26" s="269"/>
      <c r="D26" s="269"/>
      <c r="E26" s="269"/>
      <c r="F26" s="124"/>
      <c r="G26" s="269"/>
      <c r="H26" s="269"/>
      <c r="I26" s="269"/>
      <c r="J26" s="269"/>
      <c r="K26" s="269"/>
      <c r="L26" s="269"/>
      <c r="M26" s="124"/>
      <c r="N26" s="124"/>
      <c r="O26" s="28"/>
      <c r="P26" s="28"/>
      <c r="Q26" s="28"/>
      <c r="R26" s="28"/>
      <c r="S26" s="28"/>
      <c r="T26" s="28"/>
      <c r="U26" s="28"/>
      <c r="V26" s="28"/>
    </row>
    <row r="27" spans="1:77" hidden="1" x14ac:dyDescent="0.25">
      <c r="A27" s="124"/>
      <c r="B27" s="270"/>
      <c r="C27" s="270"/>
      <c r="D27" s="270"/>
      <c r="E27" s="270"/>
      <c r="F27" s="124"/>
      <c r="G27" s="124"/>
      <c r="H27" s="174"/>
      <c r="I27" s="683"/>
      <c r="J27" s="271"/>
      <c r="K27" s="684"/>
      <c r="L27" s="685"/>
      <c r="M27" s="271"/>
      <c r="N27" s="684"/>
      <c r="O27" s="686"/>
      <c r="P27" s="28"/>
      <c r="Q27" s="28"/>
      <c r="R27" s="28"/>
      <c r="S27" s="28"/>
      <c r="T27" s="28"/>
      <c r="U27" s="28"/>
      <c r="V27" s="28"/>
    </row>
    <row r="28" spans="1:77" hidden="1" x14ac:dyDescent="0.25">
      <c r="A28" s="124"/>
      <c r="B28" s="270"/>
      <c r="C28" s="270"/>
      <c r="D28" s="270"/>
      <c r="E28" s="270"/>
      <c r="F28" s="124"/>
      <c r="G28" s="124"/>
      <c r="H28" s="685"/>
      <c r="I28" s="685"/>
      <c r="J28" s="271"/>
      <c r="K28" s="684"/>
      <c r="L28" s="685"/>
      <c r="M28" s="271"/>
      <c r="N28" s="684"/>
      <c r="O28" s="686"/>
      <c r="P28" s="28"/>
      <c r="Q28" s="28"/>
      <c r="R28" s="28"/>
      <c r="S28" s="28"/>
      <c r="T28" s="28"/>
      <c r="U28" s="28"/>
      <c r="V28" s="28"/>
    </row>
    <row r="29" spans="1:77" ht="17.25" customHeight="1" x14ac:dyDescent="0.25">
      <c r="A29" s="1537" t="s">
        <v>22</v>
      </c>
      <c r="B29" s="1537"/>
      <c r="C29" s="1537"/>
      <c r="D29" s="1537"/>
      <c r="E29" s="1537"/>
      <c r="F29" s="1537"/>
      <c r="G29" s="1537"/>
      <c r="H29" s="1537"/>
      <c r="I29" s="1537"/>
      <c r="J29" s="174"/>
      <c r="K29" s="174"/>
      <c r="L29" s="174"/>
      <c r="M29" s="174"/>
      <c r="N29" s="174"/>
      <c r="O29" s="156"/>
      <c r="P29" s="687"/>
      <c r="Q29" s="688"/>
      <c r="R29" s="688"/>
      <c r="S29" s="28"/>
      <c r="T29" s="28"/>
      <c r="U29" s="28"/>
      <c r="V29" s="28"/>
      <c r="BL29" s="1338" t="s">
        <v>492</v>
      </c>
      <c r="BM29" s="1338"/>
      <c r="BN29" s="1338"/>
      <c r="BO29" s="1338"/>
      <c r="BP29" s="1338"/>
      <c r="BQ29" s="1338"/>
      <c r="BR29" s="943"/>
      <c r="BS29" s="945"/>
      <c r="BT29" s="1535" t="s">
        <v>493</v>
      </c>
      <c r="BU29" s="1514"/>
      <c r="BV29" s="1514"/>
      <c r="BW29" s="1514"/>
      <c r="BX29" s="1514"/>
      <c r="BY29" s="1515"/>
    </row>
    <row r="30" spans="1:77" ht="16.5" customHeight="1" x14ac:dyDescent="0.25">
      <c r="A30" s="1390" t="s">
        <v>23</v>
      </c>
      <c r="B30" s="1549"/>
      <c r="C30" s="660"/>
      <c r="D30" s="1543" t="s">
        <v>116</v>
      </c>
      <c r="E30" s="1543"/>
      <c r="F30" s="1543" t="s">
        <v>116</v>
      </c>
      <c r="G30" s="1543"/>
      <c r="H30" s="1543" t="s">
        <v>117</v>
      </c>
      <c r="I30" s="1543"/>
      <c r="J30" s="1543" t="s">
        <v>118</v>
      </c>
      <c r="K30" s="1543"/>
      <c r="L30" s="1543" t="s">
        <v>119</v>
      </c>
      <c r="M30" s="1543"/>
      <c r="N30" s="124"/>
      <c r="O30" s="28"/>
      <c r="P30" s="198" t="s">
        <v>77</v>
      </c>
      <c r="Q30" s="688"/>
      <c r="R30" s="688"/>
      <c r="S30" s="28"/>
      <c r="T30" s="28"/>
      <c r="U30" s="28"/>
      <c r="V30" s="28"/>
      <c r="BH30" s="1517" t="s">
        <v>489</v>
      </c>
      <c r="BI30" s="1517" t="s">
        <v>118</v>
      </c>
      <c r="BJ30" s="926"/>
      <c r="BK30" s="942"/>
      <c r="BL30" s="1517" t="s">
        <v>491</v>
      </c>
      <c r="BM30" s="931"/>
      <c r="BN30" s="1518" t="s">
        <v>490</v>
      </c>
      <c r="BO30" s="1519"/>
      <c r="BP30" s="1520"/>
      <c r="BQ30" s="1517" t="s">
        <v>500</v>
      </c>
      <c r="BR30" s="926"/>
      <c r="BS30" s="942"/>
      <c r="BT30" s="1517" t="s">
        <v>491</v>
      </c>
      <c r="BU30" s="931"/>
      <c r="BV30" s="1518" t="s">
        <v>490</v>
      </c>
      <c r="BW30" s="1519"/>
      <c r="BX30" s="1520"/>
      <c r="BY30" s="1517" t="s">
        <v>500</v>
      </c>
    </row>
    <row r="31" spans="1:77" ht="16.5" customHeight="1" x14ac:dyDescent="0.25">
      <c r="A31" s="1390"/>
      <c r="B31" s="1549"/>
      <c r="C31" s="661"/>
      <c r="D31" s="1544"/>
      <c r="E31" s="1544"/>
      <c r="F31" s="1544"/>
      <c r="G31" s="1544"/>
      <c r="H31" s="1544"/>
      <c r="I31" s="1544"/>
      <c r="J31" s="1544"/>
      <c r="K31" s="1544"/>
      <c r="L31" s="1544"/>
      <c r="M31" s="1544"/>
      <c r="N31" s="124"/>
      <c r="O31" s="28"/>
      <c r="P31" s="198" t="s">
        <v>78</v>
      </c>
      <c r="Q31" s="688"/>
      <c r="R31" s="688"/>
      <c r="S31" s="28"/>
      <c r="T31" s="28"/>
      <c r="U31" s="28"/>
      <c r="V31" s="28"/>
      <c r="BH31" s="1517"/>
      <c r="BI31" s="1517"/>
      <c r="BJ31" s="926"/>
      <c r="BK31" s="942"/>
      <c r="BL31" s="1517"/>
      <c r="BM31" s="929" t="s">
        <v>494</v>
      </c>
      <c r="BN31" s="928">
        <v>20</v>
      </c>
      <c r="BO31" s="928" t="s">
        <v>496</v>
      </c>
      <c r="BP31" s="925">
        <v>25</v>
      </c>
      <c r="BQ31" s="1517"/>
      <c r="BR31" s="926"/>
      <c r="BS31" s="942"/>
      <c r="BT31" s="1517"/>
      <c r="BU31" s="929" t="s">
        <v>494</v>
      </c>
      <c r="BV31" s="928">
        <v>50</v>
      </c>
      <c r="BW31" s="928" t="s">
        <v>496</v>
      </c>
      <c r="BX31" s="925">
        <v>60</v>
      </c>
      <c r="BY31" s="1517"/>
    </row>
    <row r="32" spans="1:77" ht="17.25" customHeight="1" x14ac:dyDescent="0.25">
      <c r="A32" s="1390"/>
      <c r="B32" s="1549"/>
      <c r="C32" s="662"/>
      <c r="D32" s="1348" t="s">
        <v>25</v>
      </c>
      <c r="E32" s="1348"/>
      <c r="F32" s="1348" t="s">
        <v>26</v>
      </c>
      <c r="G32" s="1348"/>
      <c r="H32" s="1348" t="s">
        <v>120</v>
      </c>
      <c r="I32" s="1348"/>
      <c r="J32" s="1348" t="s">
        <v>121</v>
      </c>
      <c r="K32" s="1348"/>
      <c r="L32" s="1348" t="s">
        <v>121</v>
      </c>
      <c r="M32" s="1348"/>
      <c r="N32" s="124"/>
      <c r="O32" s="28"/>
      <c r="P32" s="198" t="s">
        <v>79</v>
      </c>
      <c r="Q32" s="198" t="s">
        <v>122</v>
      </c>
      <c r="R32" s="688"/>
      <c r="S32" s="28"/>
      <c r="T32" s="28"/>
      <c r="U32" s="28"/>
      <c r="V32" s="28"/>
      <c r="BH32" s="1517"/>
      <c r="BI32" s="1517"/>
      <c r="BJ32" s="926"/>
      <c r="BK32" s="942"/>
      <c r="BL32" s="1517"/>
      <c r="BM32" s="929" t="s">
        <v>495</v>
      </c>
      <c r="BN32" s="928">
        <v>0.7</v>
      </c>
      <c r="BO32" s="928" t="s">
        <v>497</v>
      </c>
      <c r="BP32" s="925">
        <v>0.5</v>
      </c>
      <c r="BQ32" s="1517"/>
      <c r="BR32" s="926"/>
      <c r="BS32" s="942"/>
      <c r="BT32" s="1517"/>
      <c r="BU32" s="929" t="s">
        <v>495</v>
      </c>
      <c r="BV32" s="928">
        <v>-5.3</v>
      </c>
      <c r="BW32" s="928" t="s">
        <v>497</v>
      </c>
      <c r="BX32" s="935">
        <v>-4</v>
      </c>
      <c r="BY32" s="1517"/>
    </row>
    <row r="33" spans="1:94" ht="17.25" customHeight="1" x14ac:dyDescent="0.25">
      <c r="A33" s="1426" t="s">
        <v>27</v>
      </c>
      <c r="B33" s="1540"/>
      <c r="C33" s="272"/>
      <c r="D33" s="1545">
        <v>22.2</v>
      </c>
      <c r="E33" s="1545"/>
      <c r="F33" s="1545">
        <v>22.3</v>
      </c>
      <c r="G33" s="1545"/>
      <c r="H33" s="1580">
        <f>D33+'INTERPOLASI  '!CH18</f>
        <v>22.811999999999998</v>
      </c>
      <c r="I33" s="1580"/>
      <c r="J33" s="1580">
        <f>F33+'INTERPOLASI  '!CH24</f>
        <v>22.908000000000001</v>
      </c>
      <c r="K33" s="1580"/>
      <c r="L33" s="1579">
        <f>(H33+J33)/2</f>
        <v>22.86</v>
      </c>
      <c r="M33" s="1579"/>
      <c r="N33" s="124" t="s">
        <v>811</v>
      </c>
      <c r="O33" s="28"/>
      <c r="P33" s="198"/>
      <c r="Q33" s="198"/>
      <c r="R33" s="688"/>
      <c r="S33" s="28"/>
      <c r="T33" s="28"/>
      <c r="U33" s="28"/>
      <c r="V33" s="28"/>
      <c r="BG33" s="117" t="s">
        <v>492</v>
      </c>
      <c r="BH33" s="925">
        <v>22.2</v>
      </c>
      <c r="BI33" s="925">
        <v>22.3</v>
      </c>
      <c r="BJ33" s="937"/>
      <c r="BK33" s="930" t="s">
        <v>498</v>
      </c>
      <c r="BL33" s="925">
        <f>AVERAGE(BH33:BI33)</f>
        <v>22.25</v>
      </c>
      <c r="BM33" s="930" t="s">
        <v>499</v>
      </c>
      <c r="BN33" s="1521">
        <f>((((BP32-BN32)*(BL33-BN31)))/(BP31-BN31))+BN32</f>
        <v>0.61</v>
      </c>
      <c r="BO33" s="1521"/>
      <c r="BP33" s="1521"/>
      <c r="BQ33" s="1523">
        <f>BL33+BN33</f>
        <v>22.86</v>
      </c>
      <c r="BR33" s="940"/>
      <c r="BS33" s="944"/>
      <c r="BT33" s="941"/>
      <c r="BU33" s="930" t="s">
        <v>499</v>
      </c>
      <c r="BV33" s="1521">
        <f>((((BX32-BV32)*(BT34-BV31)))/(BX31-BV31))+BV32</f>
        <v>-4.0845000000000002</v>
      </c>
      <c r="BW33" s="1521"/>
      <c r="BX33" s="1521"/>
      <c r="BY33" s="1523">
        <f>BT34+BV33</f>
        <v>55.265500000000003</v>
      </c>
    </row>
    <row r="34" spans="1:94" ht="17.25" customHeight="1" x14ac:dyDescent="0.25">
      <c r="A34" s="1426" t="s">
        <v>123</v>
      </c>
      <c r="B34" s="1540"/>
      <c r="C34" s="272"/>
      <c r="D34" s="1545">
        <v>59.6</v>
      </c>
      <c r="E34" s="1545"/>
      <c r="F34" s="1545">
        <v>59.1</v>
      </c>
      <c r="G34" s="1545"/>
      <c r="H34" s="1580">
        <f>D34+'INTERPOLASI  '!CS18</f>
        <v>55.548000000000002</v>
      </c>
      <c r="I34" s="1580"/>
      <c r="J34" s="1580">
        <f>F34+'INTERPOLASI  '!CS24</f>
        <v>54.983000000000004</v>
      </c>
      <c r="K34" s="1580"/>
      <c r="L34" s="1579">
        <f>(H34+J34)/2</f>
        <v>55.265500000000003</v>
      </c>
      <c r="M34" s="1579"/>
      <c r="N34" s="124" t="s">
        <v>812</v>
      </c>
      <c r="O34" s="28"/>
      <c r="P34" s="28"/>
      <c r="Q34" s="688"/>
      <c r="R34" s="688"/>
      <c r="S34" s="28"/>
      <c r="T34" s="28"/>
      <c r="U34" s="117">
        <f>PENYELIA!N23</f>
        <v>2.5</v>
      </c>
      <c r="V34" s="1338">
        <f>PENYELIA!M23</f>
        <v>40</v>
      </c>
      <c r="W34" s="1338" t="str">
        <f>PENYELIA!J69</f>
        <v>HIJAU</v>
      </c>
      <c r="X34" s="28"/>
      <c r="Y34" s="28"/>
      <c r="Z34" s="28"/>
      <c r="AA34" s="28"/>
      <c r="AB34" s="28"/>
      <c r="AC34" s="28"/>
      <c r="AD34" s="28"/>
      <c r="AW34" s="28"/>
      <c r="AX34" s="28"/>
      <c r="AY34" s="28"/>
      <c r="AZ34" s="28"/>
      <c r="BG34" s="117" t="s">
        <v>493</v>
      </c>
      <c r="BH34" s="117">
        <v>59.6</v>
      </c>
      <c r="BI34" s="117">
        <v>59.1</v>
      </c>
      <c r="BJ34" s="699"/>
      <c r="BK34" s="938"/>
      <c r="BL34" s="939"/>
      <c r="BM34" s="930" t="s">
        <v>499</v>
      </c>
      <c r="BN34" s="1521"/>
      <c r="BO34" s="1521"/>
      <c r="BP34" s="1521"/>
      <c r="BQ34" s="1523"/>
      <c r="BR34" s="940"/>
      <c r="BS34" s="930" t="s">
        <v>498</v>
      </c>
      <c r="BT34" s="936">
        <f>AVERAGE(BH34:BI34)</f>
        <v>59.35</v>
      </c>
      <c r="BU34" s="930" t="s">
        <v>499</v>
      </c>
      <c r="BV34" s="1521"/>
      <c r="BW34" s="1521"/>
      <c r="BX34" s="1521"/>
      <c r="BY34" s="1523"/>
    </row>
    <row r="35" spans="1:94" ht="18.75" customHeight="1" x14ac:dyDescent="0.25">
      <c r="A35" s="689" t="s">
        <v>124</v>
      </c>
      <c r="B35" s="690"/>
      <c r="C35" s="690"/>
      <c r="D35" s="1120" t="s">
        <v>111</v>
      </c>
      <c r="E35" s="1575" t="s">
        <v>125</v>
      </c>
      <c r="F35" s="1575"/>
      <c r="G35" s="1575"/>
      <c r="H35" s="1553" t="str">
        <f>IF(D35="-","-",P35)</f>
        <v>-</v>
      </c>
      <c r="I35" s="1554"/>
      <c r="J35" s="1121" t="s">
        <v>813</v>
      </c>
      <c r="L35" s="350"/>
      <c r="M35" s="350"/>
      <c r="N35" s="350"/>
      <c r="O35" s="692"/>
      <c r="P35" s="1546" t="e">
        <f>D35+'INTERPOLASI  '!CH37</f>
        <v>#VALUE!</v>
      </c>
      <c r="Q35" s="1546"/>
      <c r="R35" s="688"/>
      <c r="S35" s="28"/>
      <c r="T35" s="28"/>
      <c r="U35" s="117">
        <f>PENYELIA!N24</f>
        <v>2.5</v>
      </c>
      <c r="V35" s="1338"/>
      <c r="W35" s="1338"/>
      <c r="X35" s="28"/>
      <c r="Y35" s="28"/>
      <c r="Z35" s="28"/>
      <c r="AA35" s="28"/>
      <c r="AB35" s="28"/>
      <c r="AC35" s="28"/>
      <c r="AD35" s="28"/>
      <c r="AW35" s="28"/>
      <c r="AX35" s="28"/>
      <c r="AY35" s="28"/>
      <c r="AZ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</row>
    <row r="36" spans="1:94" ht="20.25" customHeight="1" x14ac:dyDescent="0.3">
      <c r="A36" s="273" t="s">
        <v>126</v>
      </c>
      <c r="B36" s="124"/>
      <c r="C36" s="124"/>
      <c r="D36" s="174"/>
      <c r="E36" s="350"/>
      <c r="F36" s="350"/>
      <c r="G36" s="350"/>
      <c r="H36" s="350"/>
      <c r="I36" s="350"/>
      <c r="J36" s="671"/>
      <c r="K36" s="691"/>
      <c r="L36" s="350"/>
      <c r="M36" s="350"/>
      <c r="N36" s="350"/>
      <c r="O36" s="692"/>
      <c r="P36" s="126"/>
      <c r="Q36" s="688"/>
      <c r="R36" s="688"/>
      <c r="S36" s="28"/>
      <c r="T36" s="28"/>
      <c r="U36" s="117">
        <f>PENYELIA!N25</f>
        <v>0</v>
      </c>
      <c r="V36" s="1338"/>
      <c r="W36" s="1338"/>
      <c r="X36" s="28"/>
      <c r="Y36" s="28"/>
      <c r="Z36" s="28"/>
      <c r="AA36" s="28"/>
      <c r="AB36" s="28"/>
      <c r="AC36" s="28"/>
      <c r="AD36" s="28"/>
      <c r="AW36" s="28"/>
      <c r="AX36" s="28"/>
      <c r="AY36" s="28"/>
      <c r="AZ36" s="28"/>
      <c r="BG36" s="117" t="s">
        <v>502</v>
      </c>
      <c r="BH36" s="117">
        <v>218</v>
      </c>
      <c r="BI36" s="28"/>
      <c r="BJ36" s="28"/>
      <c r="BL36" s="1338" t="s">
        <v>502</v>
      </c>
      <c r="BM36" s="1338"/>
      <c r="BN36" s="1338"/>
      <c r="BO36" s="1338"/>
      <c r="BP36" s="1338"/>
      <c r="BQ36" s="1338"/>
      <c r="BR36" s="28"/>
      <c r="BS36" s="28"/>
      <c r="BT36" s="28"/>
      <c r="BU36" s="28"/>
      <c r="BV36" s="28"/>
      <c r="BW36" s="28"/>
      <c r="BX36" s="28"/>
      <c r="BY36" s="28"/>
    </row>
    <row r="37" spans="1:94" ht="20.25" customHeight="1" x14ac:dyDescent="0.3">
      <c r="A37" s="124" t="s">
        <v>127</v>
      </c>
      <c r="B37" s="124"/>
      <c r="C37" s="261" t="s">
        <v>7</v>
      </c>
      <c r="D37" s="1060" t="s">
        <v>1</v>
      </c>
      <c r="E37" s="350"/>
      <c r="F37" s="350"/>
      <c r="G37" s="350"/>
      <c r="H37" s="350"/>
      <c r="I37" s="350"/>
      <c r="J37" s="671"/>
      <c r="K37" s="691"/>
      <c r="L37" s="350"/>
      <c r="M37" s="350"/>
      <c r="N37" s="350"/>
      <c r="O37" s="692"/>
      <c r="P37" s="1074"/>
      <c r="Q37" s="1074"/>
      <c r="R37" s="1074"/>
      <c r="S37" s="595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W37" s="28"/>
      <c r="AX37" s="28"/>
      <c r="AY37" s="28"/>
      <c r="AZ37" s="28"/>
      <c r="BG37" s="28"/>
      <c r="BH37" s="28"/>
      <c r="BI37" s="28"/>
      <c r="BJ37" s="28"/>
      <c r="BK37" s="942"/>
      <c r="BL37" s="1517" t="s">
        <v>502</v>
      </c>
      <c r="BM37" s="931"/>
      <c r="BN37" s="1518" t="s">
        <v>503</v>
      </c>
      <c r="BO37" s="1519"/>
      <c r="BP37" s="1520"/>
      <c r="BQ37" s="1517" t="s">
        <v>504</v>
      </c>
      <c r="BR37" s="28"/>
      <c r="BS37" s="28"/>
      <c r="BT37" s="28"/>
      <c r="BU37" s="28"/>
      <c r="BV37" s="28"/>
      <c r="BW37" s="28"/>
      <c r="BX37" s="28"/>
      <c r="BY37" s="28"/>
    </row>
    <row r="38" spans="1:94" ht="20.25" customHeight="1" x14ac:dyDescent="0.3">
      <c r="A38" s="124" t="s">
        <v>128</v>
      </c>
      <c r="B38" s="124"/>
      <c r="C38" s="261" t="s">
        <v>7</v>
      </c>
      <c r="D38" s="1060" t="s">
        <v>1</v>
      </c>
      <c r="E38" s="350"/>
      <c r="F38" s="350"/>
      <c r="G38" s="350"/>
      <c r="H38" s="350"/>
      <c r="I38" s="350"/>
      <c r="J38" s="671"/>
      <c r="K38" s="691"/>
      <c r="L38" s="350"/>
      <c r="M38" s="350"/>
      <c r="N38" s="350"/>
      <c r="O38" s="692"/>
      <c r="P38" s="1075"/>
      <c r="Q38" s="1075"/>
      <c r="R38" s="1075"/>
      <c r="S38" s="1073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W38" s="28"/>
      <c r="AX38" s="28"/>
      <c r="AY38" s="28"/>
      <c r="AZ38" s="28"/>
      <c r="BG38" s="28"/>
      <c r="BH38" s="28"/>
      <c r="BI38" s="28"/>
      <c r="BJ38" s="28"/>
      <c r="BK38" s="942"/>
      <c r="BL38" s="1517"/>
      <c r="BM38" s="929" t="s">
        <v>494</v>
      </c>
      <c r="BN38" s="928">
        <v>200</v>
      </c>
      <c r="BO38" s="928" t="s">
        <v>496</v>
      </c>
      <c r="BP38" s="925">
        <v>220</v>
      </c>
      <c r="BQ38" s="1517"/>
      <c r="BR38" s="28"/>
      <c r="BS38" s="28"/>
      <c r="BT38" s="28"/>
      <c r="BU38" s="28"/>
      <c r="BV38" s="28"/>
      <c r="BW38" s="28"/>
      <c r="BX38" s="28"/>
      <c r="BY38" s="28"/>
    </row>
    <row r="39" spans="1:94" ht="17.25" customHeight="1" x14ac:dyDescent="0.25">
      <c r="A39" s="264" t="s">
        <v>130</v>
      </c>
      <c r="B39" s="352"/>
      <c r="C39" s="352"/>
      <c r="D39" s="352"/>
      <c r="E39" s="352"/>
      <c r="F39" s="352"/>
      <c r="G39" s="352"/>
      <c r="H39" s="352"/>
      <c r="I39" s="124"/>
      <c r="J39" s="671"/>
      <c r="K39" s="691"/>
      <c r="L39" s="350"/>
      <c r="M39" s="350"/>
      <c r="N39" s="350"/>
      <c r="O39" s="692"/>
      <c r="P39" s="1076"/>
      <c r="Q39" s="1166"/>
      <c r="R39" s="1167"/>
      <c r="S39" s="1168"/>
      <c r="T39" s="1169"/>
      <c r="U39" s="1169"/>
      <c r="V39" s="1169"/>
      <c r="W39" s="1169"/>
      <c r="X39" s="1169"/>
      <c r="Y39" s="1169"/>
      <c r="Z39" s="1169"/>
      <c r="AA39" s="1169"/>
      <c r="AB39" s="1169"/>
      <c r="AC39" s="1169"/>
      <c r="AD39" s="1169"/>
      <c r="AE39" s="1170"/>
      <c r="AF39" s="1170"/>
      <c r="AG39" s="1170"/>
      <c r="AH39" s="1170"/>
      <c r="AI39" s="1170"/>
      <c r="AJ39" s="939"/>
      <c r="AW39" s="28"/>
      <c r="AX39" s="28"/>
      <c r="AY39" s="28"/>
      <c r="AZ39" s="28"/>
      <c r="BG39" s="28"/>
      <c r="BH39" s="28"/>
      <c r="BI39" s="28"/>
      <c r="BJ39" s="28"/>
      <c r="BK39" s="942"/>
      <c r="BL39" s="1517"/>
      <c r="BM39" s="929" t="s">
        <v>495</v>
      </c>
      <c r="BN39" s="928">
        <v>-0.67</v>
      </c>
      <c r="BO39" s="928" t="s">
        <v>497</v>
      </c>
      <c r="BP39" s="935">
        <v>0</v>
      </c>
      <c r="BQ39" s="1517"/>
      <c r="BR39" s="28"/>
      <c r="BS39" s="28"/>
      <c r="BT39" s="28"/>
      <c r="BU39" s="28"/>
      <c r="BV39" s="28"/>
      <c r="BW39" s="28"/>
      <c r="BX39" s="28"/>
      <c r="BY39" s="28"/>
    </row>
    <row r="40" spans="1:94" ht="15" customHeight="1" x14ac:dyDescent="0.3">
      <c r="A40" s="124"/>
      <c r="B40" s="693"/>
      <c r="C40" s="693"/>
      <c r="D40" s="693"/>
      <c r="E40" s="694"/>
      <c r="F40" s="694"/>
      <c r="G40" s="695"/>
      <c r="H40" s="695"/>
      <c r="I40" s="695"/>
      <c r="J40" s="671"/>
      <c r="K40" s="691"/>
      <c r="L40" s="350"/>
      <c r="M40" s="350"/>
      <c r="N40" s="350"/>
      <c r="O40" s="692"/>
      <c r="P40" s="1077"/>
      <c r="Q40" s="1171"/>
      <c r="R40" s="1172"/>
      <c r="S40" s="1172"/>
      <c r="T40" s="1172"/>
      <c r="U40" s="1172"/>
      <c r="V40" s="1172"/>
      <c r="W40" s="1172"/>
      <c r="X40" s="1172"/>
      <c r="Y40" s="1173"/>
      <c r="Z40" s="1173"/>
      <c r="AA40" s="1078" t="s">
        <v>149</v>
      </c>
      <c r="AB40" s="1173"/>
      <c r="AC40" s="1173"/>
      <c r="AD40" s="1173"/>
      <c r="AE40" s="1173"/>
      <c r="AF40" s="1173"/>
      <c r="AG40" s="1173"/>
      <c r="AH40" s="1173"/>
      <c r="AI40" s="1173"/>
      <c r="AJ40" s="1174"/>
      <c r="AW40" s="28"/>
      <c r="AX40" s="28"/>
      <c r="AY40" s="28"/>
      <c r="AZ40" s="28"/>
      <c r="BG40" s="28"/>
      <c r="BH40" s="28"/>
      <c r="BI40" s="28"/>
      <c r="BJ40" s="28"/>
      <c r="BK40" s="930" t="s">
        <v>498</v>
      </c>
      <c r="BL40" s="925">
        <f>BH36</f>
        <v>218</v>
      </c>
      <c r="BM40" s="930" t="s">
        <v>499</v>
      </c>
      <c r="BN40" s="1521">
        <f>((((BP39-BN39)*(BL40-BN38)))/(BP38-BN38))+BN39</f>
        <v>-6.700000000000006E-2</v>
      </c>
      <c r="BO40" s="1521"/>
      <c r="BP40" s="1521"/>
      <c r="BQ40" s="1523">
        <f>BL40+BN40</f>
        <v>217.93299999999999</v>
      </c>
      <c r="BR40" s="28"/>
      <c r="BS40" s="28"/>
      <c r="BT40" s="28"/>
      <c r="BU40" s="28"/>
      <c r="BV40" s="28"/>
      <c r="BW40" s="28"/>
      <c r="BX40" s="28"/>
      <c r="BY40" s="28"/>
    </row>
    <row r="41" spans="1:94" s="165" customFormat="1" ht="30" customHeight="1" thickBot="1" x14ac:dyDescent="0.35">
      <c r="A41" s="1412" t="s">
        <v>23</v>
      </c>
      <c r="B41" s="1413"/>
      <c r="C41" s="1413"/>
      <c r="D41" s="1413"/>
      <c r="E41" s="652"/>
      <c r="F41" s="651"/>
      <c r="G41" s="1412" t="s">
        <v>133</v>
      </c>
      <c r="H41" s="1414"/>
      <c r="I41" s="164" t="s">
        <v>134</v>
      </c>
      <c r="J41" s="1574" t="s">
        <v>135</v>
      </c>
      <c r="K41" s="1574"/>
      <c r="L41" s="274"/>
      <c r="M41" s="167"/>
      <c r="N41" s="167"/>
      <c r="O41" s="166"/>
      <c r="P41" s="596"/>
      <c r="Q41" s="1175"/>
      <c r="R41" s="1173"/>
      <c r="S41" s="1079" t="s">
        <v>785</v>
      </c>
      <c r="T41" s="1080" t="str">
        <f>G44</f>
        <v>-</v>
      </c>
      <c r="U41" s="1173"/>
      <c r="V41" s="1173"/>
      <c r="W41" s="1172"/>
      <c r="X41" s="1172"/>
      <c r="Y41" s="1173"/>
      <c r="Z41" s="1173"/>
      <c r="AA41" s="1081">
        <f>IF(U43&lt;=100,20,0)</f>
        <v>20</v>
      </c>
      <c r="AB41" s="1173"/>
      <c r="AC41" s="1173"/>
      <c r="AD41" s="1173"/>
      <c r="AE41" s="1173"/>
      <c r="AF41" s="1173"/>
      <c r="AG41" s="1173"/>
      <c r="AH41" s="1173"/>
      <c r="AI41" s="1173"/>
      <c r="AJ41" s="1176"/>
      <c r="BK41" s="938"/>
      <c r="BL41" s="939"/>
      <c r="BM41" s="930" t="s">
        <v>499</v>
      </c>
      <c r="BN41" s="1521"/>
      <c r="BO41" s="1521"/>
      <c r="BP41" s="1521"/>
      <c r="BQ41" s="1523"/>
    </row>
    <row r="42" spans="1:94" s="165" customFormat="1" ht="18" customHeight="1" x14ac:dyDescent="0.3">
      <c r="A42" s="1571" t="s">
        <v>42</v>
      </c>
      <c r="B42" s="1572"/>
      <c r="C42" s="1572"/>
      <c r="D42" s="1572"/>
      <c r="E42" s="1572"/>
      <c r="F42" s="1573"/>
      <c r="G42" s="1541" t="s">
        <v>111</v>
      </c>
      <c r="H42" s="1542"/>
      <c r="I42" s="1068" t="str">
        <f>IF(G42="-","-",IF(G42="NC","NC",IF(G42="OL","OL",IF(J33=J33,P42))))</f>
        <v>-</v>
      </c>
      <c r="J42" s="1555" t="s">
        <v>44</v>
      </c>
      <c r="K42" s="1555"/>
      <c r="L42" s="275"/>
      <c r="M42" s="167"/>
      <c r="N42" s="167"/>
      <c r="P42" s="1263" t="e">
        <f>G42+'INTERPOLASI  '!CH43</f>
        <v>#VALUE!</v>
      </c>
      <c r="Q42" s="1177"/>
      <c r="R42" s="1173"/>
      <c r="S42" s="1173"/>
      <c r="T42" s="1173"/>
      <c r="U42" s="1092" t="s">
        <v>786</v>
      </c>
      <c r="V42" s="1173"/>
      <c r="W42" s="1172"/>
      <c r="X42" s="1172"/>
      <c r="Y42" s="1173"/>
      <c r="Z42" s="1173"/>
      <c r="AA42" s="1524" t="str">
        <f>IF(AND(PENYELIA!I25&lt;=PENYELIA!R25,PENYELIA!N25=35),"",IF(AND(PENYELIA!I25="-",PENYELIA!N25=0),"Tidak terdapat grounding di ruangan",IF(AND(PENYELIA!I25&gt;PENYELIA!R25,AA41=20),"Alat tidak boleh digunakan pada instalasi tanpa dilengkapi grounding","")))</f>
        <v>Tidak terdapat grounding di ruangan</v>
      </c>
      <c r="AB42" s="1524"/>
      <c r="AC42" s="1524"/>
      <c r="AD42" s="1524"/>
      <c r="AE42" s="1524"/>
      <c r="AF42" s="1524"/>
      <c r="AG42" s="1524"/>
      <c r="AH42" s="1524"/>
      <c r="AI42" s="1524"/>
      <c r="AJ42" s="1176"/>
    </row>
    <row r="43" spans="1:94" s="165" customFormat="1" x14ac:dyDescent="0.3">
      <c r="A43" s="1558" t="s">
        <v>790</v>
      </c>
      <c r="B43" s="1559"/>
      <c r="C43" s="1559"/>
      <c r="D43" s="1559"/>
      <c r="E43" s="1559"/>
      <c r="F43" s="1560"/>
      <c r="G43" s="1556" t="s">
        <v>111</v>
      </c>
      <c r="H43" s="1557"/>
      <c r="I43" s="1065" t="str">
        <f>IF(G43="-","-",IF(G43="NC","NC",IF(G43="OL","OL",IF(J34=J34,P43))))</f>
        <v>-</v>
      </c>
      <c r="J43" s="1581" t="str">
        <f>LOOKUP(A43,KETERANGAN!F129:F130,KETERANGAN!G129:G130)</f>
        <v>≤ 0.2 Ω</v>
      </c>
      <c r="K43" s="1581"/>
      <c r="L43" s="276"/>
      <c r="M43" s="167"/>
      <c r="N43" s="167"/>
      <c r="P43" s="1164" t="e">
        <f>G43+'INTERPOLASI  '!CS37</f>
        <v>#VALUE!</v>
      </c>
      <c r="Q43" s="1178"/>
      <c r="R43" s="1082" t="s">
        <v>787</v>
      </c>
      <c r="S43" s="1083" t="s">
        <v>788</v>
      </c>
      <c r="T43" s="1084">
        <v>96</v>
      </c>
      <c r="U43" s="1093">
        <f>T43+'INTERPOLASI  '!DF37</f>
        <v>96.4</v>
      </c>
      <c r="V43" s="1085">
        <v>100</v>
      </c>
      <c r="W43" s="1172"/>
      <c r="X43" s="1172"/>
      <c r="Y43" s="1086" t="s">
        <v>131</v>
      </c>
      <c r="Z43" s="1087">
        <v>100</v>
      </c>
      <c r="AA43" s="1525" t="s">
        <v>178</v>
      </c>
      <c r="AB43" s="1526"/>
      <c r="AC43" s="1526"/>
      <c r="AD43" s="1526"/>
      <c r="AE43" s="1526"/>
      <c r="AF43" s="1526"/>
      <c r="AG43" s="1526"/>
      <c r="AH43" s="1526"/>
      <c r="AI43" s="1527"/>
      <c r="AJ43" s="1176"/>
      <c r="BG43" s="946" t="s">
        <v>42</v>
      </c>
      <c r="BH43" s="946">
        <v>3</v>
      </c>
      <c r="BS43" s="946" t="s">
        <v>505</v>
      </c>
      <c r="BT43" s="946">
        <v>0.02</v>
      </c>
      <c r="CF43" s="946" t="s">
        <v>506</v>
      </c>
      <c r="CG43" s="946">
        <v>100</v>
      </c>
    </row>
    <row r="44" spans="1:94" s="165" customFormat="1" ht="15.75" customHeight="1" thickBot="1" x14ac:dyDescent="0.35">
      <c r="A44" s="1561" t="s">
        <v>50</v>
      </c>
      <c r="B44" s="1561"/>
      <c r="C44" s="1561"/>
      <c r="D44" s="1561"/>
      <c r="E44" s="1561"/>
      <c r="F44" s="1561"/>
      <c r="G44" s="1541" t="s">
        <v>111</v>
      </c>
      <c r="H44" s="1542"/>
      <c r="I44" s="1061" t="str">
        <f>IF(G44="-","-",IF(G44="NC","NC",IF(G44="OL","OL",IF(G35=G35,P44))))</f>
        <v>-</v>
      </c>
      <c r="J44" s="1555" t="str">
        <f>LOOKUP(A44,KETERANGAN!F12:F13,KETERANGAN!G12:G13)</f>
        <v>≤ 100 μA</v>
      </c>
      <c r="K44" s="1555"/>
      <c r="L44" s="277"/>
      <c r="M44" s="167"/>
      <c r="N44" s="167"/>
      <c r="P44" s="1165" t="e">
        <f>G44+'INTERPOLASI  '!CS43</f>
        <v>#VALUE!</v>
      </c>
      <c r="Q44" s="1179"/>
      <c r="R44" s="1088" t="s">
        <v>789</v>
      </c>
      <c r="S44" s="1532" t="str">
        <f>AA42</f>
        <v>Tidak terdapat grounding di ruangan</v>
      </c>
      <c r="T44" s="1533"/>
      <c r="U44" s="1533"/>
      <c r="V44" s="1533"/>
      <c r="W44" s="1534"/>
      <c r="X44" s="1172"/>
      <c r="Y44" s="1173"/>
      <c r="Z44" s="1173"/>
      <c r="AA44" s="1528" t="s">
        <v>182</v>
      </c>
      <c r="AB44" s="1529"/>
      <c r="AC44" s="1529"/>
      <c r="AD44" s="1529"/>
      <c r="AE44" s="1529"/>
      <c r="AF44" s="1529"/>
      <c r="AG44" s="1529"/>
      <c r="AH44" s="1529"/>
      <c r="AI44" s="1530"/>
      <c r="AJ44" s="1176"/>
      <c r="BK44" s="25"/>
      <c r="BL44" s="1338" t="s">
        <v>42</v>
      </c>
      <c r="BM44" s="1338"/>
      <c r="BN44" s="1338"/>
      <c r="BO44" s="1338"/>
      <c r="BP44" s="1338"/>
      <c r="BQ44" s="1338"/>
      <c r="BW44" s="25"/>
      <c r="BX44" s="1338" t="s">
        <v>42</v>
      </c>
      <c r="BY44" s="1338"/>
      <c r="BZ44" s="1338"/>
      <c r="CA44" s="1338"/>
      <c r="CB44" s="1338"/>
      <c r="CC44" s="1338"/>
      <c r="CJ44" s="25"/>
      <c r="CK44" s="1338" t="s">
        <v>42</v>
      </c>
      <c r="CL44" s="1338"/>
      <c r="CM44" s="1338"/>
      <c r="CN44" s="1338"/>
      <c r="CO44" s="1338"/>
      <c r="CP44" s="1338"/>
    </row>
    <row r="45" spans="1:94" ht="27" customHeight="1" x14ac:dyDescent="0.3">
      <c r="A45" s="671"/>
      <c r="B45" s="278"/>
      <c r="C45" s="278"/>
      <c r="D45" s="278"/>
      <c r="E45" s="278"/>
      <c r="F45" s="278"/>
      <c r="G45" s="279"/>
      <c r="H45" s="279"/>
      <c r="I45" s="696"/>
      <c r="J45" s="696"/>
      <c r="K45" s="163"/>
      <c r="L45" s="163"/>
      <c r="M45" s="350"/>
      <c r="N45" s="350"/>
      <c r="O45" s="692"/>
      <c r="P45" s="1077"/>
      <c r="Q45" s="1171"/>
      <c r="R45" s="1180"/>
      <c r="S45" s="1089" t="s">
        <v>159</v>
      </c>
      <c r="T45" s="1090"/>
      <c r="U45" s="1090"/>
      <c r="V45" s="1090"/>
      <c r="W45" s="1091"/>
      <c r="X45" s="1180"/>
      <c r="Y45" s="1180"/>
      <c r="Z45" s="1180"/>
      <c r="AA45" s="1531"/>
      <c r="AB45" s="1531"/>
      <c r="AC45" s="1531"/>
      <c r="AD45" s="1531"/>
      <c r="AE45" s="1531"/>
      <c r="AF45" s="1531"/>
      <c r="AG45" s="1531"/>
      <c r="AH45" s="1531"/>
      <c r="AI45" s="1531"/>
      <c r="AJ45" s="700"/>
      <c r="AK45" s="28"/>
      <c r="AU45" s="28"/>
      <c r="AV45" s="28"/>
      <c r="AW45" s="28"/>
      <c r="AX45" s="28"/>
      <c r="AY45" s="28"/>
      <c r="AZ45" s="28"/>
      <c r="BK45" s="942"/>
      <c r="BL45" s="1517" t="s">
        <v>42</v>
      </c>
      <c r="BM45" s="931"/>
      <c r="BN45" s="1518" t="s">
        <v>503</v>
      </c>
      <c r="BO45" s="1519"/>
      <c r="BP45" s="1520"/>
      <c r="BQ45" s="1517" t="s">
        <v>42</v>
      </c>
      <c r="BW45" s="942"/>
      <c r="BX45" s="1517" t="s">
        <v>42</v>
      </c>
      <c r="BY45" s="931"/>
      <c r="BZ45" s="1518" t="s">
        <v>503</v>
      </c>
      <c r="CA45" s="1519"/>
      <c r="CB45" s="1520"/>
      <c r="CC45" s="1517" t="s">
        <v>42</v>
      </c>
      <c r="CJ45" s="942"/>
      <c r="CK45" s="1517" t="s">
        <v>42</v>
      </c>
      <c r="CL45" s="931"/>
      <c r="CM45" s="1518" t="s">
        <v>503</v>
      </c>
      <c r="CN45" s="1519"/>
      <c r="CO45" s="1520"/>
      <c r="CP45" s="1517" t="s">
        <v>42</v>
      </c>
    </row>
    <row r="46" spans="1:94" ht="17.25" customHeight="1" x14ac:dyDescent="0.25">
      <c r="A46" s="280" t="s">
        <v>137</v>
      </c>
      <c r="B46" s="280"/>
      <c r="C46" s="124"/>
      <c r="D46" s="174"/>
      <c r="E46" s="350"/>
      <c r="F46" s="350"/>
      <c r="G46" s="350"/>
      <c r="H46" s="350"/>
      <c r="I46" s="350"/>
      <c r="J46" s="671"/>
      <c r="K46" s="691"/>
      <c r="L46" s="350"/>
      <c r="M46" s="350"/>
      <c r="N46" s="350"/>
      <c r="O46" s="692"/>
      <c r="P46" s="126"/>
      <c r="Q46" s="1181"/>
      <c r="R46" s="1182"/>
      <c r="S46" s="1183"/>
      <c r="T46" s="1183"/>
      <c r="U46" s="1183"/>
      <c r="V46" s="1183"/>
      <c r="W46" s="1183"/>
      <c r="X46" s="1183"/>
      <c r="Y46" s="1183"/>
      <c r="Z46" s="1183"/>
      <c r="AA46" s="1183"/>
      <c r="AB46" s="1183"/>
      <c r="AC46" s="1183"/>
      <c r="AD46" s="1183"/>
      <c r="AE46" s="1183"/>
      <c r="AF46" s="1183"/>
      <c r="AG46" s="1183"/>
      <c r="AH46" s="1183"/>
      <c r="AI46" s="1183"/>
      <c r="AJ46" s="705"/>
      <c r="AK46" s="28"/>
      <c r="AU46" s="28"/>
      <c r="AV46" s="28"/>
      <c r="AW46" s="28"/>
      <c r="AX46" s="28"/>
      <c r="AY46" s="28"/>
      <c r="AZ46" s="28"/>
      <c r="BK46" s="942"/>
      <c r="BL46" s="1517"/>
      <c r="BM46" s="929" t="s">
        <v>494</v>
      </c>
      <c r="BN46" s="928">
        <v>2</v>
      </c>
      <c r="BO46" s="928" t="s">
        <v>496</v>
      </c>
      <c r="BP46" s="925">
        <v>5</v>
      </c>
      <c r="BQ46" s="1517"/>
      <c r="BW46" s="942"/>
      <c r="BX46" s="1517"/>
      <c r="BY46" s="929" t="s">
        <v>494</v>
      </c>
      <c r="BZ46" s="928">
        <v>0</v>
      </c>
      <c r="CA46" s="928" t="s">
        <v>496</v>
      </c>
      <c r="CB46" s="925">
        <v>0.1</v>
      </c>
      <c r="CC46" s="1517"/>
      <c r="CJ46" s="942"/>
      <c r="CK46" s="1517"/>
      <c r="CL46" s="929" t="s">
        <v>494</v>
      </c>
      <c r="CM46" s="928">
        <v>100</v>
      </c>
      <c r="CN46" s="928" t="s">
        <v>496</v>
      </c>
      <c r="CO46" s="925">
        <v>500</v>
      </c>
      <c r="CP46" s="1517"/>
    </row>
    <row r="47" spans="1:94" ht="21" customHeight="1" x14ac:dyDescent="0.25">
      <c r="A47" s="124"/>
      <c r="B47" s="280" t="s">
        <v>138</v>
      </c>
      <c r="C47" s="281"/>
      <c r="D47" s="281"/>
      <c r="E47" s="281"/>
      <c r="F47" s="281"/>
      <c r="G47" s="281"/>
      <c r="H47" s="281"/>
      <c r="I47" s="281"/>
      <c r="J47" s="174"/>
      <c r="K47" s="174"/>
      <c r="L47" s="174"/>
      <c r="M47" s="174"/>
      <c r="N47" s="174"/>
      <c r="O47" s="156"/>
      <c r="P47" s="687"/>
      <c r="Q47" s="688"/>
      <c r="R47" s="688"/>
      <c r="S47" s="28"/>
      <c r="T47" s="28"/>
      <c r="U47" s="28"/>
      <c r="V47" s="28"/>
      <c r="W47" s="28"/>
      <c r="X47" s="28"/>
      <c r="Y47" s="28"/>
      <c r="Z47" s="28"/>
      <c r="AA47" s="28">
        <f>PENYELIA!N25</f>
        <v>0</v>
      </c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K47" s="942"/>
      <c r="BL47" s="1517"/>
      <c r="BM47" s="929" t="s">
        <v>495</v>
      </c>
      <c r="BN47" s="928">
        <v>0</v>
      </c>
      <c r="BO47" s="928" t="s">
        <v>497</v>
      </c>
      <c r="BP47" s="935">
        <v>0</v>
      </c>
      <c r="BQ47" s="1517"/>
      <c r="BW47" s="942"/>
      <c r="BX47" s="1517"/>
      <c r="BY47" s="929" t="s">
        <v>495</v>
      </c>
      <c r="BZ47" s="928">
        <v>0</v>
      </c>
      <c r="CA47" s="928" t="s">
        <v>497</v>
      </c>
      <c r="CB47" s="947">
        <v>-2E-3</v>
      </c>
      <c r="CC47" s="1517"/>
      <c r="CJ47" s="942"/>
      <c r="CK47" s="1517"/>
      <c r="CL47" s="929" t="s">
        <v>495</v>
      </c>
      <c r="CM47" s="928">
        <v>0.4</v>
      </c>
      <c r="CN47" s="928" t="s">
        <v>497</v>
      </c>
      <c r="CO47" s="947">
        <v>1.5</v>
      </c>
      <c r="CP47" s="1517"/>
    </row>
    <row r="48" spans="1:94" ht="16.5" customHeight="1" x14ac:dyDescent="0.25">
      <c r="A48" s="1347" t="s">
        <v>39</v>
      </c>
      <c r="B48" s="1576" t="s">
        <v>139</v>
      </c>
      <c r="C48" s="1594"/>
      <c r="D48" s="1358" t="s">
        <v>140</v>
      </c>
      <c r="E48" s="1565" t="s">
        <v>141</v>
      </c>
      <c r="F48" s="1562" t="s">
        <v>142</v>
      </c>
      <c r="G48" s="1563"/>
      <c r="H48" s="1563"/>
      <c r="I48" s="1563"/>
      <c r="J48" s="1564"/>
      <c r="K48" s="1358" t="s">
        <v>143</v>
      </c>
      <c r="L48" s="1358" t="s">
        <v>144</v>
      </c>
      <c r="M48" s="124"/>
      <c r="N48" s="124"/>
      <c r="O48" s="1568" t="s">
        <v>145</v>
      </c>
      <c r="P48" s="1568" t="s">
        <v>146</v>
      </c>
      <c r="Q48" s="1568" t="s">
        <v>147</v>
      </c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K48" s="930" t="s">
        <v>498</v>
      </c>
      <c r="BL48" s="925">
        <f>BH43</f>
        <v>3</v>
      </c>
      <c r="BM48" s="930" t="s">
        <v>499</v>
      </c>
      <c r="BN48" s="1338">
        <f>((((BP47-BN47)*(BL48-BN46)))/(BP46-BN46))+BN47</f>
        <v>0</v>
      </c>
      <c r="BO48" s="1521"/>
      <c r="BP48" s="1521"/>
      <c r="BQ48" s="1522">
        <f>BL48+BN48</f>
        <v>3</v>
      </c>
      <c r="BW48" s="930" t="s">
        <v>498</v>
      </c>
      <c r="BX48" s="925">
        <f>BT43</f>
        <v>0.02</v>
      </c>
      <c r="BY48" s="930" t="s">
        <v>499</v>
      </c>
      <c r="BZ48" s="1521">
        <f>((((CB47-BZ47)*(BX48-BZ46)))/(CB46-BZ46))+BZ47</f>
        <v>-4.0000000000000002E-4</v>
      </c>
      <c r="CA48" s="1521"/>
      <c r="CB48" s="1521"/>
      <c r="CC48" s="1523">
        <f>BX48+BZ48</f>
        <v>1.9599999999999999E-2</v>
      </c>
      <c r="CJ48" s="930" t="s">
        <v>498</v>
      </c>
      <c r="CK48" s="925">
        <f>CG43</f>
        <v>100</v>
      </c>
      <c r="CL48" s="930" t="s">
        <v>499</v>
      </c>
      <c r="CM48" s="1521">
        <f>((((CO47-CM47)*(CK48-CM46)))/(CO46-CM46))+CM47</f>
        <v>0.4</v>
      </c>
      <c r="CN48" s="1521"/>
      <c r="CO48" s="1521"/>
      <c r="CP48" s="1522">
        <f>CK48+CM48</f>
        <v>100.4</v>
      </c>
    </row>
    <row r="49" spans="1:94" x14ac:dyDescent="0.25">
      <c r="A49" s="1382"/>
      <c r="B49" s="1577"/>
      <c r="C49" s="1595"/>
      <c r="D49" s="1359"/>
      <c r="E49" s="1566"/>
      <c r="F49" s="654" t="s">
        <v>148</v>
      </c>
      <c r="G49" s="660" t="s">
        <v>148</v>
      </c>
      <c r="H49" s="656" t="s">
        <v>148</v>
      </c>
      <c r="I49" s="660" t="s">
        <v>148</v>
      </c>
      <c r="J49" s="656" t="s">
        <v>148</v>
      </c>
      <c r="K49" s="1359"/>
      <c r="L49" s="1359"/>
      <c r="M49" s="124"/>
      <c r="N49" s="124"/>
      <c r="O49" s="1569"/>
      <c r="P49" s="1569"/>
      <c r="Q49" s="1569"/>
      <c r="R49" s="27"/>
      <c r="S49" s="28">
        <v>80</v>
      </c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K49" s="938"/>
      <c r="BL49" s="939"/>
      <c r="BM49" s="930" t="s">
        <v>499</v>
      </c>
      <c r="BN49" s="1521"/>
      <c r="BO49" s="1521"/>
      <c r="BP49" s="1521"/>
      <c r="BQ49" s="1522"/>
      <c r="BW49" s="938"/>
      <c r="BX49" s="939"/>
      <c r="BY49" s="930" t="s">
        <v>499</v>
      </c>
      <c r="BZ49" s="1521"/>
      <c r="CA49" s="1521"/>
      <c r="CB49" s="1521"/>
      <c r="CC49" s="1523"/>
      <c r="CJ49" s="938"/>
      <c r="CK49" s="939"/>
      <c r="CL49" s="930" t="s">
        <v>499</v>
      </c>
      <c r="CM49" s="1521"/>
      <c r="CN49" s="1521"/>
      <c r="CO49" s="1521"/>
      <c r="CP49" s="1522"/>
    </row>
    <row r="50" spans="1:94" x14ac:dyDescent="0.25">
      <c r="A50" s="1348"/>
      <c r="B50" s="1578"/>
      <c r="C50" s="1596"/>
      <c r="D50" s="1360"/>
      <c r="E50" s="1566"/>
      <c r="F50" s="282">
        <v>1</v>
      </c>
      <c r="G50" s="282">
        <v>2</v>
      </c>
      <c r="H50" s="282">
        <v>3</v>
      </c>
      <c r="I50" s="282">
        <v>4</v>
      </c>
      <c r="J50" s="282">
        <v>5</v>
      </c>
      <c r="K50" s="1360"/>
      <c r="L50" s="1360"/>
      <c r="M50" s="124"/>
      <c r="N50" s="124"/>
      <c r="O50" s="1570"/>
      <c r="P50" s="1570"/>
      <c r="Q50" s="1570"/>
      <c r="R50" s="28"/>
      <c r="S50" s="28">
        <v>70</v>
      </c>
      <c r="T50" s="28"/>
      <c r="U50" s="28"/>
      <c r="V50" s="28"/>
      <c r="W50" s="28"/>
      <c r="X50" s="156" t="s">
        <v>149</v>
      </c>
      <c r="Y50" s="28"/>
    </row>
    <row r="51" spans="1:94" x14ac:dyDescent="0.3">
      <c r="A51" s="1390">
        <v>1</v>
      </c>
      <c r="B51" s="283" t="s">
        <v>150</v>
      </c>
      <c r="C51" s="284"/>
      <c r="D51" s="285">
        <f>KLASIFIKASI!O19</f>
        <v>80</v>
      </c>
      <c r="E51" s="1567">
        <v>70</v>
      </c>
      <c r="F51" s="1062">
        <v>81</v>
      </c>
      <c r="G51" s="1141">
        <v>82</v>
      </c>
      <c r="H51" s="1141">
        <v>82</v>
      </c>
      <c r="I51" s="1141">
        <v>82</v>
      </c>
      <c r="J51" s="1141">
        <v>82</v>
      </c>
      <c r="K51" s="653">
        <f>AVERAGE(F51:J51)</f>
        <v>81.8</v>
      </c>
      <c r="L51" s="1065">
        <f>'INTERPOLASI  '!K18+ID!K51</f>
        <v>81.972799999999992</v>
      </c>
      <c r="M51" s="697"/>
      <c r="N51" s="697"/>
      <c r="O51" s="653">
        <f>D51-L51</f>
        <v>-1.9727999999999923</v>
      </c>
      <c r="P51" s="653">
        <f>'BUDGET KTP'!J17</f>
        <v>0.72657111540404895</v>
      </c>
      <c r="Q51" s="653">
        <f>STDEV(F51:J51)</f>
        <v>0.44721359549995793</v>
      </c>
      <c r="R51" s="28"/>
      <c r="S51" s="28">
        <v>60</v>
      </c>
      <c r="T51" s="28"/>
      <c r="U51" s="28"/>
      <c r="V51" s="28"/>
      <c r="W51" s="28"/>
      <c r="X51" s="155" t="s">
        <v>151</v>
      </c>
      <c r="Y51" s="698"/>
      <c r="BG51" s="117" t="s">
        <v>516</v>
      </c>
      <c r="BH51" s="947">
        <v>84</v>
      </c>
      <c r="BK51" s="932" t="s">
        <v>498</v>
      </c>
      <c r="BL51" s="947">
        <f>BH51</f>
        <v>84</v>
      </c>
      <c r="BM51" s="1516" t="s">
        <v>515</v>
      </c>
      <c r="BN51" s="955">
        <f>((((CD52-BZ52)*(BL51-BX52)))/(CB52-BX52))+BZ52</f>
        <v>-0.33600000000000002</v>
      </c>
      <c r="BO51" s="933" t="s">
        <v>517</v>
      </c>
      <c r="BP51" s="934"/>
      <c r="BQ51" s="947">
        <f t="shared" ref="BQ51:BQ64" si="0">BL51+BN51</f>
        <v>83.664000000000001</v>
      </c>
      <c r="BV51" s="117" t="s">
        <v>514</v>
      </c>
      <c r="BW51" s="1514" t="s">
        <v>509</v>
      </c>
      <c r="BX51" s="1514"/>
      <c r="BY51" s="1514"/>
      <c r="BZ51" s="1514"/>
      <c r="CA51" s="1514"/>
      <c r="CB51" s="1514"/>
      <c r="CC51" s="1514"/>
      <c r="CD51" s="1515"/>
    </row>
    <row r="52" spans="1:94" x14ac:dyDescent="0.3">
      <c r="A52" s="1390"/>
      <c r="B52" s="283" t="s">
        <v>152</v>
      </c>
      <c r="C52" s="284"/>
      <c r="D52" s="285">
        <f>KLASIFIKASI!O20</f>
        <v>50</v>
      </c>
      <c r="E52" s="1567"/>
      <c r="F52" s="1062">
        <v>50</v>
      </c>
      <c r="G52" s="1141">
        <v>50</v>
      </c>
      <c r="H52" s="1141">
        <v>50</v>
      </c>
      <c r="I52" s="1141">
        <v>50</v>
      </c>
      <c r="J52" s="1141">
        <v>50</v>
      </c>
      <c r="K52" s="653">
        <f>AVERAGE(F52:J52)</f>
        <v>50</v>
      </c>
      <c r="L52" s="1065">
        <f>K52+'INTERPOLASI  '!V18</f>
        <v>50.3</v>
      </c>
      <c r="M52" s="697"/>
      <c r="N52" s="697"/>
      <c r="O52" s="807">
        <f>D52-L52</f>
        <v>-0.29999999999999716</v>
      </c>
      <c r="P52" s="653">
        <f>'BUDGET KTP'!J31</f>
        <v>0.58889639603889332</v>
      </c>
      <c r="Q52" s="807">
        <f t="shared" ref="Q52:Q66" si="1">STDEV(F52:J52)</f>
        <v>0</v>
      </c>
      <c r="R52" s="28"/>
      <c r="S52" s="28">
        <v>120</v>
      </c>
      <c r="T52" s="28"/>
      <c r="U52" s="28"/>
      <c r="V52" s="28"/>
      <c r="W52" s="28"/>
      <c r="X52" s="699"/>
      <c r="Y52" s="700"/>
      <c r="BH52" s="947">
        <v>54</v>
      </c>
      <c r="BL52" s="947">
        <f t="shared" ref="BL52:BL64" si="2">BH52</f>
        <v>54</v>
      </c>
      <c r="BM52" s="1516"/>
      <c r="BN52" s="117">
        <f>((((CD52-BZ52)*(BL52-BX52)))/(CB52-BX52))+BZ52</f>
        <v>-0.21600000000000003</v>
      </c>
      <c r="BQ52" s="947">
        <f t="shared" si="0"/>
        <v>53.783999999999999</v>
      </c>
      <c r="BV52" s="117" t="s">
        <v>511</v>
      </c>
      <c r="BW52" s="951" t="s">
        <v>494</v>
      </c>
      <c r="BX52" s="949">
        <v>50</v>
      </c>
      <c r="BY52" s="948" t="s">
        <v>495</v>
      </c>
      <c r="BZ52" s="949">
        <v>-0.2</v>
      </c>
      <c r="CA52" s="948" t="s">
        <v>507</v>
      </c>
      <c r="CB52" s="950">
        <v>100</v>
      </c>
      <c r="CC52" s="948" t="s">
        <v>508</v>
      </c>
      <c r="CD52" s="949">
        <v>-0.4</v>
      </c>
    </row>
    <row r="53" spans="1:94" ht="15.75" hidden="1" customHeight="1" x14ac:dyDescent="0.3">
      <c r="A53" s="1390"/>
      <c r="B53" s="124"/>
      <c r="C53" s="286"/>
      <c r="D53" s="124"/>
      <c r="E53" s="1063"/>
      <c r="F53" s="1062"/>
      <c r="G53" s="1062"/>
      <c r="H53" s="1062"/>
      <c r="I53" s="1062"/>
      <c r="J53" s="1062"/>
      <c r="K53" s="653"/>
      <c r="L53" s="1065"/>
      <c r="M53" s="697"/>
      <c r="N53" s="697"/>
      <c r="O53" s="807">
        <f t="shared" ref="O53:O62" si="3">D53-L53</f>
        <v>0</v>
      </c>
      <c r="P53" s="701"/>
      <c r="Q53" s="807" t="e">
        <f t="shared" si="1"/>
        <v>#DIV/0!</v>
      </c>
      <c r="R53" s="28"/>
      <c r="S53" s="28"/>
      <c r="T53" s="28"/>
      <c r="U53" s="28"/>
      <c r="V53" s="28"/>
      <c r="W53" s="28"/>
      <c r="X53" s="702"/>
      <c r="Y53" s="700"/>
      <c r="BH53" s="947">
        <f>K53</f>
        <v>0</v>
      </c>
      <c r="BL53" s="947">
        <f t="shared" si="2"/>
        <v>0</v>
      </c>
      <c r="BM53" s="1516"/>
      <c r="BN53" s="117" t="s">
        <v>510</v>
      </c>
      <c r="BQ53" s="947" t="e">
        <f t="shared" si="0"/>
        <v>#VALUE!</v>
      </c>
      <c r="BV53" s="925"/>
    </row>
    <row r="54" spans="1:94" ht="15.75" customHeight="1" x14ac:dyDescent="0.3">
      <c r="A54" s="1390">
        <v>2</v>
      </c>
      <c r="B54" s="283" t="s">
        <v>150</v>
      </c>
      <c r="C54" s="284"/>
      <c r="D54" s="285">
        <f>KLASIFIKASI!O22</f>
        <v>100</v>
      </c>
      <c r="E54" s="1567">
        <v>70</v>
      </c>
      <c r="F54" s="1062">
        <v>103</v>
      </c>
      <c r="G54" s="1141">
        <v>103</v>
      </c>
      <c r="H54" s="1141">
        <v>103</v>
      </c>
      <c r="I54" s="1062">
        <v>104</v>
      </c>
      <c r="J54" s="1062">
        <v>104</v>
      </c>
      <c r="K54" s="653">
        <f>AVERAGE(F54:J54)</f>
        <v>103.4</v>
      </c>
      <c r="L54" s="1065">
        <f>K54+'INTERPOLASI  '!K19</f>
        <v>103.49320006800001</v>
      </c>
      <c r="M54" s="697"/>
      <c r="N54" s="697"/>
      <c r="O54" s="807">
        <f>D54-L54</f>
        <v>-3.4932000680000073</v>
      </c>
      <c r="P54" s="653">
        <f>'BUDGET KTP'!J45</f>
        <v>0.79760135149297562</v>
      </c>
      <c r="Q54" s="807">
        <f t="shared" si="1"/>
        <v>0.54772255750516607</v>
      </c>
      <c r="R54" s="28"/>
      <c r="S54" s="28"/>
      <c r="T54" s="28"/>
      <c r="U54" s="28"/>
      <c r="V54" s="28"/>
      <c r="W54" s="28"/>
      <c r="X54" s="699"/>
      <c r="Y54" s="700"/>
      <c r="BH54" s="947">
        <v>104</v>
      </c>
      <c r="BL54" s="947">
        <f t="shared" si="2"/>
        <v>104</v>
      </c>
      <c r="BM54" s="1516"/>
      <c r="BN54" s="117">
        <f>((((CD54-BZ54)*(BL54-BX54)))/(CB54-BX54))+BZ54</f>
        <v>-0.42400000000000004</v>
      </c>
      <c r="BO54" s="927"/>
      <c r="BQ54" s="947">
        <f t="shared" si="0"/>
        <v>103.57599999999999</v>
      </c>
      <c r="BV54" s="117" t="s">
        <v>512</v>
      </c>
      <c r="BW54" s="951" t="s">
        <v>494</v>
      </c>
      <c r="BX54" s="949">
        <v>100</v>
      </c>
      <c r="BY54" s="948" t="s">
        <v>495</v>
      </c>
      <c r="BZ54" s="949">
        <v>-0.4</v>
      </c>
      <c r="CA54" s="948" t="s">
        <v>507</v>
      </c>
      <c r="CB54" s="950">
        <v>150</v>
      </c>
      <c r="CC54" s="948" t="s">
        <v>508</v>
      </c>
      <c r="CD54" s="949">
        <v>-0.7</v>
      </c>
    </row>
    <row r="55" spans="1:94" ht="15.75" customHeight="1" x14ac:dyDescent="0.3">
      <c r="A55" s="1390"/>
      <c r="B55" s="283" t="s">
        <v>152</v>
      </c>
      <c r="C55" s="284"/>
      <c r="D55" s="285">
        <f>KLASIFIKASI!O23</f>
        <v>65</v>
      </c>
      <c r="E55" s="1567"/>
      <c r="F55" s="1062">
        <v>65</v>
      </c>
      <c r="G55" s="1141">
        <v>65</v>
      </c>
      <c r="H55" s="1141">
        <v>65</v>
      </c>
      <c r="I55" s="1141">
        <v>65</v>
      </c>
      <c r="J55" s="1141">
        <v>65</v>
      </c>
      <c r="K55" s="653">
        <f>AVERAGE(F55:J55)</f>
        <v>65</v>
      </c>
      <c r="L55" s="1065">
        <f>K55+'INTERPOLASI  '!V19</f>
        <v>65.239999999999995</v>
      </c>
      <c r="M55" s="697"/>
      <c r="N55" s="697"/>
      <c r="O55" s="807">
        <f>D55-L55</f>
        <v>-0.23999999999999488</v>
      </c>
      <c r="P55" s="653">
        <f>'BUDGET KTP'!J68</f>
        <v>0.58889639603889332</v>
      </c>
      <c r="Q55" s="807">
        <f t="shared" si="1"/>
        <v>0</v>
      </c>
      <c r="R55" s="28"/>
      <c r="S55" s="28"/>
      <c r="T55" s="28"/>
      <c r="U55" s="28"/>
      <c r="V55" s="28"/>
      <c r="W55" s="28"/>
      <c r="X55" s="699"/>
      <c r="Y55" s="700"/>
      <c r="BH55" s="947">
        <v>69</v>
      </c>
      <c r="BL55" s="947">
        <f t="shared" si="2"/>
        <v>69</v>
      </c>
      <c r="BM55" s="1516"/>
      <c r="BN55" s="117">
        <f>((((CD52-BZ52)*(BL55-BX52)))/(CB52-BX52))+BZ52</f>
        <v>-0.27600000000000002</v>
      </c>
      <c r="BO55" s="927"/>
      <c r="BQ55" s="947">
        <f t="shared" si="0"/>
        <v>68.724000000000004</v>
      </c>
      <c r="BV55" s="117" t="s">
        <v>513</v>
      </c>
      <c r="BW55" s="951" t="s">
        <v>494</v>
      </c>
      <c r="BX55" s="949">
        <v>150</v>
      </c>
      <c r="BY55" s="948" t="s">
        <v>495</v>
      </c>
      <c r="BZ55" s="949">
        <v>-0.7</v>
      </c>
      <c r="CA55" s="948" t="s">
        <v>507</v>
      </c>
      <c r="CB55" s="950">
        <v>200</v>
      </c>
      <c r="CC55" s="948" t="s">
        <v>508</v>
      </c>
      <c r="CD55" s="949">
        <v>-0.9</v>
      </c>
    </row>
    <row r="56" spans="1:94" ht="15.75" hidden="1" customHeight="1" x14ac:dyDescent="0.3">
      <c r="A56" s="1390"/>
      <c r="B56" s="287"/>
      <c r="C56" s="286"/>
      <c r="D56" s="124"/>
      <c r="E56" s="1063"/>
      <c r="F56" s="1062"/>
      <c r="G56" s="1062"/>
      <c r="H56" s="1062"/>
      <c r="I56" s="1062"/>
      <c r="J56" s="1062"/>
      <c r="K56" s="653"/>
      <c r="L56" s="1065"/>
      <c r="M56" s="697"/>
      <c r="N56" s="697"/>
      <c r="O56" s="807">
        <f t="shared" si="3"/>
        <v>0</v>
      </c>
      <c r="P56" s="701"/>
      <c r="Q56" s="807" t="e">
        <f t="shared" si="1"/>
        <v>#DIV/0!</v>
      </c>
      <c r="R56" s="28"/>
      <c r="S56" s="28"/>
      <c r="T56" s="28"/>
      <c r="U56" s="28"/>
      <c r="V56" s="28"/>
      <c r="W56" s="28"/>
      <c r="X56" s="157" t="s">
        <v>153</v>
      </c>
      <c r="Y56" s="700"/>
      <c r="BH56" s="947">
        <f>K56</f>
        <v>0</v>
      </c>
      <c r="BL56" s="947">
        <f t="shared" si="2"/>
        <v>0</v>
      </c>
      <c r="BM56" s="1516"/>
      <c r="BN56" s="117" t="s">
        <v>510</v>
      </c>
      <c r="BQ56" s="947" t="e">
        <f t="shared" si="0"/>
        <v>#VALUE!</v>
      </c>
    </row>
    <row r="57" spans="1:94" ht="19.5" customHeight="1" x14ac:dyDescent="0.3">
      <c r="A57" s="1390">
        <v>3</v>
      </c>
      <c r="B57" s="283" t="s">
        <v>150</v>
      </c>
      <c r="C57" s="284"/>
      <c r="D57" s="285">
        <f>KLASIFIKASI!O25</f>
        <v>120</v>
      </c>
      <c r="E57" s="1567">
        <v>80</v>
      </c>
      <c r="F57" s="1062">
        <v>120</v>
      </c>
      <c r="G57" s="1141">
        <v>120</v>
      </c>
      <c r="H57" s="1141">
        <v>120</v>
      </c>
      <c r="I57" s="1062">
        <v>120</v>
      </c>
      <c r="J57" s="1062">
        <v>120</v>
      </c>
      <c r="K57" s="653">
        <f>AVERAGE(F57:J57)</f>
        <v>120</v>
      </c>
      <c r="L57" s="1065">
        <f>K57+'INTERPOLASI  '!K20</f>
        <v>120.06000040000001</v>
      </c>
      <c r="M57" s="697"/>
      <c r="N57" s="697"/>
      <c r="O57" s="807">
        <f>D57-L57</f>
        <v>-6.0000400000006948E-2</v>
      </c>
      <c r="P57" s="653">
        <f>'BUDGET KTP'!J82</f>
        <v>0.58889639603889332</v>
      </c>
      <c r="Q57" s="807">
        <f t="shared" si="1"/>
        <v>0</v>
      </c>
      <c r="R57" s="28"/>
      <c r="S57" s="28"/>
      <c r="T57" s="28"/>
      <c r="U57" s="28"/>
      <c r="V57" s="28"/>
      <c r="W57" s="28"/>
      <c r="X57" s="699"/>
      <c r="Y57" s="700"/>
      <c r="BH57" s="947">
        <v>116</v>
      </c>
      <c r="BL57" s="947">
        <f t="shared" si="2"/>
        <v>116</v>
      </c>
      <c r="BM57" s="1516"/>
      <c r="BN57" s="117">
        <f>((((CD54-BZ54)*(BL57-BX54)))/(CB54-BX54))+BZ54</f>
        <v>-0.496</v>
      </c>
      <c r="BQ57" s="947">
        <f t="shared" si="0"/>
        <v>115.504</v>
      </c>
    </row>
    <row r="58" spans="1:94" ht="18.75" customHeight="1" x14ac:dyDescent="0.3">
      <c r="A58" s="1390"/>
      <c r="B58" s="283" t="s">
        <v>152</v>
      </c>
      <c r="C58" s="284"/>
      <c r="D58" s="285">
        <f>KLASIFIKASI!O26</f>
        <v>80</v>
      </c>
      <c r="E58" s="1567"/>
      <c r="F58" s="1062">
        <v>83</v>
      </c>
      <c r="G58" s="1141">
        <v>83</v>
      </c>
      <c r="H58" s="1141">
        <v>83</v>
      </c>
      <c r="I58" s="1141">
        <v>83</v>
      </c>
      <c r="J58" s="1141">
        <v>83</v>
      </c>
      <c r="K58" s="653">
        <f>AVERAGE(F58:J58)</f>
        <v>83</v>
      </c>
      <c r="L58" s="1065">
        <f>K58+'INTERPOLASI  '!V20</f>
        <v>83.168000000000006</v>
      </c>
      <c r="M58" s="697"/>
      <c r="N58" s="703"/>
      <c r="O58" s="807">
        <f>D58-L58</f>
        <v>-3.1680000000000064</v>
      </c>
      <c r="P58" s="653">
        <f>'BUDGET KTP'!J96</f>
        <v>0.58889639603889332</v>
      </c>
      <c r="Q58" s="807">
        <f t="shared" si="1"/>
        <v>0</v>
      </c>
      <c r="R58" s="28"/>
      <c r="S58" s="28"/>
      <c r="T58" s="28"/>
      <c r="U58" s="28"/>
      <c r="V58" s="28"/>
      <c r="W58" s="28"/>
      <c r="X58" s="699"/>
      <c r="Y58" s="700"/>
      <c r="BH58" s="947">
        <v>76</v>
      </c>
      <c r="BL58" s="947">
        <f t="shared" si="2"/>
        <v>76</v>
      </c>
      <c r="BM58" s="1516"/>
      <c r="BN58" s="117">
        <f>((((CD52-BZ52)*(BL58-BX52)))/(CB52-BX52))+BZ52</f>
        <v>-0.30400000000000005</v>
      </c>
      <c r="BQ58" s="947">
        <f t="shared" si="0"/>
        <v>75.695999999999998</v>
      </c>
    </row>
    <row r="59" spans="1:94" ht="15.75" hidden="1" customHeight="1" x14ac:dyDescent="0.3">
      <c r="A59" s="1390"/>
      <c r="B59" s="287"/>
      <c r="C59" s="286"/>
      <c r="D59" s="124"/>
      <c r="E59" s="1063"/>
      <c r="F59" s="1062"/>
      <c r="G59" s="1062"/>
      <c r="H59" s="1062"/>
      <c r="I59" s="1062"/>
      <c r="J59" s="1062"/>
      <c r="K59" s="653"/>
      <c r="L59" s="1065"/>
      <c r="M59" s="697"/>
      <c r="N59" s="697"/>
      <c r="O59" s="807">
        <f t="shared" si="3"/>
        <v>0</v>
      </c>
      <c r="P59" s="701"/>
      <c r="Q59" s="807" t="e">
        <f t="shared" si="1"/>
        <v>#DIV/0!</v>
      </c>
      <c r="R59" s="28"/>
      <c r="S59" s="28"/>
      <c r="T59" s="28"/>
      <c r="U59" s="28"/>
      <c r="V59" s="28"/>
      <c r="W59" s="28"/>
      <c r="X59" s="702"/>
      <c r="Y59" s="700"/>
      <c r="BH59" s="947">
        <f>K59</f>
        <v>0</v>
      </c>
      <c r="BL59" s="947">
        <f t="shared" si="2"/>
        <v>0</v>
      </c>
      <c r="BM59" s="1516"/>
      <c r="BN59" s="117" t="s">
        <v>510</v>
      </c>
      <c r="BQ59" s="947" t="e">
        <f t="shared" si="0"/>
        <v>#VALUE!</v>
      </c>
    </row>
    <row r="60" spans="1:94" x14ac:dyDescent="0.3">
      <c r="A60" s="1347">
        <v>4</v>
      </c>
      <c r="B60" s="283" t="s">
        <v>150</v>
      </c>
      <c r="C60" s="284"/>
      <c r="D60" s="285">
        <f>KLASIFIKASI!O28</f>
        <v>150</v>
      </c>
      <c r="E60" s="1567">
        <v>80</v>
      </c>
      <c r="F60" s="1062">
        <v>148</v>
      </c>
      <c r="G60" s="1141">
        <v>148</v>
      </c>
      <c r="H60" s="1141">
        <v>148</v>
      </c>
      <c r="I60" s="1062">
        <v>147</v>
      </c>
      <c r="J60" s="1062">
        <v>147</v>
      </c>
      <c r="K60" s="653">
        <f>AVERAGE(F60:J60)</f>
        <v>147.6</v>
      </c>
      <c r="L60" s="1065">
        <f>K60+'INTERPOLASI  '!K21</f>
        <v>147.60480095200001</v>
      </c>
      <c r="M60" s="697"/>
      <c r="N60" s="697"/>
      <c r="O60" s="807">
        <f>D60-L60</f>
        <v>2.3951990479999949</v>
      </c>
      <c r="P60" s="653">
        <f>'BUDGET KTP'!J110</f>
        <v>0.79760135149297562</v>
      </c>
      <c r="Q60" s="807">
        <f t="shared" si="1"/>
        <v>0.54772255750516607</v>
      </c>
      <c r="R60" s="28"/>
      <c r="S60" s="28"/>
      <c r="T60" s="28"/>
      <c r="U60" s="28"/>
      <c r="V60" s="28"/>
      <c r="W60" s="28"/>
      <c r="X60" s="704"/>
      <c r="Y60" s="705"/>
      <c r="BH60" s="947">
        <v>147</v>
      </c>
      <c r="BL60" s="947">
        <f t="shared" si="2"/>
        <v>147</v>
      </c>
      <c r="BM60" s="1516"/>
      <c r="BN60" s="117">
        <f>((((CD54-BZ54)*(BL60-BX54)))/(CB54-BX54))+BZ54</f>
        <v>-0.68199999999999994</v>
      </c>
      <c r="BQ60" s="947">
        <f t="shared" si="0"/>
        <v>146.31800000000001</v>
      </c>
    </row>
    <row r="61" spans="1:94" x14ac:dyDescent="0.3">
      <c r="A61" s="1348"/>
      <c r="B61" s="283" t="s">
        <v>152</v>
      </c>
      <c r="C61" s="284"/>
      <c r="D61" s="285">
        <f>KLASIFIKASI!O29</f>
        <v>100</v>
      </c>
      <c r="E61" s="1567"/>
      <c r="F61" s="1062">
        <v>100</v>
      </c>
      <c r="G61" s="1141">
        <v>100</v>
      </c>
      <c r="H61" s="1141">
        <v>100</v>
      </c>
      <c r="I61" s="1141">
        <v>100</v>
      </c>
      <c r="J61" s="1141">
        <v>100</v>
      </c>
      <c r="K61" s="653">
        <f>AVERAGE(F61:J61)</f>
        <v>100</v>
      </c>
      <c r="L61" s="1065">
        <f>K61+'INTERPOLASI  '!V21</f>
        <v>100.1</v>
      </c>
      <c r="M61" s="697"/>
      <c r="N61" s="697"/>
      <c r="O61" s="807">
        <f>D61-L61</f>
        <v>-9.9999999999994316E-2</v>
      </c>
      <c r="P61" s="653">
        <f>'BUDGET KTP'!J123</f>
        <v>0.58889639603889332</v>
      </c>
      <c r="Q61" s="807">
        <f t="shared" si="1"/>
        <v>0</v>
      </c>
      <c r="R61" s="156"/>
      <c r="S61" s="28"/>
      <c r="T61" s="28"/>
      <c r="U61" s="28"/>
      <c r="V61" s="28"/>
      <c r="W61" s="28"/>
      <c r="X61" s="28"/>
      <c r="Y61" s="28"/>
      <c r="BH61" s="947">
        <v>96</v>
      </c>
      <c r="BL61" s="947">
        <f t="shared" si="2"/>
        <v>96</v>
      </c>
      <c r="BM61" s="1516"/>
      <c r="BN61" s="117">
        <f>((((CD52-BZ52)*(BL61-BX52)))/(CB52-BX52))+BZ52</f>
        <v>-0.38400000000000001</v>
      </c>
      <c r="BQ61" s="947">
        <f t="shared" si="0"/>
        <v>95.616</v>
      </c>
    </row>
    <row r="62" spans="1:94" ht="15.75" customHeight="1" x14ac:dyDescent="0.3">
      <c r="A62" s="1597" t="s">
        <v>820</v>
      </c>
      <c r="B62" s="1598"/>
      <c r="C62" s="1598"/>
      <c r="D62" s="1598"/>
      <c r="E62" s="1598"/>
      <c r="F62" s="1598"/>
      <c r="G62" s="1598"/>
      <c r="H62" s="1598"/>
      <c r="I62" s="1598"/>
      <c r="J62" s="1598"/>
      <c r="K62" s="1598"/>
      <c r="L62" s="1599"/>
      <c r="M62" s="697"/>
      <c r="N62" s="697"/>
      <c r="O62" s="807">
        <f t="shared" si="3"/>
        <v>0</v>
      </c>
      <c r="P62" s="701"/>
      <c r="Q62" s="807" t="e">
        <f t="shared" si="1"/>
        <v>#DIV/0!</v>
      </c>
      <c r="R62" s="28"/>
      <c r="S62" s="28"/>
      <c r="T62" s="28"/>
      <c r="U62" s="28"/>
      <c r="V62" s="28"/>
      <c r="W62" s="28"/>
      <c r="X62" s="28"/>
      <c r="Y62" s="28"/>
      <c r="BH62" s="947">
        <f>K62</f>
        <v>0</v>
      </c>
      <c r="BL62" s="947">
        <f t="shared" si="2"/>
        <v>0</v>
      </c>
      <c r="BM62" s="1516"/>
      <c r="BN62" s="117" t="s">
        <v>510</v>
      </c>
      <c r="BQ62" s="947" t="e">
        <f t="shared" si="0"/>
        <v>#VALUE!</v>
      </c>
    </row>
    <row r="63" spans="1:94" x14ac:dyDescent="0.3">
      <c r="A63" s="1390">
        <v>5</v>
      </c>
      <c r="B63" s="283" t="s">
        <v>150</v>
      </c>
      <c r="C63" s="1064">
        <v>200</v>
      </c>
      <c r="D63" s="352">
        <f>C63</f>
        <v>200</v>
      </c>
      <c r="E63" s="1567">
        <v>80</v>
      </c>
      <c r="F63" s="1062">
        <v>195</v>
      </c>
      <c r="G63" s="1062">
        <v>195</v>
      </c>
      <c r="H63" s="1062">
        <v>195</v>
      </c>
      <c r="I63" s="1062">
        <v>195</v>
      </c>
      <c r="J63" s="1062">
        <v>195</v>
      </c>
      <c r="K63" s="653">
        <f>AVERAGE(F63:J63)</f>
        <v>195</v>
      </c>
      <c r="L63" s="1065">
        <f>K63+'INTERPOLASI  '!K22</f>
        <v>194.91000009999999</v>
      </c>
      <c r="M63" s="697"/>
      <c r="N63" s="697"/>
      <c r="O63" s="807">
        <f>D63-L63</f>
        <v>5.0899999000000093</v>
      </c>
      <c r="P63" s="653">
        <f>'BUDGET KTP'!J137</f>
        <v>0.58889639603889332</v>
      </c>
      <c r="Q63" s="807">
        <f t="shared" si="1"/>
        <v>0</v>
      </c>
      <c r="R63" s="28"/>
      <c r="S63" s="28"/>
      <c r="T63" s="28"/>
      <c r="U63" s="28"/>
      <c r="V63" s="28"/>
      <c r="W63" s="28"/>
      <c r="X63" s="28"/>
      <c r="Y63" s="28"/>
      <c r="BH63" s="947">
        <v>195</v>
      </c>
      <c r="BL63" s="947">
        <f t="shared" si="2"/>
        <v>195</v>
      </c>
      <c r="BM63" s="1516"/>
      <c r="BN63" s="117">
        <f>((((CD55-BZ55)*(BL63-BX55)))/(CB55-BX55))+BZ55</f>
        <v>-0.88</v>
      </c>
      <c r="BQ63" s="947">
        <f t="shared" si="0"/>
        <v>194.12</v>
      </c>
    </row>
    <row r="64" spans="1:94" x14ac:dyDescent="0.3">
      <c r="A64" s="1390"/>
      <c r="B64" s="283" t="s">
        <v>152</v>
      </c>
      <c r="C64" s="356"/>
      <c r="D64" s="285">
        <f>KLASIFIKASI!K3</f>
        <v>150</v>
      </c>
      <c r="E64" s="1567"/>
      <c r="F64" s="1062">
        <v>150</v>
      </c>
      <c r="G64" s="1062">
        <v>150</v>
      </c>
      <c r="H64" s="1062">
        <v>150</v>
      </c>
      <c r="I64" s="1062">
        <v>150</v>
      </c>
      <c r="J64" s="1062">
        <v>150</v>
      </c>
      <c r="K64" s="653">
        <f>AVERAGE(F64:J64)</f>
        <v>150</v>
      </c>
      <c r="L64" s="1065">
        <f>K64+'INTERPOLASI  '!V23</f>
        <v>149.61199999999999</v>
      </c>
      <c r="M64" s="697"/>
      <c r="N64" s="697"/>
      <c r="O64" s="807">
        <f>D64-L64</f>
        <v>0.38800000000000523</v>
      </c>
      <c r="P64" s="653">
        <f>'BUDGET KTP'!J151</f>
        <v>0.58889639603889332</v>
      </c>
      <c r="Q64" s="807">
        <f t="shared" si="1"/>
        <v>0</v>
      </c>
      <c r="R64" s="28"/>
      <c r="S64" s="28"/>
      <c r="T64" s="28"/>
      <c r="U64" s="28"/>
      <c r="V64" s="28"/>
      <c r="W64" s="28"/>
      <c r="X64" s="28"/>
      <c r="Y64" s="28"/>
      <c r="BH64" s="947">
        <v>145</v>
      </c>
      <c r="BI64" s="109"/>
      <c r="BJ64" s="109"/>
      <c r="BK64" s="109"/>
      <c r="BL64" s="947">
        <f t="shared" si="2"/>
        <v>145</v>
      </c>
      <c r="BM64" s="1516"/>
      <c r="BN64" s="117">
        <f>((((CD54-BZ54)*(BL64-BX54)))/(CB54-BX54))+BZ54</f>
        <v>-0.66999999999999993</v>
      </c>
      <c r="BQ64" s="947">
        <f t="shared" si="0"/>
        <v>144.33000000000001</v>
      </c>
    </row>
    <row r="65" spans="1:25" hidden="1" x14ac:dyDescent="0.3">
      <c r="A65" s="1390"/>
      <c r="B65" s="287" t="s">
        <v>141</v>
      </c>
      <c r="C65" s="286"/>
      <c r="D65" s="124"/>
      <c r="E65" s="124"/>
      <c r="F65" s="288"/>
      <c r="G65" s="288"/>
      <c r="H65" s="288"/>
      <c r="I65" s="288"/>
      <c r="J65" s="288"/>
      <c r="K65" s="706"/>
      <c r="L65" s="706"/>
      <c r="M65" s="706"/>
      <c r="N65" s="707"/>
      <c r="O65" s="706"/>
      <c r="P65" s="708"/>
      <c r="Q65" s="807" t="e">
        <f t="shared" si="1"/>
        <v>#DIV/0!</v>
      </c>
      <c r="R65" s="28"/>
      <c r="S65" s="28"/>
      <c r="T65" s="28"/>
      <c r="U65" s="28"/>
      <c r="V65" s="28"/>
      <c r="W65" s="28"/>
      <c r="X65" s="28"/>
      <c r="Y65" s="28"/>
    </row>
    <row r="66" spans="1:25" hidden="1" x14ac:dyDescent="0.25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28"/>
      <c r="P66" s="28"/>
      <c r="Q66" s="807" t="e">
        <f t="shared" si="1"/>
        <v>#DIV/0!</v>
      </c>
      <c r="R66" s="28"/>
      <c r="S66" s="28"/>
    </row>
    <row r="67" spans="1:25" s="109" customFormat="1" ht="9" customHeight="1" x14ac:dyDescent="0.25">
      <c r="A67" s="289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S67" s="28"/>
    </row>
    <row r="68" spans="1:25" s="109" customFormat="1" x14ac:dyDescent="0.25">
      <c r="A68" s="124"/>
      <c r="B68" s="124" t="s">
        <v>154</v>
      </c>
      <c r="C68" s="124"/>
      <c r="D68" s="124"/>
      <c r="E68" s="124"/>
      <c r="F68" s="124"/>
      <c r="G68" s="124"/>
      <c r="H68" s="124"/>
      <c r="I68" s="124"/>
      <c r="J68" s="124"/>
      <c r="K68" s="211"/>
      <c r="L68" s="211"/>
      <c r="M68" s="211"/>
      <c r="N68" s="211"/>
      <c r="S68" s="28"/>
    </row>
    <row r="69" spans="1:25" s="109" customFormat="1" ht="9.75" customHeight="1" x14ac:dyDescent="0.25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211"/>
      <c r="L69" s="211"/>
      <c r="M69" s="211"/>
      <c r="N69" s="211"/>
      <c r="S69" s="28"/>
    </row>
    <row r="70" spans="1:25" s="109" customFormat="1" ht="15" customHeight="1" x14ac:dyDescent="0.25">
      <c r="A70" s="1347" t="s">
        <v>39</v>
      </c>
      <c r="B70" s="1406" t="s">
        <v>23</v>
      </c>
      <c r="C70" s="1418"/>
      <c r="D70" s="1591" t="s">
        <v>72</v>
      </c>
      <c r="E70" s="1395" t="s">
        <v>155</v>
      </c>
      <c r="F70" s="1395" t="s">
        <v>156</v>
      </c>
      <c r="G70" s="1562" t="s">
        <v>157</v>
      </c>
      <c r="H70" s="1563"/>
      <c r="I70" s="1564"/>
      <c r="J70" s="1576" t="s">
        <v>143</v>
      </c>
      <c r="K70" s="1395" t="s">
        <v>158</v>
      </c>
      <c r="N70" s="211"/>
      <c r="O70" s="1358" t="s">
        <v>147</v>
      </c>
      <c r="P70" s="1358" t="s">
        <v>146</v>
      </c>
      <c r="S70" s="28"/>
    </row>
    <row r="71" spans="1:25" s="109" customFormat="1" ht="15" customHeight="1" x14ac:dyDescent="0.25">
      <c r="A71" s="1382"/>
      <c r="B71" s="1408"/>
      <c r="C71" s="1419"/>
      <c r="D71" s="1592"/>
      <c r="E71" s="1395"/>
      <c r="F71" s="1395"/>
      <c r="G71" s="654" t="s">
        <v>148</v>
      </c>
      <c r="H71" s="654" t="s">
        <v>148</v>
      </c>
      <c r="I71" s="654" t="s">
        <v>148</v>
      </c>
      <c r="J71" s="1577"/>
      <c r="K71" s="1395"/>
      <c r="N71" s="211"/>
      <c r="O71" s="1359"/>
      <c r="P71" s="1359"/>
      <c r="S71" s="28"/>
    </row>
    <row r="72" spans="1:25" s="109" customFormat="1" x14ac:dyDescent="0.25">
      <c r="A72" s="1348"/>
      <c r="B72" s="1410"/>
      <c r="C72" s="1420"/>
      <c r="D72" s="1593"/>
      <c r="E72" s="1395"/>
      <c r="F72" s="1395"/>
      <c r="G72" s="654">
        <v>1</v>
      </c>
      <c r="H72" s="654">
        <v>2</v>
      </c>
      <c r="I72" s="654">
        <v>3</v>
      </c>
      <c r="J72" s="1578"/>
      <c r="K72" s="1395"/>
      <c r="N72" s="211"/>
      <c r="O72" s="1360"/>
      <c r="P72" s="1360"/>
      <c r="S72" s="28"/>
    </row>
    <row r="73" spans="1:25" s="109" customFormat="1" x14ac:dyDescent="0.25">
      <c r="A73" s="1347">
        <v>1</v>
      </c>
      <c r="B73" s="1585" t="s">
        <v>80</v>
      </c>
      <c r="C73" s="1586"/>
      <c r="D73" s="1062">
        <v>60</v>
      </c>
      <c r="E73" s="1582">
        <v>120</v>
      </c>
      <c r="F73" s="1582">
        <v>80</v>
      </c>
      <c r="G73" s="1062">
        <v>60</v>
      </c>
      <c r="H73" s="1062">
        <v>60</v>
      </c>
      <c r="I73" s="1062">
        <v>60</v>
      </c>
      <c r="J73" s="709">
        <f>AVERAGE(G73:I73)</f>
        <v>60</v>
      </c>
      <c r="K73" s="1065">
        <f>((D73-J73)/D73)*100</f>
        <v>0</v>
      </c>
      <c r="N73" s="174"/>
      <c r="O73" s="653">
        <f>STDEV(G73:I73)</f>
        <v>0</v>
      </c>
      <c r="P73" s="653">
        <f>'BUDGET KTP'!J169</f>
        <v>0.96636845337887511</v>
      </c>
      <c r="Q73" s="199"/>
      <c r="R73" s="199"/>
      <c r="S73" s="156"/>
    </row>
    <row r="74" spans="1:25" s="109" customFormat="1" x14ac:dyDescent="0.25">
      <c r="A74" s="1382"/>
      <c r="B74" s="1587"/>
      <c r="C74" s="1588"/>
      <c r="D74" s="1062">
        <v>120</v>
      </c>
      <c r="E74" s="1583"/>
      <c r="F74" s="1583"/>
      <c r="G74" s="1066">
        <v>121</v>
      </c>
      <c r="H74" s="1066">
        <v>121</v>
      </c>
      <c r="I74" s="1066">
        <v>121</v>
      </c>
      <c r="J74" s="709">
        <f>AVERAGE(G74:I74)</f>
        <v>121</v>
      </c>
      <c r="K74" s="1065">
        <f t="shared" ref="K74:K75" si="4">((D74-J74)/D74)*100</f>
        <v>-0.83333333333333337</v>
      </c>
      <c r="N74" s="290"/>
      <c r="O74" s="807">
        <f t="shared" ref="O74:O82" si="5">STDEV(G74:I74)</f>
        <v>0</v>
      </c>
      <c r="P74" s="653">
        <f>'BUDGET KTP'!J182</f>
        <v>0.47919096861762406</v>
      </c>
      <c r="Q74" s="156"/>
      <c r="R74" s="156"/>
      <c r="S74" s="156"/>
    </row>
    <row r="75" spans="1:25" s="109" customFormat="1" x14ac:dyDescent="0.25">
      <c r="A75" s="1348"/>
      <c r="B75" s="1589"/>
      <c r="C75" s="1590"/>
      <c r="D75" s="1062">
        <v>180</v>
      </c>
      <c r="E75" s="1584"/>
      <c r="F75" s="1584"/>
      <c r="G75" s="1066">
        <v>179</v>
      </c>
      <c r="H75" s="1066">
        <v>179</v>
      </c>
      <c r="I75" s="1066">
        <v>179</v>
      </c>
      <c r="J75" s="709">
        <f>AVERAGE(G75:I75)</f>
        <v>179</v>
      </c>
      <c r="K75" s="1065">
        <f t="shared" si="4"/>
        <v>0.55555555555555558</v>
      </c>
      <c r="N75" s="217"/>
      <c r="O75" s="807">
        <f t="shared" si="5"/>
        <v>0</v>
      </c>
      <c r="P75" s="653">
        <f>'BUDGET KTP'!J195</f>
        <v>0.32392238660744421</v>
      </c>
      <c r="Q75" s="115"/>
      <c r="R75" s="115"/>
      <c r="S75" s="156"/>
    </row>
    <row r="76" spans="1:25" s="109" customFormat="1" hidden="1" x14ac:dyDescent="0.3">
      <c r="A76" s="291"/>
      <c r="B76" s="292"/>
      <c r="C76" s="289"/>
      <c r="D76" s="289"/>
      <c r="E76" s="211"/>
      <c r="F76" s="211"/>
      <c r="G76" s="211"/>
      <c r="H76" s="211"/>
      <c r="I76" s="211"/>
      <c r="J76" s="211"/>
      <c r="K76" s="211"/>
      <c r="L76" s="293"/>
      <c r="M76" s="293"/>
      <c r="N76" s="293"/>
      <c r="O76" s="807" t="e">
        <f t="shared" si="5"/>
        <v>#DIV/0!</v>
      </c>
      <c r="P76" s="200"/>
      <c r="Q76" s="199"/>
      <c r="R76" s="199"/>
      <c r="S76" s="156"/>
    </row>
    <row r="77" spans="1:25" s="109" customFormat="1" hidden="1" x14ac:dyDescent="0.3">
      <c r="A77" s="174"/>
      <c r="B77" s="294"/>
      <c r="C77" s="217"/>
      <c r="D77" s="217"/>
      <c r="E77" s="211"/>
      <c r="F77" s="211"/>
      <c r="G77" s="211"/>
      <c r="H77" s="211"/>
      <c r="I77" s="211"/>
      <c r="J77" s="211"/>
      <c r="K77" s="211"/>
      <c r="L77" s="293"/>
      <c r="M77" s="293"/>
      <c r="N77" s="293"/>
      <c r="O77" s="807" t="e">
        <f t="shared" si="5"/>
        <v>#DIV/0!</v>
      </c>
      <c r="P77" s="201"/>
      <c r="Q77" s="156"/>
      <c r="R77" s="156"/>
      <c r="S77" s="156"/>
    </row>
    <row r="78" spans="1:25" s="109" customFormat="1" hidden="1" x14ac:dyDescent="0.25">
      <c r="A78" s="174"/>
      <c r="B78" s="295"/>
      <c r="C78" s="217"/>
      <c r="D78" s="217"/>
      <c r="E78" s="211"/>
      <c r="F78" s="211"/>
      <c r="G78" s="211"/>
      <c r="H78" s="211"/>
      <c r="I78" s="211"/>
      <c r="J78" s="211"/>
      <c r="K78" s="211"/>
      <c r="L78" s="217"/>
      <c r="M78" s="217"/>
      <c r="N78" s="217"/>
      <c r="O78" s="807" t="e">
        <f t="shared" si="5"/>
        <v>#DIV/0!</v>
      </c>
      <c r="P78" s="115"/>
      <c r="Q78" s="115"/>
      <c r="R78" s="115"/>
      <c r="S78" s="156"/>
    </row>
    <row r="79" spans="1:25" s="109" customFormat="1" hidden="1" x14ac:dyDescent="0.3">
      <c r="A79" s="174"/>
      <c r="B79" s="294"/>
      <c r="C79" s="217"/>
      <c r="D79" s="296"/>
      <c r="E79" s="211"/>
      <c r="F79" s="211"/>
      <c r="G79" s="211"/>
      <c r="H79" s="211"/>
      <c r="I79" s="211"/>
      <c r="J79" s="211"/>
      <c r="K79" s="211"/>
      <c r="L79" s="293"/>
      <c r="M79" s="293"/>
      <c r="N79" s="293"/>
      <c r="O79" s="807" t="e">
        <f t="shared" si="5"/>
        <v>#DIV/0!</v>
      </c>
      <c r="P79" s="200"/>
      <c r="Q79" s="199"/>
      <c r="R79" s="199"/>
      <c r="S79" s="156"/>
    </row>
    <row r="80" spans="1:25" s="109" customFormat="1" hidden="1" x14ac:dyDescent="0.3">
      <c r="A80" s="174"/>
      <c r="B80" s="294"/>
      <c r="C80" s="217"/>
      <c r="D80" s="296"/>
      <c r="E80" s="211"/>
      <c r="F80" s="211"/>
      <c r="G80" s="211"/>
      <c r="H80" s="211"/>
      <c r="I80" s="211"/>
      <c r="J80" s="211"/>
      <c r="K80" s="211"/>
      <c r="L80" s="174"/>
      <c r="M80" s="174"/>
      <c r="N80" s="174"/>
      <c r="O80" s="807" t="e">
        <f t="shared" si="5"/>
        <v>#DIV/0!</v>
      </c>
      <c r="P80" s="201"/>
      <c r="Q80" s="156"/>
      <c r="R80" s="156"/>
      <c r="S80" s="156"/>
    </row>
    <row r="81" spans="1:19" s="109" customFormat="1" hidden="1" x14ac:dyDescent="0.25">
      <c r="A81" s="174"/>
      <c r="B81" s="295"/>
      <c r="C81" s="217"/>
      <c r="D81" s="217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807" t="e">
        <f t="shared" si="5"/>
        <v>#DIV/0!</v>
      </c>
      <c r="S81" s="28"/>
    </row>
    <row r="82" spans="1:19" s="109" customFormat="1" hidden="1" x14ac:dyDescent="0.25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807" t="e">
        <f t="shared" si="5"/>
        <v>#DIV/0!</v>
      </c>
    </row>
    <row r="83" spans="1:19" x14ac:dyDescent="0.25">
      <c r="A83" s="297" t="str">
        <f>PENYELIA!A52</f>
        <v>V.</v>
      </c>
      <c r="B83" s="297" t="str">
        <f>PENYELIA!B52</f>
        <v>Keterangan</v>
      </c>
      <c r="C83" s="297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</row>
    <row r="84" spans="1:19" x14ac:dyDescent="0.25">
      <c r="A84" s="124"/>
      <c r="B84" s="25" t="str">
        <f>S44</f>
        <v>Tidak terdapat grounding di ruangan</v>
      </c>
      <c r="F84" s="124"/>
      <c r="G84" s="124"/>
      <c r="H84" s="124"/>
      <c r="I84" s="124"/>
      <c r="J84" s="124"/>
      <c r="K84" s="124"/>
      <c r="L84" s="124"/>
      <c r="M84" s="124"/>
      <c r="N84" s="124"/>
    </row>
    <row r="85" spans="1:19" x14ac:dyDescent="0.25">
      <c r="A85" s="124"/>
      <c r="B85" s="1539" t="str">
        <f>IF(D35="-","Catu daya menggunakan baterai")</f>
        <v>Catu daya menggunakan baterai</v>
      </c>
      <c r="C85" s="1539"/>
      <c r="D85" s="1539"/>
      <c r="E85" s="1539"/>
      <c r="F85" s="124"/>
      <c r="G85" s="124"/>
      <c r="H85" s="124"/>
      <c r="I85" s="124"/>
      <c r="J85" s="124"/>
      <c r="K85" s="124"/>
      <c r="L85" s="124"/>
      <c r="M85" s="124"/>
      <c r="N85" s="124"/>
    </row>
    <row r="86" spans="1:19" x14ac:dyDescent="0.25">
      <c r="A86" s="124"/>
      <c r="B86" s="1539"/>
      <c r="C86" s="1539"/>
      <c r="D86" s="1539"/>
      <c r="E86" s="1539"/>
      <c r="F86" s="124"/>
      <c r="G86" s="124"/>
      <c r="H86" s="124"/>
      <c r="I86" s="124"/>
      <c r="J86" s="124"/>
      <c r="K86" s="124"/>
      <c r="L86" s="124"/>
      <c r="M86" s="124"/>
      <c r="N86" s="124"/>
    </row>
    <row r="87" spans="1:19" x14ac:dyDescent="0.25">
      <c r="A87" s="297" t="s">
        <v>160</v>
      </c>
      <c r="B87" s="264" t="s">
        <v>161</v>
      </c>
      <c r="C87" s="26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</row>
    <row r="88" spans="1:19" ht="23.25" customHeight="1" x14ac:dyDescent="0.3">
      <c r="A88" s="124"/>
      <c r="B88" s="1538" t="s">
        <v>841</v>
      </c>
      <c r="C88" s="1538"/>
      <c r="D88" s="1538"/>
      <c r="E88" s="1538"/>
      <c r="F88" s="1538"/>
      <c r="G88" s="1538"/>
      <c r="H88" s="1538"/>
      <c r="I88" s="1538"/>
      <c r="J88" s="124"/>
      <c r="K88" s="124"/>
      <c r="L88" s="124"/>
      <c r="M88" s="124"/>
      <c r="N88" s="124"/>
    </row>
    <row r="89" spans="1:19" x14ac:dyDescent="0.25">
      <c r="A89" s="124"/>
      <c r="B89" s="1536" t="s">
        <v>283</v>
      </c>
      <c r="C89" s="1536"/>
      <c r="D89" s="1536"/>
      <c r="E89" s="1536"/>
      <c r="F89" s="1536"/>
      <c r="G89" s="1536"/>
      <c r="H89" s="1536"/>
      <c r="I89" s="1536"/>
      <c r="J89" s="124"/>
      <c r="K89" s="124"/>
      <c r="L89" s="124"/>
      <c r="M89" s="124"/>
      <c r="N89" s="124"/>
    </row>
    <row r="90" spans="1:19" x14ac:dyDescent="0.25">
      <c r="A90" s="124"/>
      <c r="B90" s="1536" t="s">
        <v>164</v>
      </c>
      <c r="C90" s="1536"/>
      <c r="D90" s="1536"/>
      <c r="E90" s="1536"/>
      <c r="F90" s="1536"/>
      <c r="G90" s="1536"/>
      <c r="H90" s="1536"/>
      <c r="I90" s="1536"/>
      <c r="J90" s="124"/>
      <c r="K90" s="124"/>
      <c r="L90" s="124"/>
      <c r="M90" s="124"/>
      <c r="N90" s="124"/>
    </row>
    <row r="91" spans="1:19" x14ac:dyDescent="0.25">
      <c r="A91" s="28"/>
      <c r="B91" s="158"/>
      <c r="C91" s="158"/>
      <c r="D91" s="158"/>
      <c r="E91" s="158"/>
      <c r="F91" s="158"/>
      <c r="G91" s="158"/>
      <c r="H91" s="158"/>
      <c r="I91" s="158"/>
      <c r="J91" s="28"/>
      <c r="K91" s="28"/>
      <c r="L91" s="28"/>
      <c r="M91" s="28"/>
      <c r="N91" s="28"/>
    </row>
    <row r="92" spans="1:19" x14ac:dyDescent="0.25">
      <c r="A92" s="28"/>
      <c r="B92" s="113"/>
      <c r="C92" s="113"/>
      <c r="D92" s="122"/>
      <c r="E92" s="28"/>
      <c r="F92" s="28"/>
      <c r="G92" s="28"/>
      <c r="H92" s="28"/>
      <c r="I92" s="28"/>
      <c r="J92" s="28"/>
      <c r="K92" s="28"/>
      <c r="L92" s="28"/>
      <c r="M92" s="28"/>
      <c r="N92" s="28"/>
    </row>
  </sheetData>
  <sheetProtection formatCells="0" formatColumns="0" formatRows="0" insertColumns="0" insertRows="0" deleteColumns="0" deleteRows="0"/>
  <dataConsolidate/>
  <mergeCells count="133">
    <mergeCell ref="B86:E86"/>
    <mergeCell ref="O48:O50"/>
    <mergeCell ref="E70:E72"/>
    <mergeCell ref="E73:E75"/>
    <mergeCell ref="F73:F75"/>
    <mergeCell ref="B73:C75"/>
    <mergeCell ref="D70:D72"/>
    <mergeCell ref="F70:F72"/>
    <mergeCell ref="B70:C72"/>
    <mergeCell ref="K48:K50"/>
    <mergeCell ref="B48:C50"/>
    <mergeCell ref="E63:E64"/>
    <mergeCell ref="A62:L62"/>
    <mergeCell ref="O70:O72"/>
    <mergeCell ref="P70:P72"/>
    <mergeCell ref="Q48:Q50"/>
    <mergeCell ref="P48:P50"/>
    <mergeCell ref="A34:B34"/>
    <mergeCell ref="D32:E32"/>
    <mergeCell ref="A42:F42"/>
    <mergeCell ref="J41:K41"/>
    <mergeCell ref="E35:G35"/>
    <mergeCell ref="D34:E34"/>
    <mergeCell ref="D33:E33"/>
    <mergeCell ref="L48:L50"/>
    <mergeCell ref="K70:K72"/>
    <mergeCell ref="J70:J72"/>
    <mergeCell ref="F33:G33"/>
    <mergeCell ref="L33:M33"/>
    <mergeCell ref="J34:K34"/>
    <mergeCell ref="J33:K33"/>
    <mergeCell ref="H34:I34"/>
    <mergeCell ref="H33:I33"/>
    <mergeCell ref="L34:M34"/>
    <mergeCell ref="J43:K43"/>
    <mergeCell ref="G70:I70"/>
    <mergeCell ref="A60:A61"/>
    <mergeCell ref="J42:K42"/>
    <mergeCell ref="H35:I35"/>
    <mergeCell ref="J44:K44"/>
    <mergeCell ref="A73:A75"/>
    <mergeCell ref="G43:H43"/>
    <mergeCell ref="A43:F43"/>
    <mergeCell ref="A44:F44"/>
    <mergeCell ref="G44:H44"/>
    <mergeCell ref="A70:A72"/>
    <mergeCell ref="F48:J48"/>
    <mergeCell ref="E48:E50"/>
    <mergeCell ref="E51:E52"/>
    <mergeCell ref="E54:E55"/>
    <mergeCell ref="E57:E58"/>
    <mergeCell ref="E60:E61"/>
    <mergeCell ref="A1:N1"/>
    <mergeCell ref="B18:E18"/>
    <mergeCell ref="G18:L18"/>
    <mergeCell ref="E15:G15"/>
    <mergeCell ref="A30:B32"/>
    <mergeCell ref="N4:N5"/>
    <mergeCell ref="A2:G2"/>
    <mergeCell ref="F32:G32"/>
    <mergeCell ref="H32:I32"/>
    <mergeCell ref="J32:K32"/>
    <mergeCell ref="L32:M32"/>
    <mergeCell ref="M4:M5"/>
    <mergeCell ref="D30:E31"/>
    <mergeCell ref="F30:G31"/>
    <mergeCell ref="BH30:BH32"/>
    <mergeCell ref="BI30:BI32"/>
    <mergeCell ref="BL30:BL32"/>
    <mergeCell ref="BN30:BP30"/>
    <mergeCell ref="B90:I90"/>
    <mergeCell ref="A29:I29"/>
    <mergeCell ref="A63:A65"/>
    <mergeCell ref="G41:H41"/>
    <mergeCell ref="A54:A56"/>
    <mergeCell ref="A57:A59"/>
    <mergeCell ref="A51:A53"/>
    <mergeCell ref="A48:A50"/>
    <mergeCell ref="D48:D50"/>
    <mergeCell ref="B89:I89"/>
    <mergeCell ref="B88:I88"/>
    <mergeCell ref="B85:E85"/>
    <mergeCell ref="A33:B33"/>
    <mergeCell ref="G42:H42"/>
    <mergeCell ref="A41:D41"/>
    <mergeCell ref="H30:I31"/>
    <mergeCell ref="J30:K31"/>
    <mergeCell ref="L30:M31"/>
    <mergeCell ref="F34:G34"/>
    <mergeCell ref="P35:Q35"/>
    <mergeCell ref="BT29:BY29"/>
    <mergeCell ref="BT30:BT32"/>
    <mergeCell ref="BL44:BQ44"/>
    <mergeCell ref="BL45:BL47"/>
    <mergeCell ref="BN45:BP45"/>
    <mergeCell ref="BQ45:BQ47"/>
    <mergeCell ref="BQ30:BQ32"/>
    <mergeCell ref="BQ33:BQ34"/>
    <mergeCell ref="BN33:BP34"/>
    <mergeCell ref="BL29:BQ29"/>
    <mergeCell ref="BL36:BQ36"/>
    <mergeCell ref="BL37:BL39"/>
    <mergeCell ref="BN37:BP37"/>
    <mergeCell ref="BQ37:BQ39"/>
    <mergeCell ref="BN40:BP41"/>
    <mergeCell ref="BQ40:BQ41"/>
    <mergeCell ref="BV30:BX30"/>
    <mergeCell ref="BY30:BY32"/>
    <mergeCell ref="BV33:BX34"/>
    <mergeCell ref="BY33:BY34"/>
    <mergeCell ref="V34:V36"/>
    <mergeCell ref="W34:W36"/>
    <mergeCell ref="BW51:CD51"/>
    <mergeCell ref="BM51:BM64"/>
    <mergeCell ref="CK44:CP44"/>
    <mergeCell ref="CK45:CK47"/>
    <mergeCell ref="CM45:CO45"/>
    <mergeCell ref="CP45:CP47"/>
    <mergeCell ref="CM48:CO49"/>
    <mergeCell ref="CP48:CP49"/>
    <mergeCell ref="BN48:BP49"/>
    <mergeCell ref="BQ48:BQ49"/>
    <mergeCell ref="BX44:CC44"/>
    <mergeCell ref="BX45:BX47"/>
    <mergeCell ref="BZ45:CB45"/>
    <mergeCell ref="CC45:CC47"/>
    <mergeCell ref="BZ48:CB49"/>
    <mergeCell ref="CC48:CC49"/>
    <mergeCell ref="AA42:AI42"/>
    <mergeCell ref="AA43:AI43"/>
    <mergeCell ref="AA44:AI44"/>
    <mergeCell ref="AA45:AI45"/>
    <mergeCell ref="S44:W44"/>
  </mergeCells>
  <phoneticPr fontId="5" type="noConversion"/>
  <dataValidations count="4">
    <dataValidation type="list" allowBlank="1" showInputMessage="1" showErrorMessage="1" sqref="O9" xr:uid="{00000000-0002-0000-0200-000000000000}">
      <formula1>#REF!</formula1>
    </dataValidation>
    <dataValidation type="list" allowBlank="1" showInputMessage="1" showErrorMessage="1" sqref="L16 L13" xr:uid="{00000000-0002-0000-0200-000001000000}">
      <formula1>$II$1:$II$11</formula1>
    </dataValidation>
    <dataValidation type="list" allowBlank="1" showInputMessage="1" showErrorMessage="1" prompt="DIISI MANUAL" sqref="E51:E52 E54:E55 E57:E58 E60:E61 E63:E64" xr:uid="{00000000-0002-0000-0200-000003000000}">
      <formula1>$S$49:$S$52</formula1>
    </dataValidation>
    <dataValidation type="list" allowBlank="1" showInputMessage="1" showErrorMessage="1" sqref="E16" xr:uid="{9DC3F268-B1AB-4014-BC78-6C5ADB3A024E}">
      <formula1>$P$30:$P$32</formula1>
    </dataValidation>
  </dataValidations>
  <printOptions horizontalCentered="1"/>
  <pageMargins left="0.39370078740157499" right="0.23622047244094499" top="0.511811023622047" bottom="0.23622047244094499" header="0.23622047244094499" footer="0.23622047244094499"/>
  <pageSetup paperSize="9" scale="67" orientation="portrait" horizontalDpi="4294967293" r:id="rId1"/>
  <headerFooter>
    <oddHeader>&amp;R&amp;"-,Regular"&amp;8T.014-18</oddHeader>
    <oddFooter>&amp;R&amp;8&amp;K00-014Software BPM 2018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promptTitle="PILIH 200/170/160" prompt="DIISI MANUAL_x000a_" xr:uid="{00000000-0002-0000-0200-000005000000}">
          <x14:formula1>
            <xm:f>KLASIFIKASI!$H$2:$J$2</xm:f>
          </x14:formula1>
          <xm:sqref>C63</xm:sqref>
        </x14:dataValidation>
        <x14:dataValidation type="list" allowBlank="1" showInputMessage="1" xr:uid="{00000000-0002-0000-0200-000006000000}">
          <x14:formula1>
            <xm:f>KESIMPULAN!$F$8:$F$9</xm:f>
          </x14:formula1>
          <xm:sqref>Q3</xm:sqref>
        </x14:dataValidation>
        <x14:dataValidation type="list" allowBlank="1" showInputMessage="1" showErrorMessage="1" xr:uid="{00000000-0002-0000-0200-000007000000}">
          <x14:formula1>
            <xm:f>KESIMPULAN!$F$42:$F$60</xm:f>
          </x14:formula1>
          <xm:sqref>E15:G15</xm:sqref>
        </x14:dataValidation>
        <x14:dataValidation type="list" allowBlank="1" showInputMessage="1" showErrorMessage="1" xr:uid="{00000000-0002-0000-0200-000008000000}">
          <x14:formula1>
            <xm:f>KESIMPULAN!$F$63:$F$64</xm:f>
          </x14:formula1>
          <xm:sqref>D37:D38</xm:sqref>
        </x14:dataValidation>
        <x14:dataValidation type="list" allowBlank="1" showInputMessage="1" showErrorMessage="1" xr:uid="{00000000-0002-0000-0200-000009000000}">
          <x14:formula1>
            <xm:f>KETERANGAN!$F$12:$F$13</xm:f>
          </x14:formula1>
          <xm:sqref>A44:F44</xm:sqref>
        </x14:dataValidation>
        <x14:dataValidation type="list" allowBlank="1" showInputMessage="1" showErrorMessage="1" xr:uid="{00000000-0002-0000-0200-00000A000000}">
          <x14:formula1>
            <xm:f>'JENIS KALIBRATOR'!$E$8:$E$17</xm:f>
          </x14:formula1>
          <xm:sqref>B90:I90</xm:sqref>
        </x14:dataValidation>
        <x14:dataValidation type="list" allowBlank="1" showInputMessage="1" showErrorMessage="1" xr:uid="{00000000-0002-0000-0200-00000C000000}">
          <x14:formula1>
            <xm:f>'JENIS KALIBRATOR'!$R$7:$R$29</xm:f>
          </x14:formula1>
          <xm:sqref>B89:I89</xm:sqref>
        </x14:dataValidation>
        <x14:dataValidation type="list" allowBlank="1" showInputMessage="1" showErrorMessage="1" xr:uid="{00000000-0002-0000-0200-00000D000000}">
          <x14:formula1>
            <xm:f>'KELAS 1 NA'!$L$26:$L$32</xm:f>
          </x14:formula1>
          <xm:sqref>Q43</xm:sqref>
        </x14:dataValidation>
        <x14:dataValidation type="list" allowBlank="1" showInputMessage="1" showErrorMessage="1" xr:uid="{00000000-0002-0000-0200-00000E000000}">
          <x14:formula1>
            <xm:f>'KELAS 2 NA'!$X$28:$X$29</xm:f>
          </x14:formula1>
          <xm:sqref>P38:R38</xm:sqref>
        </x14:dataValidation>
        <x14:dataValidation type="list" allowBlank="1" showInputMessage="1" showErrorMessage="1" xr:uid="{00000000-0002-0000-0200-00000B000000}">
          <x14:formula1>
            <xm:f>'JENIS KALIBRATOR'!$I$8:$I$23</xm:f>
          </x14:formula1>
          <xm:sqref>B88:I88</xm:sqref>
        </x14:dataValidation>
        <x14:dataValidation type="list" allowBlank="1" showInputMessage="1" showErrorMessage="1" xr:uid="{787C382F-4F23-40B4-9F56-6E8F21219FC1}">
          <x14:formula1>
            <xm:f>KETERANGAN!$F$129:$F$130</xm:f>
          </x14:formula1>
          <xm:sqref>A43:F43</xm:sqref>
        </x14:dataValidation>
        <x14:dataValidation type="list" allowBlank="1" showInputMessage="1" xr:uid="{6A9D54FF-A1A1-424E-AC76-DC37493C51D8}">
          <x14:formula1>
            <xm:f>KETERANGAN!$F$28:$F$32</xm:f>
          </x14:formula1>
          <xm:sqref>B86:E86</xm:sqref>
        </x14:dataValidation>
        <x14:dataValidation type="list" allowBlank="1" showInputMessage="1" showErrorMessage="1" xr:uid="{CBE19A72-06BE-4A62-9985-A41C7EAD113F}">
          <x14:formula1>
            <xm:f>KETERANGAN!$F$26:$F$27</xm:f>
          </x14:formula1>
          <xm:sqref>B85:E85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C856-0158-495D-9FDB-A7A716C9D824}">
  <sheetPr codeName="Sheet26"/>
  <dimension ref="A10:DS44"/>
  <sheetViews>
    <sheetView topLeftCell="CU22" workbookViewId="0">
      <selection activeCell="CZ41" sqref="CZ41"/>
    </sheetView>
  </sheetViews>
  <sheetFormatPr defaultColWidth="8.88671875" defaultRowHeight="13.8" x14ac:dyDescent="0.25"/>
  <cols>
    <col min="1" max="6" width="8.88671875" style="1238"/>
    <col min="7" max="7" width="11" style="1238" bestFit="1" customWidth="1"/>
    <col min="8" max="10" width="8.88671875" style="1238"/>
    <col min="11" max="11" width="11" style="1238" customWidth="1"/>
    <col min="12" max="16" width="1" style="1238" customWidth="1"/>
    <col min="17" max="17" width="13.6640625" style="1238" bestFit="1" customWidth="1"/>
    <col min="18" max="21" width="8.88671875" style="1238"/>
    <col min="22" max="22" width="10.6640625" style="1238" customWidth="1"/>
    <col min="23" max="35" width="8.88671875" style="1238"/>
    <col min="36" max="36" width="11.33203125" style="1238" customWidth="1"/>
    <col min="37" max="41" width="1.5546875" style="1238" customWidth="1"/>
    <col min="42" max="42" width="12.5546875" style="1238" bestFit="1" customWidth="1"/>
    <col min="43" max="46" width="8.88671875" style="1238"/>
    <col min="47" max="47" width="10.6640625" style="1238" customWidth="1"/>
    <col min="48" max="55" width="8.88671875" style="1238"/>
    <col min="56" max="56" width="10.109375" style="1238" customWidth="1"/>
    <col min="57" max="58" width="8.88671875" style="1238"/>
    <col min="59" max="59" width="9.33203125" style="1238" customWidth="1"/>
    <col min="60" max="60" width="8.88671875" style="1238"/>
    <col min="61" max="61" width="12.109375" style="1238" customWidth="1"/>
    <col min="62" max="66" width="1.5546875" style="1238" customWidth="1"/>
    <col min="67" max="67" width="10.109375" style="1238" customWidth="1"/>
    <col min="68" max="71" width="8.88671875" style="1238"/>
    <col min="72" max="72" width="12.109375" style="1238" customWidth="1"/>
    <col min="73" max="85" width="8.88671875" style="1238"/>
    <col min="86" max="86" width="11.6640625" style="1238" customWidth="1"/>
    <col min="87" max="91" width="1.5546875" style="1238" customWidth="1"/>
    <col min="92" max="96" width="8.88671875" style="1238"/>
    <col min="97" max="97" width="12.5546875" style="1238" customWidth="1"/>
    <col min="98" max="110" width="8.88671875" style="1238"/>
    <col min="111" max="111" width="11.44140625" style="1238" customWidth="1"/>
    <col min="112" max="116" width="3" style="1238" customWidth="1"/>
    <col min="117" max="121" width="8.88671875" style="1238"/>
    <col min="122" max="122" width="12.44140625" style="1238" customWidth="1"/>
    <col min="123" max="16384" width="8.88671875" style="1238"/>
  </cols>
  <sheetData>
    <row r="10" spans="1:123" x14ac:dyDescent="0.25">
      <c r="A10" s="1238" t="s">
        <v>844</v>
      </c>
      <c r="B10" s="1239" t="s">
        <v>845</v>
      </c>
    </row>
    <row r="11" spans="1:123" ht="14.4" thickBot="1" x14ac:dyDescent="0.3"/>
    <row r="12" spans="1:123" x14ac:dyDescent="0.25">
      <c r="E12" s="1607" t="s">
        <v>846</v>
      </c>
      <c r="F12" s="1608"/>
      <c r="G12" s="1608"/>
      <c r="H12" s="1608"/>
      <c r="I12" s="1608"/>
      <c r="J12" s="1608"/>
      <c r="K12" s="1608"/>
      <c r="L12" s="1608"/>
      <c r="M12" s="1608"/>
      <c r="N12" s="1608"/>
      <c r="O12" s="1608"/>
      <c r="P12" s="1608"/>
      <c r="Q12" s="1608"/>
      <c r="R12" s="1608"/>
      <c r="S12" s="1608"/>
      <c r="T12" s="1608"/>
      <c r="U12" s="1608"/>
      <c r="V12" s="1608"/>
      <c r="W12" s="1609"/>
      <c r="AD12" s="1607" t="s">
        <v>847</v>
      </c>
      <c r="AE12" s="1608"/>
      <c r="AF12" s="1608"/>
      <c r="AG12" s="1608"/>
      <c r="AH12" s="1608"/>
      <c r="AI12" s="1608"/>
      <c r="AJ12" s="1608"/>
      <c r="AK12" s="1608"/>
      <c r="AL12" s="1608"/>
      <c r="AM12" s="1608"/>
      <c r="AN12" s="1608"/>
      <c r="AO12" s="1608"/>
      <c r="AP12" s="1608"/>
      <c r="AQ12" s="1608"/>
      <c r="AR12" s="1608"/>
      <c r="AS12" s="1608"/>
      <c r="AT12" s="1608"/>
      <c r="AU12" s="1608"/>
      <c r="AV12" s="1609"/>
      <c r="BC12" s="1607" t="s">
        <v>848</v>
      </c>
      <c r="BD12" s="1608"/>
      <c r="BE12" s="1608"/>
      <c r="BF12" s="1608"/>
      <c r="BG12" s="1608"/>
      <c r="BH12" s="1608"/>
      <c r="BI12" s="1608"/>
      <c r="BJ12" s="1608"/>
      <c r="BK12" s="1608"/>
      <c r="BL12" s="1608"/>
      <c r="BM12" s="1608"/>
      <c r="BN12" s="1608"/>
      <c r="BO12" s="1608"/>
      <c r="BP12" s="1608"/>
      <c r="BQ12" s="1608"/>
      <c r="BR12" s="1608"/>
      <c r="BS12" s="1608"/>
      <c r="BT12" s="1608"/>
      <c r="BU12" s="1609"/>
      <c r="CB12" s="1607" t="s">
        <v>849</v>
      </c>
      <c r="CC12" s="1608"/>
      <c r="CD12" s="1608"/>
      <c r="CE12" s="1608"/>
      <c r="CF12" s="1608"/>
      <c r="CG12" s="1608"/>
      <c r="CH12" s="1608"/>
      <c r="CI12" s="1608"/>
      <c r="CJ12" s="1608"/>
      <c r="CK12" s="1608"/>
      <c r="CL12" s="1608"/>
      <c r="CM12" s="1608"/>
      <c r="CN12" s="1608"/>
      <c r="CO12" s="1608"/>
      <c r="CP12" s="1608"/>
      <c r="CQ12" s="1608"/>
      <c r="CR12" s="1608"/>
      <c r="CS12" s="1608"/>
      <c r="CT12" s="1609"/>
      <c r="DA12" s="1607" t="s">
        <v>850</v>
      </c>
      <c r="DB12" s="1608"/>
      <c r="DC12" s="1608"/>
      <c r="DD12" s="1608"/>
      <c r="DE12" s="1608"/>
      <c r="DF12" s="1608"/>
      <c r="DG12" s="1608"/>
      <c r="DH12" s="1609"/>
      <c r="DL12" s="1607" t="s">
        <v>851</v>
      </c>
      <c r="DM12" s="1608"/>
      <c r="DN12" s="1608"/>
      <c r="DO12" s="1608"/>
      <c r="DP12" s="1608"/>
      <c r="DQ12" s="1608"/>
      <c r="DR12" s="1608"/>
      <c r="DS12" s="1609"/>
    </row>
    <row r="13" spans="1:123" ht="14.4" thickBot="1" x14ac:dyDescent="0.3">
      <c r="E13" s="1610"/>
      <c r="F13" s="1611"/>
      <c r="G13" s="1611"/>
      <c r="H13" s="1611"/>
      <c r="I13" s="1611"/>
      <c r="J13" s="1611"/>
      <c r="K13" s="1611"/>
      <c r="L13" s="1611"/>
      <c r="M13" s="1611"/>
      <c r="N13" s="1611"/>
      <c r="O13" s="1611"/>
      <c r="P13" s="1611"/>
      <c r="Q13" s="1611"/>
      <c r="R13" s="1611"/>
      <c r="S13" s="1611"/>
      <c r="T13" s="1611"/>
      <c r="U13" s="1611"/>
      <c r="V13" s="1611"/>
      <c r="W13" s="1612"/>
      <c r="AD13" s="1610"/>
      <c r="AE13" s="1611"/>
      <c r="AF13" s="1611"/>
      <c r="AG13" s="1611"/>
      <c r="AH13" s="1611"/>
      <c r="AI13" s="1611"/>
      <c r="AJ13" s="1611"/>
      <c r="AK13" s="1611"/>
      <c r="AL13" s="1611"/>
      <c r="AM13" s="1611"/>
      <c r="AN13" s="1611"/>
      <c r="AO13" s="1611"/>
      <c r="AP13" s="1611"/>
      <c r="AQ13" s="1611"/>
      <c r="AR13" s="1611"/>
      <c r="AS13" s="1611"/>
      <c r="AT13" s="1611"/>
      <c r="AU13" s="1611"/>
      <c r="AV13" s="1612"/>
      <c r="BC13" s="1610"/>
      <c r="BD13" s="1611"/>
      <c r="BE13" s="1611"/>
      <c r="BF13" s="1611"/>
      <c r="BG13" s="1611"/>
      <c r="BH13" s="1611"/>
      <c r="BI13" s="1611"/>
      <c r="BJ13" s="1611"/>
      <c r="BK13" s="1611"/>
      <c r="BL13" s="1611"/>
      <c r="BM13" s="1611"/>
      <c r="BN13" s="1611"/>
      <c r="BO13" s="1611"/>
      <c r="BP13" s="1611"/>
      <c r="BQ13" s="1611"/>
      <c r="BR13" s="1611"/>
      <c r="BS13" s="1611"/>
      <c r="BT13" s="1611"/>
      <c r="BU13" s="1612"/>
      <c r="CB13" s="1610"/>
      <c r="CC13" s="1611"/>
      <c r="CD13" s="1611"/>
      <c r="CE13" s="1611"/>
      <c r="CF13" s="1611"/>
      <c r="CG13" s="1611"/>
      <c r="CH13" s="1611"/>
      <c r="CI13" s="1611"/>
      <c r="CJ13" s="1611"/>
      <c r="CK13" s="1611"/>
      <c r="CL13" s="1611"/>
      <c r="CM13" s="1611"/>
      <c r="CN13" s="1611"/>
      <c r="CO13" s="1611"/>
      <c r="CP13" s="1611"/>
      <c r="CQ13" s="1611"/>
      <c r="CR13" s="1611"/>
      <c r="CS13" s="1611"/>
      <c r="CT13" s="1612"/>
      <c r="DA13" s="1610"/>
      <c r="DB13" s="1611"/>
      <c r="DC13" s="1611"/>
      <c r="DD13" s="1611"/>
      <c r="DE13" s="1611"/>
      <c r="DF13" s="1611"/>
      <c r="DG13" s="1611"/>
      <c r="DH13" s="1612"/>
      <c r="DL13" s="1610"/>
      <c r="DM13" s="1611"/>
      <c r="DN13" s="1611"/>
      <c r="DO13" s="1611"/>
      <c r="DP13" s="1611"/>
      <c r="DQ13" s="1611"/>
      <c r="DR13" s="1611"/>
      <c r="DS13" s="1612"/>
    </row>
    <row r="14" spans="1:123" x14ac:dyDescent="0.25">
      <c r="E14" s="1240"/>
      <c r="F14" s="1241"/>
      <c r="G14" s="1241"/>
      <c r="H14" s="1241"/>
      <c r="I14" s="1241"/>
      <c r="J14" s="1241"/>
      <c r="K14" s="1241"/>
      <c r="L14" s="1241"/>
      <c r="M14" s="1241"/>
      <c r="N14" s="1241"/>
      <c r="O14" s="1241"/>
      <c r="P14" s="1241"/>
      <c r="Q14" s="1241"/>
      <c r="R14" s="1241"/>
      <c r="S14" s="1241"/>
      <c r="T14" s="1241"/>
      <c r="U14" s="1241"/>
      <c r="V14" s="1241"/>
      <c r="W14" s="1242"/>
      <c r="AD14" s="1240"/>
      <c r="AE14" s="1241"/>
      <c r="AF14" s="1241"/>
      <c r="AG14" s="1241"/>
      <c r="AH14" s="1241"/>
      <c r="AI14" s="1241"/>
      <c r="AJ14" s="1241"/>
      <c r="AK14" s="1241"/>
      <c r="AL14" s="1241"/>
      <c r="AM14" s="1241"/>
      <c r="AN14" s="1241"/>
      <c r="AO14" s="1241"/>
      <c r="AP14" s="1241"/>
      <c r="AQ14" s="1241"/>
      <c r="AR14" s="1241"/>
      <c r="AS14" s="1241"/>
      <c r="AT14" s="1241"/>
      <c r="AU14" s="1241"/>
      <c r="AV14" s="1242"/>
      <c r="BC14" s="1243"/>
      <c r="BD14" s="1244"/>
      <c r="BE14" s="1244"/>
      <c r="BF14" s="1244"/>
      <c r="BG14" s="1244"/>
      <c r="BH14" s="1244"/>
      <c r="BI14" s="1244"/>
      <c r="BJ14" s="1244"/>
      <c r="BK14" s="1244"/>
      <c r="BL14" s="1244"/>
      <c r="BM14" s="1244"/>
      <c r="BN14" s="1244"/>
      <c r="BO14" s="1244"/>
      <c r="BP14" s="1244"/>
      <c r="BQ14" s="1244"/>
      <c r="BR14" s="1244"/>
      <c r="BS14" s="1244"/>
      <c r="BT14" s="1244"/>
      <c r="BU14" s="1245"/>
      <c r="CB14" s="1240"/>
      <c r="CT14" s="1242"/>
      <c r="DA14" s="1240"/>
      <c r="DH14" s="1242"/>
      <c r="DL14" s="1240"/>
      <c r="DS14" s="1242"/>
    </row>
    <row r="15" spans="1:123" ht="12.75" customHeight="1" x14ac:dyDescent="0.25">
      <c r="E15" s="1240"/>
      <c r="F15" s="1600" t="s">
        <v>860</v>
      </c>
      <c r="G15" s="1600"/>
      <c r="H15" s="1600"/>
      <c r="I15" s="1600"/>
      <c r="J15" s="1600"/>
      <c r="K15" s="1600"/>
      <c r="R15" s="1600" t="s">
        <v>861</v>
      </c>
      <c r="S15" s="1600"/>
      <c r="T15" s="1600"/>
      <c r="U15" s="1600"/>
      <c r="V15" s="1600"/>
      <c r="W15" s="1242"/>
      <c r="AD15" s="1240"/>
      <c r="AF15" s="1600" t="s">
        <v>862</v>
      </c>
      <c r="AG15" s="1600"/>
      <c r="AH15" s="1600"/>
      <c r="AI15" s="1600"/>
      <c r="AJ15" s="1600"/>
      <c r="AQ15" s="1600" t="s">
        <v>863</v>
      </c>
      <c r="AR15" s="1600"/>
      <c r="AS15" s="1600"/>
      <c r="AT15" s="1600"/>
      <c r="AU15" s="1600"/>
      <c r="AV15" s="1242"/>
      <c r="BC15" s="1243"/>
      <c r="BD15" s="1246"/>
      <c r="BE15" s="1600" t="s">
        <v>864</v>
      </c>
      <c r="BF15" s="1600"/>
      <c r="BG15" s="1600"/>
      <c r="BH15" s="1600"/>
      <c r="BI15" s="1600"/>
      <c r="BJ15" s="1246"/>
      <c r="BK15" s="1246"/>
      <c r="BL15" s="1246"/>
      <c r="BM15" s="1246"/>
      <c r="BN15" s="1246"/>
      <c r="BO15" s="1246"/>
      <c r="BP15" s="1600" t="s">
        <v>865</v>
      </c>
      <c r="BQ15" s="1600"/>
      <c r="BR15" s="1600"/>
      <c r="BS15" s="1600"/>
      <c r="BT15" s="1600"/>
      <c r="BU15" s="1245"/>
      <c r="CB15" s="1240"/>
      <c r="CC15" s="1600" t="s">
        <v>852</v>
      </c>
      <c r="CD15" s="1600"/>
      <c r="CE15" s="1600"/>
      <c r="CF15" s="1600"/>
      <c r="CG15" s="1600"/>
      <c r="CH15" s="1600"/>
      <c r="CN15" s="1600" t="s">
        <v>853</v>
      </c>
      <c r="CO15" s="1600"/>
      <c r="CP15" s="1600"/>
      <c r="CQ15" s="1600"/>
      <c r="CR15" s="1600"/>
      <c r="CS15" s="1600"/>
      <c r="CT15" s="1242"/>
      <c r="DA15" s="1240"/>
      <c r="DB15" s="1600" t="s">
        <v>854</v>
      </c>
      <c r="DC15" s="1600"/>
      <c r="DD15" s="1600"/>
      <c r="DE15" s="1600"/>
      <c r="DF15" s="1600"/>
      <c r="DG15" s="1600"/>
      <c r="DH15" s="1242"/>
      <c r="DL15" s="1240"/>
      <c r="DM15" s="1600" t="s">
        <v>854</v>
      </c>
      <c r="DN15" s="1600"/>
      <c r="DO15" s="1600"/>
      <c r="DP15" s="1600"/>
      <c r="DQ15" s="1600"/>
      <c r="DR15" s="1600"/>
      <c r="DS15" s="1242"/>
    </row>
    <row r="16" spans="1:123" x14ac:dyDescent="0.25">
      <c r="E16" s="1240"/>
      <c r="F16" s="1605" t="s">
        <v>855</v>
      </c>
      <c r="G16" s="1605" t="s">
        <v>856</v>
      </c>
      <c r="H16" s="1605" t="s">
        <v>508</v>
      </c>
      <c r="I16" s="1605" t="s">
        <v>857</v>
      </c>
      <c r="J16" s="1605" t="s">
        <v>507</v>
      </c>
      <c r="K16" s="1606" t="s">
        <v>858</v>
      </c>
      <c r="Q16" s="1605" t="s">
        <v>855</v>
      </c>
      <c r="R16" s="1605" t="s">
        <v>856</v>
      </c>
      <c r="S16" s="1605" t="s">
        <v>508</v>
      </c>
      <c r="T16" s="1605" t="s">
        <v>857</v>
      </c>
      <c r="U16" s="1605" t="s">
        <v>507</v>
      </c>
      <c r="V16" s="1606" t="s">
        <v>858</v>
      </c>
      <c r="W16" s="1242"/>
      <c r="AD16" s="1240"/>
      <c r="AE16" s="1605" t="s">
        <v>855</v>
      </c>
      <c r="AF16" s="1605" t="s">
        <v>856</v>
      </c>
      <c r="AG16" s="1605" t="s">
        <v>508</v>
      </c>
      <c r="AH16" s="1605" t="s">
        <v>857</v>
      </c>
      <c r="AI16" s="1605" t="s">
        <v>507</v>
      </c>
      <c r="AJ16" s="1606" t="s">
        <v>858</v>
      </c>
      <c r="AP16" s="1605" t="s">
        <v>855</v>
      </c>
      <c r="AQ16" s="1605" t="s">
        <v>856</v>
      </c>
      <c r="AR16" s="1605" t="s">
        <v>508</v>
      </c>
      <c r="AS16" s="1605" t="s">
        <v>857</v>
      </c>
      <c r="AT16" s="1605" t="s">
        <v>507</v>
      </c>
      <c r="AU16" s="1606" t="s">
        <v>858</v>
      </c>
      <c r="AV16" s="1242"/>
      <c r="BC16" s="1240"/>
      <c r="BD16" s="1605" t="s">
        <v>855</v>
      </c>
      <c r="BE16" s="1605" t="s">
        <v>856</v>
      </c>
      <c r="BF16" s="1605" t="s">
        <v>508</v>
      </c>
      <c r="BG16" s="1605" t="s">
        <v>857</v>
      </c>
      <c r="BH16" s="1605" t="s">
        <v>507</v>
      </c>
      <c r="BI16" s="1606" t="s">
        <v>858</v>
      </c>
      <c r="BO16" s="1605" t="s">
        <v>855</v>
      </c>
      <c r="BP16" s="1605" t="s">
        <v>856</v>
      </c>
      <c r="BQ16" s="1605" t="s">
        <v>508</v>
      </c>
      <c r="BR16" s="1605" t="s">
        <v>857</v>
      </c>
      <c r="BS16" s="1605" t="s">
        <v>507</v>
      </c>
      <c r="BT16" s="1606" t="s">
        <v>858</v>
      </c>
      <c r="BU16" s="1242"/>
      <c r="CB16" s="1240"/>
      <c r="CC16" s="1605" t="s">
        <v>855</v>
      </c>
      <c r="CD16" s="1605" t="s">
        <v>856</v>
      </c>
      <c r="CE16" s="1605" t="s">
        <v>508</v>
      </c>
      <c r="CF16" s="1605" t="s">
        <v>857</v>
      </c>
      <c r="CG16" s="1605" t="s">
        <v>507</v>
      </c>
      <c r="CH16" s="1606" t="s">
        <v>858</v>
      </c>
      <c r="CN16" s="1605" t="s">
        <v>855</v>
      </c>
      <c r="CO16" s="1605" t="s">
        <v>856</v>
      </c>
      <c r="CP16" s="1605" t="s">
        <v>508</v>
      </c>
      <c r="CQ16" s="1605" t="s">
        <v>857</v>
      </c>
      <c r="CR16" s="1605" t="s">
        <v>507</v>
      </c>
      <c r="CS16" s="1606" t="s">
        <v>858</v>
      </c>
      <c r="CT16" s="1242"/>
      <c r="DA16" s="1240"/>
      <c r="DB16" s="1605" t="s">
        <v>855</v>
      </c>
      <c r="DC16" s="1605" t="s">
        <v>856</v>
      </c>
      <c r="DD16" s="1605" t="s">
        <v>508</v>
      </c>
      <c r="DE16" s="1605" t="s">
        <v>857</v>
      </c>
      <c r="DF16" s="1605" t="s">
        <v>507</v>
      </c>
      <c r="DG16" s="1606" t="s">
        <v>858</v>
      </c>
      <c r="DH16" s="1242"/>
      <c r="DL16" s="1240"/>
      <c r="DM16" s="1605" t="s">
        <v>855</v>
      </c>
      <c r="DN16" s="1605" t="s">
        <v>856</v>
      </c>
      <c r="DO16" s="1605" t="s">
        <v>508</v>
      </c>
      <c r="DP16" s="1605" t="s">
        <v>857</v>
      </c>
      <c r="DQ16" s="1605" t="s">
        <v>507</v>
      </c>
      <c r="DR16" s="1606" t="s">
        <v>858</v>
      </c>
      <c r="DS16" s="1242"/>
    </row>
    <row r="17" spans="5:123" x14ac:dyDescent="0.25">
      <c r="E17" s="1240"/>
      <c r="F17" s="1605"/>
      <c r="G17" s="1605"/>
      <c r="H17" s="1605"/>
      <c r="I17" s="1605"/>
      <c r="J17" s="1605"/>
      <c r="K17" s="1606"/>
      <c r="Q17" s="1605"/>
      <c r="R17" s="1605"/>
      <c r="S17" s="1605"/>
      <c r="T17" s="1605"/>
      <c r="U17" s="1605"/>
      <c r="V17" s="1606"/>
      <c r="W17" s="1242"/>
      <c r="AD17" s="1240"/>
      <c r="AE17" s="1605"/>
      <c r="AF17" s="1605"/>
      <c r="AG17" s="1605"/>
      <c r="AH17" s="1605"/>
      <c r="AI17" s="1605"/>
      <c r="AJ17" s="1606"/>
      <c r="AP17" s="1605"/>
      <c r="AQ17" s="1605"/>
      <c r="AR17" s="1605"/>
      <c r="AS17" s="1605"/>
      <c r="AT17" s="1605"/>
      <c r="AU17" s="1606"/>
      <c r="AV17" s="1242"/>
      <c r="BC17" s="1240"/>
      <c r="BD17" s="1605"/>
      <c r="BE17" s="1605"/>
      <c r="BF17" s="1605"/>
      <c r="BG17" s="1605"/>
      <c r="BH17" s="1605"/>
      <c r="BI17" s="1606"/>
      <c r="BO17" s="1605"/>
      <c r="BP17" s="1605"/>
      <c r="BQ17" s="1605"/>
      <c r="BR17" s="1605"/>
      <c r="BS17" s="1605"/>
      <c r="BT17" s="1606"/>
      <c r="BU17" s="1242"/>
      <c r="CB17" s="1240"/>
      <c r="CC17" s="1605"/>
      <c r="CD17" s="1605"/>
      <c r="CE17" s="1605"/>
      <c r="CF17" s="1605"/>
      <c r="CG17" s="1605"/>
      <c r="CH17" s="1606"/>
      <c r="CN17" s="1605"/>
      <c r="CO17" s="1605"/>
      <c r="CP17" s="1605"/>
      <c r="CQ17" s="1605"/>
      <c r="CR17" s="1605"/>
      <c r="CS17" s="1606"/>
      <c r="CT17" s="1242"/>
      <c r="DA17" s="1240"/>
      <c r="DB17" s="1605"/>
      <c r="DC17" s="1605"/>
      <c r="DD17" s="1605"/>
      <c r="DE17" s="1605"/>
      <c r="DF17" s="1605"/>
      <c r="DG17" s="1606"/>
      <c r="DH17" s="1242"/>
      <c r="DL17" s="1240"/>
      <c r="DM17" s="1605"/>
      <c r="DN17" s="1605"/>
      <c r="DO17" s="1605"/>
      <c r="DP17" s="1605"/>
      <c r="DQ17" s="1605"/>
      <c r="DR17" s="1606"/>
      <c r="DS17" s="1242"/>
    </row>
    <row r="18" spans="5:123" ht="19.5" customHeight="1" x14ac:dyDescent="0.25">
      <c r="E18" s="1240"/>
      <c r="F18" s="1247">
        <f>IF(ID!K51=0,0.000001,ID!K51)</f>
        <v>81.8</v>
      </c>
      <c r="G18" s="1248">
        <f>IF(INDEX(NIBP!$AO$10:$AO$16,MATCH(F18,NIBP!$AG$10:$AG$16,1))=0,0.000001,INDEX(NIBP!$AO$10:$AO$16,MATCH(F18,NIBP!$AG$10:$AG$16,1)))</f>
        <v>0.3</v>
      </c>
      <c r="H18" s="1248">
        <f>IF(INDEX(NIBP!$AO$10:$AO$16,MATCH(F18,NIBP!$AG$10:$AG$16,1)+1)=0,0.000001,INDEX(NIBP!$AO$10:$AO$16,MATCH(F18,NIBP!$AG$10:$AG$16,1)+1))</f>
        <v>0.1</v>
      </c>
      <c r="I18" s="1249">
        <f>IF(INDEX(NIBP!$AG$10:$AG$16,MATCH(F18,NIBP!$AG$10:$AG$16,1))=0,0.000001,INDEX(NIBP!$AG$10:$AG$16,MATCH(F18,NIBP!$AG$10:$AG$16,1)))</f>
        <v>50</v>
      </c>
      <c r="J18" s="1250">
        <f>INDEX(NIBP!$AG$10:$AG$16,MATCH(F18,NIBP!$AG$10:$AG$16,1)+1)</f>
        <v>100</v>
      </c>
      <c r="K18" s="1250">
        <f>(((F18-I18)*(H18-G18))/(J18-I18))+G18</f>
        <v>0.17280000000000001</v>
      </c>
      <c r="Q18" s="1247">
        <f>IF(ID!K52=0,0.000001,ID!K52)</f>
        <v>50</v>
      </c>
      <c r="R18" s="1248">
        <f>IF(INDEX(NIBP!$AO$10:$AO$16,MATCH(Q18,NIBP!$AG$10:$AG$16,1))=0,0.000001,INDEX(NIBP!$AO$10:$AO$16,MATCH(Q18,NIBP!$AG$10:$AG$16,1)))</f>
        <v>0.3</v>
      </c>
      <c r="S18" s="1248">
        <f>IF(INDEX(NIBP!$AO$10:$AO$16,MATCH(Q18,NIBP!$AG$10:$AG$16,1)+1)=0,0.000001,INDEX(NIBP!$AO$10:$AO$16,MATCH(Q18,NIBP!$AG$10:$AG$16,1)+1))</f>
        <v>0.1</v>
      </c>
      <c r="T18" s="1249">
        <f>IF(INDEX(NIBP!$AG$10:$AG$16,MATCH(Q18,NIBP!$AG$10:$AG$16,1))=0,0.000001,INDEX(NIBP!$AG$10:$AG$16,MATCH(Q18,NIBP!$AG$10:$AG$16,1)))</f>
        <v>50</v>
      </c>
      <c r="U18" s="1250">
        <f>INDEX(NIBP!$AG$10:$AG$16,MATCH(Q18,NIBP!$AG$10:$AG$16,1)+1)</f>
        <v>100</v>
      </c>
      <c r="V18" s="1250">
        <f>(((Q18-T18)*(S18-R18))/(U18-T18))+R18</f>
        <v>0.3</v>
      </c>
      <c r="W18" s="1242"/>
      <c r="AD18" s="1240"/>
      <c r="AE18" s="1247">
        <f>IF('BUDGET KTP'!A7=0,0.000001,'BUDGET KTP'!A7)</f>
        <v>81.972799999999992</v>
      </c>
      <c r="AF18" s="1248">
        <f>IF(INDEX(NIBP!$AQ$10:$AQ$16,MATCH(AE18,NIBP!$AG$10:$AG$16,1))=0,0.000001,INDEX(NIBP!$AQ$10:$AQ$16,MATCH(AE18,NIBP!$AG$10:$AG$16,1)))</f>
        <v>0.1</v>
      </c>
      <c r="AG18" s="1248">
        <f>IF(INDEX(NIBP!$AQ$10:$AQ$16,MATCH(AE18,NIBP!$AG$10:$AG$16,1)+1)=0,0.000001,INDEX(NIBP!$AQ$10:$AQ$16,MATCH(AE18,NIBP!$AG$10:$AG$16,1)+1))</f>
        <v>0.1</v>
      </c>
      <c r="AH18" s="1249">
        <f>IF(INDEX(NIBP!$AG$10:$AG$16,MATCH(AE18,NIBP!$AG$10:$AG$16,1))=0,0.000001,INDEX(NIBP!$AG$10:$AG$16,MATCH(AE18,NIBP!$AG$10:$AG$16,1)))</f>
        <v>50</v>
      </c>
      <c r="AI18" s="1250">
        <f>INDEX(NIBP!$AG$10:$AG$16,MATCH(AE18,NIBP!$AG$10:$AG$16,1)+1)</f>
        <v>100</v>
      </c>
      <c r="AJ18" s="1250">
        <f>(((AE18-AH18)*(AG18-AF18))/(AI18-AH18))+AF18</f>
        <v>0.1</v>
      </c>
      <c r="AP18" s="1247">
        <f>IF('BUDGET KTP'!A21=0,0.000001,'BUDGET KTP'!A21)</f>
        <v>50.3</v>
      </c>
      <c r="AQ18" s="1248">
        <f>IF(INDEX(NIBP!$AQ$10:$AQ$16,MATCH(AP18,NIBP!$AG$10:$AG$16,1))=0,0.000001,INDEX(NIBP!$AQ$10:$AQ$16,MATCH(AP18,NIBP!$AG$10:$AG$16,1)))</f>
        <v>0.1</v>
      </c>
      <c r="AR18" s="1248">
        <f>IF(INDEX(NIBP!$AQ$10:$AQ$16,MATCH(AP18,NIBP!$AG$10:$AG$16,1)+1)=0,0.000001,INDEX(NIBP!$AQ$10:$AQ$16,MATCH(AP18,NIBP!$AG$10:$AG$16,1)+1))</f>
        <v>0.1</v>
      </c>
      <c r="AS18" s="1249">
        <f>IF(INDEX(NIBP!$AG$10:$AG$16,MATCH(AP18,NIBP!$AG$10:$AG$16,1))=0,0.000001,INDEX(NIBP!$AG$10:$AG$16,MATCH(AP18,NIBP!$AG$10:$AG$16,1)))</f>
        <v>50</v>
      </c>
      <c r="AT18" s="1250">
        <f>INDEX(NIBP!$AG$10:$AG$16,MATCH(AP18,NIBP!$AG$10:$AG$16,1)+1)</f>
        <v>100</v>
      </c>
      <c r="AU18" s="1250">
        <f>(((AP18-AS18)*(AR18-AQ18))/(AT18-AS18))+AQ18</f>
        <v>0.1</v>
      </c>
      <c r="AV18" s="1242"/>
      <c r="BC18" s="1240"/>
      <c r="BD18" s="1247">
        <f>IF('BUDGET KTP'!A7=0,0.000001,'BUDGET KTP'!A7)</f>
        <v>81.972799999999992</v>
      </c>
      <c r="BE18" s="1248">
        <f>IF(INDEX(NIBP!$AP$10:$AP$16,MATCH(BD18,NIBP!$AG$10:$AG$16,1))=0,0.000001,INDEX(NIBP!$AP$10:$AP$16,MATCH(BD18,NIBP!$AG$10:$AG$16,1)))</f>
        <v>3.3333333333333333E-2</v>
      </c>
      <c r="BF18" s="1248">
        <f>IF(INDEX(NIBP!$AP$10:$AP$16,MATCH(BD18,NIBP!$AG$10:$AG$16,1)+1)=0,0.000001,INDEX(NIBP!$AP$10:$AP$16,MATCH(BD18,NIBP!$AG$10:$AG$16,1)+1))</f>
        <v>3.3333333333333333E-2</v>
      </c>
      <c r="BG18" s="1249">
        <f>IF(INDEX(NIBP!$AG$10:$AG$16,MATCH(BD18,NIBP!$AG$10:$AG$16,1))=0,0.000001,INDEX(NIBP!$AG$10:$AG$16,MATCH(BD18,NIBP!$AG$10:$AG$16,1)))</f>
        <v>50</v>
      </c>
      <c r="BH18" s="1250">
        <f>INDEX(NIBP!$AG$10:$AG$16,MATCH(BD18,NIBP!$AG$10:$AG$16,1)+1)</f>
        <v>100</v>
      </c>
      <c r="BI18" s="1250">
        <f>(((BD18-BG18)*(BF18-BE18))/(BH18-BG18))+BE18</f>
        <v>3.3333333333333333E-2</v>
      </c>
      <c r="BO18" s="1247">
        <f>IF('BUDGET KTP'!A21=0,0.000001,'BUDGET KTP'!A21)</f>
        <v>50.3</v>
      </c>
      <c r="BP18" s="1248">
        <f>IF(INDEX(NIBP!$AP$10:$AP$16,MATCH(BO18,NIBP!$AG$10:$AG$16,1))=0,0.000001,INDEX(NIBP!$AP$10:$AP$16,MATCH(BO18,NIBP!$AG$10:$AG$16,1)))</f>
        <v>3.3333333333333333E-2</v>
      </c>
      <c r="BQ18" s="1248">
        <f>IF(INDEX(NIBP!$AP$10:$AP$16,MATCH(BO18,NIBP!$AG$10:$AG$16,1)+1)=0,0.000001,INDEX(NIBP!$AP$10:$AP$16,MATCH(BO18,NIBP!$AG$10:$AG$16,1)+1))</f>
        <v>3.3333333333333333E-2</v>
      </c>
      <c r="BR18" s="1249">
        <f>IF(INDEX(NIBP!$AG$10:$AG$16,MATCH(BO18,NIBP!$AG$10:$AG$16,1))=0,0.000001,INDEX(NIBP!$AG$10:$AG$16,MATCH(BO18,NIBP!$AG$10:$AG$16,1)))</f>
        <v>50</v>
      </c>
      <c r="BS18" s="1250">
        <f>INDEX(NIBP!$AG$10:$AG$16,MATCH(BO18,NIBP!$AG$10:$AG$16,1)+1)</f>
        <v>100</v>
      </c>
      <c r="BT18" s="1250">
        <f>(((BO18-BR18)*(BQ18-BP18))/(BS18-BR18))+BP18</f>
        <v>3.3333333333333333E-2</v>
      </c>
      <c r="BU18" s="1242"/>
      <c r="CB18" s="1240"/>
      <c r="CC18" s="1247">
        <f>IF(ID!D33=0,0.000001,ID!D33)</f>
        <v>22.2</v>
      </c>
      <c r="CD18" s="1248">
        <f>IF(INDEX(THERMOHYGROMETER!$P$8:$P$14,MATCH(CC18,THERMOHYGROMETER!$O$8:$O$14,1))=0,0.000001,INDEX(THERMOHYGROMETER!$P$8:$P$14,MATCH(CC18,THERMOHYGROMETER!$O$8:$O$14,1)))</f>
        <v>0.7</v>
      </c>
      <c r="CE18" s="1248">
        <f>IF(INDEX(THERMOHYGROMETER!$P$8:$P$14,MATCH(CC18,THERMOHYGROMETER!$O$8:$O$14)+1)=0,0.000001,INDEX(THERMOHYGROMETER!$P$8:$P$14,MATCH(CC18,THERMOHYGROMETER!$O$8:$O$14,1)+1))</f>
        <v>0.5</v>
      </c>
      <c r="CF18" s="1249">
        <f>IF(INDEX(THERMOHYGROMETER!$O$8:$O$14,MATCH(CC18,THERMOHYGROMETER!$O$8:$O$14,1))=0,0.000001,INDEX(THERMOHYGROMETER!$O$8:$O$14,MATCH(CC18,THERMOHYGROMETER!$O$8:$O$14,1)))</f>
        <v>20</v>
      </c>
      <c r="CG18" s="1250">
        <f>INDEX(THERMOHYGROMETER!$O$8:$O$14,MATCH(CC18,THERMOHYGROMETER!$O$8:$O$14)+1)</f>
        <v>25</v>
      </c>
      <c r="CH18" s="1250">
        <f>(((CC18-CF18)*(CE18-CD18))/(CG18-CF18))+CD18</f>
        <v>0.61199999999999999</v>
      </c>
      <c r="CN18" s="1247">
        <f>IF(ID!D34=0,0.000001,ID!D34)</f>
        <v>59.6</v>
      </c>
      <c r="CO18" s="1248">
        <f>IF(INDEX(THERMOHYGROMETER!$S$8:$S$14,MATCH(CN18,THERMOHYGROMETER!$R$8:$R$14,1))=0,0.000001,INDEX(THERMOHYGROMETER!$S$8:$S$14,MATCH(CN18,THERMOHYGROMETER!$R$8:$R$14,1)))</f>
        <v>-5.3</v>
      </c>
      <c r="CP18" s="1248">
        <f>IF(INDEX(THERMOHYGROMETER!$S$8:$S$14,MATCH(CN18,THERMOHYGROMETER!$R$8:$R$14)+1)=0,0.000001,INDEX(THERMOHYGROMETER!$S$8:$S$14,MATCH(CN18,THERMOHYGROMETER!$R$8:$R$14,1)+1))</f>
        <v>-4</v>
      </c>
      <c r="CQ18" s="1249">
        <f>IF(INDEX(THERMOHYGROMETER!$R$8:$R$14,MATCH(CN18,THERMOHYGROMETER!$R$8:$R$14,1))=0,0.000001,INDEX(THERMOHYGROMETER!$R$8:$R$14,MATCH(CN18,THERMOHYGROMETER!$R$8:$R$14,1)))</f>
        <v>50</v>
      </c>
      <c r="CR18" s="1250">
        <f>INDEX(THERMOHYGROMETER!$R$8:$R$14,MATCH(CN18,THERMOHYGROMETER!$R$8:$R$14,1)+1)</f>
        <v>60</v>
      </c>
      <c r="CS18" s="1250">
        <f>(((CN18-CQ18)*(CP18-CO18))/(CR18-CQ18))+CO18</f>
        <v>-4.0519999999999996</v>
      </c>
      <c r="CT18" s="1242"/>
      <c r="DA18" s="1240"/>
      <c r="DB18" s="1247">
        <f>IF([3]ID!B43=0,0.000001,[3]ID!B43)</f>
        <v>8.1999999999999993</v>
      </c>
      <c r="DC18" s="1248">
        <f>IF(INDEX('[3]DATA 1'!$F$6:$F$14,MATCH(DB18,'[3]DATA 1'!$B$6:$B$14,1))=0,0.000001,INDEX('[3]DATA 1'!$F$6:$F$14,MATCH(DB18,'[3]DATA 1'!$B$6:$B$14,1)))</f>
        <v>9.9999999999999995E-7</v>
      </c>
      <c r="DD18" s="1248">
        <f>IF(INDEX('[3]DATA 1'!$F$6:$F$14,MATCH(DB18,'[3]DATA 1'!$B$6:$B$14)+1)=0,0.000001,INDEX('[3]DATA 1'!$F$6:$F$14,MATCH(DB18,'[3]DATA 1'!$B$6:$B$14,1)+1))</f>
        <v>0.3</v>
      </c>
      <c r="DE18" s="1249">
        <f>IF(INDEX('[3]DATA 1'!$B$6:$B$14,MATCH(DB18,'[3]DATA 1'!$B$6:$B$14,1))=0,0.000001,INDEX('[3]DATA 1'!$B$6:$B$14,MATCH(DB18,'[3]DATA 1'!$B$6:$B$14,1)))</f>
        <v>9.9999999999999995E-7</v>
      </c>
      <c r="DF18" s="1250">
        <f>INDEX('[3]DATA 1'!$B$6:$B$14,MATCH(DB18,'[3]DATA 1'!$B$6:$B$14,1)+1)</f>
        <v>50</v>
      </c>
      <c r="DG18" s="1250">
        <f>(((DB18-DE18)*(DD18-DC18))/(DF18-DE18))+DC18</f>
        <v>4.9200830984016619E-2</v>
      </c>
      <c r="DH18" s="1242"/>
      <c r="DL18" s="1240"/>
      <c r="DM18" s="1247">
        <f>IF([3]ID!B54=0,0.000001,[3]ID!B54)</f>
        <v>8.52</v>
      </c>
      <c r="DN18" s="1248">
        <f>IF(INDEX('[3]DATA 1'!$F$6:$F$14,MATCH(DM18,'[3]DATA 1'!$B$6:$B$14,1))=0,0.000001,INDEX('[3]DATA 1'!$F$6:$F$14,MATCH(DM18,'[3]DATA 1'!$B$6:$B$14,1)))</f>
        <v>9.9999999999999995E-7</v>
      </c>
      <c r="DO18" s="1248">
        <f>IF(INDEX('[3]DATA 1'!$F$6:$F$14,MATCH(DM18,'[3]DATA 1'!$B$6:$B$14)+1)=0,0.000001,INDEX('[3]DATA 1'!$F$6:$F$14,MATCH(DM18,'[3]DATA 1'!$B$6:$B$14,1)+1))</f>
        <v>0.3</v>
      </c>
      <c r="DP18" s="1249">
        <f>IF(INDEX('[3]DATA 1'!$B$6:$B$14,MATCH(DM18,'[3]DATA 1'!$B$6:$B$14,1))=0,0.000001,INDEX('[3]DATA 1'!$B$6:$B$14,MATCH(DM18,'[3]DATA 1'!$B$6:$B$14,1)))</f>
        <v>9.9999999999999995E-7</v>
      </c>
      <c r="DQ18" s="1250">
        <f>INDEX('[3]DATA 1'!$B$6:$B$14,MATCH(DM18,'[3]DATA 1'!$B$6:$B$14,1)+1)</f>
        <v>50</v>
      </c>
      <c r="DR18" s="1250">
        <f>(((DM18-DP18)*(DO18-DN18))/(DQ18-DP18))+DN18</f>
        <v>5.1120824622416502E-2</v>
      </c>
      <c r="DS18" s="1242"/>
    </row>
    <row r="19" spans="5:123" x14ac:dyDescent="0.25">
      <c r="E19" s="1240"/>
      <c r="F19" s="1238">
        <f>ID!K54</f>
        <v>103.4</v>
      </c>
      <c r="G19" s="1248">
        <f>IF(INDEX(NIBP!$AO$10:$AO$16,MATCH(F19,NIBP!$AG$10:$AG$16,1))=0,0.000001,INDEX(NIBP!$AO$10:$AO$16,MATCH(F19,NIBP!$AG$10:$AG$16,1)))</f>
        <v>0.1</v>
      </c>
      <c r="H19" s="1248">
        <f>IF(INDEX(NIBP!$AO$10:$AO$16,MATCH(F19,NIBP!$AG$10:$AG$16,1)+1)=0,0.000001,INDEX(NIBP!$AO$10:$AO$16,MATCH(F19,NIBP!$AG$10:$AG$16,1)+1))</f>
        <v>9.9999999999999995E-7</v>
      </c>
      <c r="I19" s="1249">
        <f>IF(INDEX(NIBP!$AG$10:$AG$16,MATCH(F19,NIBP!$AG$10:$AG$16,1))=0,0.000001,INDEX(NIBP!$AG$10:$AG$16,MATCH(F19,NIBP!$AG$10:$AG$16,1)))</f>
        <v>100</v>
      </c>
      <c r="J19" s="1250">
        <f>INDEX(NIBP!$AG$10:$AG$16,MATCH(F19,NIBP!$AG$10:$AG$16,1)+1)</f>
        <v>150</v>
      </c>
      <c r="K19" s="1250">
        <f t="shared" ref="K19:K23" si="0">(((F19-I19)*(H19-G19))/(J19-I19))+G19</f>
        <v>9.3200067999999997E-2</v>
      </c>
      <c r="Q19" s="1238">
        <f>ID!K55</f>
        <v>65</v>
      </c>
      <c r="R19" s="1248">
        <f>IF(INDEX(NIBP!$AO$10:$AO$16,MATCH(Q19,NIBP!$AG$10:$AG$16,1))=0,0.000001,INDEX(NIBP!$AO$10:$AO$16,MATCH(Q19,NIBP!$AG$10:$AG$16,1)))</f>
        <v>0.3</v>
      </c>
      <c r="S19" s="1248">
        <f>IF(INDEX(NIBP!$AO$10:$AO$16,MATCH(Q19,NIBP!$AG$10:$AG$16,1)+1)=0,0.000001,INDEX(NIBP!$AO$10:$AO$16,MATCH(Q19,NIBP!$AG$10:$AG$16,1)+1))</f>
        <v>0.1</v>
      </c>
      <c r="T19" s="1249">
        <f>IF(INDEX(NIBP!$AG$10:$AG$16,MATCH(Q19,NIBP!$AG$10:$AG$16,1))=0,0.000001,INDEX(NIBP!$AG$10:$AG$16,MATCH(Q19,NIBP!$AG$10:$AG$16,1)))</f>
        <v>50</v>
      </c>
      <c r="U19" s="1250">
        <f>INDEX(NIBP!$AG$10:$AG$16,MATCH(Q19,NIBP!$AG$10:$AG$16,1)+1)</f>
        <v>100</v>
      </c>
      <c r="V19" s="1250">
        <f t="shared" ref="V19:V23" si="1">(((Q19-T19)*(S19-R19))/(U19-T19))+R19</f>
        <v>0.24</v>
      </c>
      <c r="W19" s="1242"/>
      <c r="AD19" s="1240"/>
      <c r="AE19" s="1238">
        <f>'BUDGET KTP'!A35</f>
        <v>103.49320006800001</v>
      </c>
      <c r="AF19" s="1248">
        <f>IF(INDEX(NIBP!$AQ$10:$AQ$16,MATCH(AE19,NIBP!$AG$10:$AG$16,1))=0,0.000001,INDEX(NIBP!$AQ$10:$AQ$16,MATCH(AE19,NIBP!$AG$10:$AG$16,1)))</f>
        <v>0.1</v>
      </c>
      <c r="AG19" s="1248">
        <f>IF(INDEX(NIBP!$AQ$10:$AQ$16,MATCH(AE19,NIBP!$AG$10:$AG$16,1)+1)=0,0.000001,INDEX(NIBP!$AQ$10:$AQ$16,MATCH(AE19,NIBP!$AG$10:$AG$16,1)+1))</f>
        <v>0.1</v>
      </c>
      <c r="AH19" s="1249">
        <f>IF(INDEX(NIBP!$AG$10:$AG$16,MATCH(AE19,NIBP!$AG$10:$AG$16,1))=0,0.000001,INDEX(NIBP!$AG$10:$AG$16,MATCH(AE19,NIBP!$AG$10:$AG$16,1)))</f>
        <v>100</v>
      </c>
      <c r="AI19" s="1250">
        <f>INDEX(NIBP!$AG$10:$AG$16,MATCH(AE19,NIBP!$AG$10:$AG$16,1)+1)</f>
        <v>150</v>
      </c>
      <c r="AJ19" s="1250">
        <f t="shared" ref="AJ19:AJ23" si="2">(((AE19-AH19)*(AG19-AF19))/(AI19-AH19))+AF19</f>
        <v>0.1</v>
      </c>
      <c r="AP19" s="1238">
        <f>'BUDGET KTP'!A58</f>
        <v>65.239999999999995</v>
      </c>
      <c r="AQ19" s="1248">
        <f>IF(INDEX(NIBP!$AQ$10:$AQ$16,MATCH(AP19,NIBP!$AG$10:$AG$16,1))=0,0.000001,INDEX(NIBP!$AQ$10:$AQ$16,MATCH(AP19,NIBP!$AG$10:$AG$16,1)))</f>
        <v>0.1</v>
      </c>
      <c r="AR19" s="1248">
        <f>IF(INDEX(NIBP!$AQ$10:$AQ$16,MATCH(AP19,NIBP!$AG$10:$AG$16,1)+1)=0,0.000001,INDEX(NIBP!$AQ$10:$AQ$16,MATCH(AP19,NIBP!$AG$10:$AG$16,1)+1))</f>
        <v>0.1</v>
      </c>
      <c r="AS19" s="1249">
        <f>IF(INDEX(NIBP!$AG$10:$AG$16,MATCH(AP19,NIBP!$AG$10:$AG$16,1))=0,0.000001,INDEX(NIBP!$AG$10:$AG$16,MATCH(AP19,NIBP!$AG$10:$AG$16,1)))</f>
        <v>50</v>
      </c>
      <c r="AT19" s="1250">
        <f>INDEX(NIBP!$AG$10:$AG$16,MATCH(AP19,NIBP!$AG$10:$AG$16,1)+1)</f>
        <v>100</v>
      </c>
      <c r="AU19" s="1250">
        <f t="shared" ref="AU19:AU23" si="3">(((AP19-AS19)*(AR19-AQ19))/(AT19-AS19))+AQ19</f>
        <v>0.1</v>
      </c>
      <c r="AV19" s="1242"/>
      <c r="BC19" s="1240"/>
      <c r="BD19" s="1238">
        <f>'BUDGET KTP'!A35</f>
        <v>103.49320006800001</v>
      </c>
      <c r="BE19" s="1248">
        <f>IF(INDEX(NIBP!$AP$10:$AP$16,MATCH(BD19,NIBP!$AG$10:$AG$16,1))=0,0.000001,INDEX(NIBP!$AP$10:$AP$16,MATCH(BD19,NIBP!$AG$10:$AG$16,1)))</f>
        <v>3.3333333333333333E-2</v>
      </c>
      <c r="BF19" s="1248">
        <f>IF(INDEX(NIBP!$AP$10:$AP$16,MATCH(BD19,NIBP!$AG$10:$AG$16,1)+1)=0,0.000001,INDEX(NIBP!$AP$10:$AP$16,MATCH(BD19,NIBP!$AG$10:$AG$16,1)+1))</f>
        <v>3.3333333333333333E-2</v>
      </c>
      <c r="BG19" s="1249">
        <f>IF(INDEX(NIBP!$AG$10:$AG$16,MATCH(BD19,NIBP!$AG$10:$AG$16,1))=0,0.000001,INDEX(NIBP!$AG$10:$AG$16,MATCH(BD19,NIBP!$AG$10:$AG$16,1)))</f>
        <v>100</v>
      </c>
      <c r="BH19" s="1250">
        <f>INDEX(NIBP!$AG$10:$AG$16,MATCH(BD19,NIBP!$AG$10:$AG$16,1)+1)</f>
        <v>150</v>
      </c>
      <c r="BI19" s="1250">
        <f t="shared" ref="BI19:BI23" si="4">(((BD19-BG19)*(BF19-BE19))/(BH19-BG19))+BE19</f>
        <v>3.3333333333333333E-2</v>
      </c>
      <c r="BO19" s="1238">
        <f>'BUDGET KTP'!A58</f>
        <v>65.239999999999995</v>
      </c>
      <c r="BP19" s="1248">
        <f>IF(INDEX(NIBP!$AP$10:$AP$16,MATCH(BO19,NIBP!$AG$10:$AG$16,1))=0,0.000001,INDEX(NIBP!$AP$10:$AP$16,MATCH(BO19,NIBP!$AG$10:$AG$16,1)))</f>
        <v>3.3333333333333333E-2</v>
      </c>
      <c r="BQ19" s="1248">
        <f>IF(INDEX(NIBP!$AP$10:$AP$16,MATCH(BO19,NIBP!$AG$10:$AG$16,1)+1)=0,0.000001,INDEX(NIBP!$AP$10:$AP$16,MATCH(BO19,NIBP!$AG$10:$AG$16,1)+1))</f>
        <v>3.3333333333333333E-2</v>
      </c>
      <c r="BR19" s="1249">
        <f>IF(INDEX(NIBP!$AG$10:$AG$16,MATCH(BO19,NIBP!$AG$10:$AG$16,1))=0,0.000001,INDEX(NIBP!$AG$10:$AG$16,MATCH(BO19,NIBP!$AG$10:$AG$16,1)))</f>
        <v>50</v>
      </c>
      <c r="BS19" s="1250">
        <f>INDEX(NIBP!$AG$10:$AG$16,MATCH(BO19,NIBP!$AG$10:$AG$16,1)+1)</f>
        <v>100</v>
      </c>
      <c r="BT19" s="1250">
        <f t="shared" ref="BT19:BT23" si="5">(((BO19-BR19)*(BQ19-BP19))/(BS19-BR19))+BP19</f>
        <v>3.3333333333333333E-2</v>
      </c>
      <c r="BU19" s="1242"/>
      <c r="CB19" s="1240"/>
      <c r="CT19" s="1242"/>
      <c r="DA19" s="1240"/>
      <c r="DH19" s="1242"/>
      <c r="DL19" s="1240"/>
      <c r="DS19" s="1242"/>
    </row>
    <row r="20" spans="5:123" ht="14.4" thickBot="1" x14ac:dyDescent="0.3">
      <c r="E20" s="1240"/>
      <c r="F20" s="1238">
        <f>ID!K57</f>
        <v>120</v>
      </c>
      <c r="G20" s="1248">
        <f>IF(INDEX(NIBP!$AO$10:$AO$16,MATCH(F20,NIBP!$AG$10:$AG$16,1))=0,0.000001,INDEX(NIBP!$AO$10:$AO$16,MATCH(F20,NIBP!$AG$10:$AG$16,1)))</f>
        <v>0.1</v>
      </c>
      <c r="H20" s="1248">
        <f>IF(INDEX(NIBP!$AO$10:$AO$16,MATCH(F20,NIBP!$AG$10:$AG$16,1)+1)=0,0.000001,INDEX(NIBP!$AO$10:$AO$16,MATCH(F20,NIBP!$AG$10:$AG$16,1)+1))</f>
        <v>9.9999999999999995E-7</v>
      </c>
      <c r="I20" s="1249">
        <f>IF(INDEX(NIBP!$AG$10:$AG$16,MATCH(F20,NIBP!$AG$10:$AG$16,1))=0,0.000001,INDEX(NIBP!$AG$10:$AG$16,MATCH(F20,NIBP!$AG$10:$AG$16,1)))</f>
        <v>100</v>
      </c>
      <c r="J20" s="1250">
        <f>INDEX(NIBP!$AG$10:$AG$16,MATCH(F20,NIBP!$AG$10:$AG$16,1)+1)</f>
        <v>150</v>
      </c>
      <c r="K20" s="1250">
        <f t="shared" si="0"/>
        <v>6.0000400000000002E-2</v>
      </c>
      <c r="Q20" s="1238">
        <f>ID!K58</f>
        <v>83</v>
      </c>
      <c r="R20" s="1248">
        <f>IF(INDEX(NIBP!$AO$10:$AO$16,MATCH(Q20,NIBP!$AG$10:$AG$16,1))=0,0.000001,INDEX(NIBP!$AO$10:$AO$16,MATCH(Q20,NIBP!$AG$10:$AG$16,1)))</f>
        <v>0.3</v>
      </c>
      <c r="S20" s="1248">
        <f>IF(INDEX(NIBP!$AO$10:$AO$16,MATCH(Q20,NIBP!$AG$10:$AG$16,1)+1)=0,0.000001,INDEX(NIBP!$AO$10:$AO$16,MATCH(Q20,NIBP!$AG$10:$AG$16,1)+1))</f>
        <v>0.1</v>
      </c>
      <c r="T20" s="1249">
        <f>IF(INDEX(NIBP!$AG$10:$AG$16,MATCH(Q20,NIBP!$AG$10:$AG$16,1))=0,0.000001,INDEX(NIBP!$AG$10:$AG$16,MATCH(Q20,NIBP!$AG$10:$AG$16,1)))</f>
        <v>50</v>
      </c>
      <c r="U20" s="1250">
        <f>INDEX(NIBP!$AG$10:$AG$16,MATCH(Q20,NIBP!$AG$10:$AG$16,1)+1)</f>
        <v>100</v>
      </c>
      <c r="V20" s="1250">
        <f t="shared" si="1"/>
        <v>0.16799999999999998</v>
      </c>
      <c r="W20" s="1242"/>
      <c r="AD20" s="1240"/>
      <c r="AE20" s="1238">
        <f>'BUDGET KTP'!A72</f>
        <v>120.06000040000001</v>
      </c>
      <c r="AF20" s="1248">
        <f>IF(INDEX(NIBP!$AQ$10:$AQ$16,MATCH(AE20,NIBP!$AG$10:$AG$16,1))=0,0.000001,INDEX(NIBP!$AQ$10:$AQ$16,MATCH(AE20,NIBP!$AG$10:$AG$16,1)))</f>
        <v>0.1</v>
      </c>
      <c r="AG20" s="1248">
        <f>IF(INDEX(NIBP!$AQ$10:$AQ$16,MATCH(AE20,NIBP!$AG$10:$AG$16,1)+1)=0,0.000001,INDEX(NIBP!$AQ$10:$AQ$16,MATCH(AE20,NIBP!$AG$10:$AG$16,1)+1))</f>
        <v>0.1</v>
      </c>
      <c r="AH20" s="1249">
        <f>IF(INDEX(NIBP!$AG$10:$AG$16,MATCH(AE20,NIBP!$AG$10:$AG$16,1))=0,0.000001,INDEX(NIBP!$AG$10:$AG$16,MATCH(AE20,NIBP!$AG$10:$AG$16,1)))</f>
        <v>100</v>
      </c>
      <c r="AI20" s="1250">
        <f>INDEX(NIBP!$AG$10:$AG$16,MATCH(AE20,NIBP!$AG$10:$AG$16,1)+1)</f>
        <v>150</v>
      </c>
      <c r="AJ20" s="1250">
        <f t="shared" si="2"/>
        <v>0.1</v>
      </c>
      <c r="AP20" s="1238">
        <f>'BUDGET KTP'!A86</f>
        <v>83.168000000000006</v>
      </c>
      <c r="AQ20" s="1248">
        <f>IF(INDEX(NIBP!$AQ$10:$AQ$16,MATCH(AP20,NIBP!$AG$10:$AG$16,1))=0,0.000001,INDEX(NIBP!$AQ$10:$AQ$16,MATCH(AP20,NIBP!$AG$10:$AG$16,1)))</f>
        <v>0.1</v>
      </c>
      <c r="AR20" s="1248">
        <f>IF(INDEX(NIBP!$AQ$10:$AQ$16,MATCH(AP20,NIBP!$AG$10:$AG$16,1)+1)=0,0.000001,INDEX(NIBP!$AQ$10:$AQ$16,MATCH(AP20,NIBP!$AG$10:$AG$16,1)+1))</f>
        <v>0.1</v>
      </c>
      <c r="AS20" s="1249">
        <f>IF(INDEX(NIBP!$AG$10:$AG$16,MATCH(AP20,NIBP!$AG$10:$AG$16,1))=0,0.000001,INDEX(NIBP!$AG$10:$AG$16,MATCH(AP20,NIBP!$AG$10:$AG$16,1)))</f>
        <v>50</v>
      </c>
      <c r="AT20" s="1250">
        <f>INDEX(NIBP!$AG$10:$AG$16,MATCH(AP20,NIBP!$AG$10:$AG$16,1)+1)</f>
        <v>100</v>
      </c>
      <c r="AU20" s="1250">
        <f t="shared" si="3"/>
        <v>0.1</v>
      </c>
      <c r="AV20" s="1242"/>
      <c r="BC20" s="1240"/>
      <c r="BD20" s="1238">
        <f>'BUDGET KTP'!A72</f>
        <v>120.06000040000001</v>
      </c>
      <c r="BE20" s="1248">
        <f>IF(INDEX(NIBP!$AP$10:$AP$16,MATCH(BD20,NIBP!$AG$10:$AG$16,1))=0,0.000001,INDEX(NIBP!$AP$10:$AP$16,MATCH(BD20,NIBP!$AG$10:$AG$16,1)))</f>
        <v>3.3333333333333333E-2</v>
      </c>
      <c r="BF20" s="1248">
        <f>IF(INDEX(NIBP!$AP$10:$AP$16,MATCH(BD20,NIBP!$AG$10:$AG$16,1)+1)=0,0.000001,INDEX(NIBP!$AP$10:$AP$16,MATCH(BD20,NIBP!$AG$10:$AG$16,1)+1))</f>
        <v>3.3333333333333333E-2</v>
      </c>
      <c r="BG20" s="1249">
        <f>IF(INDEX(NIBP!$AG$10:$AG$16,MATCH(BD20,NIBP!$AG$10:$AG$16,1))=0,0.000001,INDEX(NIBP!$AG$10:$AG$16,MATCH(BD20,NIBP!$AG$10:$AG$16,1)))</f>
        <v>100</v>
      </c>
      <c r="BH20" s="1250">
        <f>INDEX(NIBP!$AG$10:$AG$16,MATCH(BD20,NIBP!$AG$10:$AG$16,1)+1)</f>
        <v>150</v>
      </c>
      <c r="BI20" s="1250">
        <f t="shared" si="4"/>
        <v>3.3333333333333333E-2</v>
      </c>
      <c r="BO20" s="1238">
        <f>'BUDGET KTP'!A86</f>
        <v>83.168000000000006</v>
      </c>
      <c r="BP20" s="1248">
        <f>IF(INDEX(NIBP!$AP$10:$AP$16,MATCH(BO20,NIBP!$AG$10:$AG$16,1))=0,0.000001,INDEX(NIBP!$AP$10:$AP$16,MATCH(BO20,NIBP!$AG$10:$AG$16,1)))</f>
        <v>3.3333333333333333E-2</v>
      </c>
      <c r="BQ20" s="1248">
        <f>IF(INDEX(NIBP!$AP$10:$AP$16,MATCH(BO20,NIBP!$AG$10:$AG$16,1)+1)=0,0.000001,INDEX(NIBP!$AP$10:$AP$16,MATCH(BO20,NIBP!$AG$10:$AG$16,1)+1))</f>
        <v>3.3333333333333333E-2</v>
      </c>
      <c r="BR20" s="1249">
        <f>IF(INDEX(NIBP!$AG$10:$AG$16,MATCH(BO20,NIBP!$AG$10:$AG$16,1))=0,0.000001,INDEX(NIBP!$AG$10:$AG$16,MATCH(BO20,NIBP!$AG$10:$AG$16,1)))</f>
        <v>50</v>
      </c>
      <c r="BS20" s="1250">
        <f>INDEX(NIBP!$AG$10:$AG$16,MATCH(BO20,NIBP!$AG$10:$AG$16,1)+1)</f>
        <v>100</v>
      </c>
      <c r="BT20" s="1250">
        <f t="shared" si="5"/>
        <v>3.3333333333333333E-2</v>
      </c>
      <c r="BU20" s="1242"/>
      <c r="CB20" s="1240"/>
      <c r="CT20" s="1242"/>
      <c r="DA20" s="1253"/>
      <c r="DB20" s="1254"/>
      <c r="DC20" s="1254"/>
      <c r="DD20" s="1254"/>
      <c r="DE20" s="1254"/>
      <c r="DF20" s="1254"/>
      <c r="DG20" s="1254"/>
      <c r="DH20" s="1255"/>
      <c r="DL20" s="1253"/>
      <c r="DM20" s="1254"/>
      <c r="DN20" s="1254"/>
      <c r="DO20" s="1254"/>
      <c r="DP20" s="1254"/>
      <c r="DQ20" s="1254"/>
      <c r="DR20" s="1254"/>
      <c r="DS20" s="1255"/>
    </row>
    <row r="21" spans="5:123" x14ac:dyDescent="0.25">
      <c r="E21" s="1240"/>
      <c r="F21" s="1238">
        <f>ID!K60</f>
        <v>147.6</v>
      </c>
      <c r="G21" s="1248">
        <f>IF(INDEX(NIBP!$AO$10:$AO$16,MATCH(F21,NIBP!$AG$10:$AG$16,1))=0,0.000001,INDEX(NIBP!$AO$10:$AO$16,MATCH(F21,NIBP!$AG$10:$AG$16,1)))</f>
        <v>0.1</v>
      </c>
      <c r="H21" s="1248">
        <f>IF(INDEX(NIBP!$AO$10:$AO$16,MATCH(F21,NIBP!$AG$10:$AG$16,1)+1)=0,0.000001,INDEX(NIBP!$AO$10:$AO$16,MATCH(F21,NIBP!$AG$10:$AG$16,1)+1))</f>
        <v>9.9999999999999995E-7</v>
      </c>
      <c r="I21" s="1249">
        <f>IF(INDEX(NIBP!$AG$10:$AG$16,MATCH(F21,NIBP!$AG$10:$AG$16,1))=0,0.000001,INDEX(NIBP!$AG$10:$AG$16,MATCH(F21,NIBP!$AG$10:$AG$16,1)))</f>
        <v>100</v>
      </c>
      <c r="J21" s="1250">
        <f>INDEX(NIBP!$AG$10:$AG$16,MATCH(F21,NIBP!$AG$10:$AG$16,1)+1)</f>
        <v>150</v>
      </c>
      <c r="K21" s="1250">
        <f t="shared" si="0"/>
        <v>4.8009520000000111E-3</v>
      </c>
      <c r="Q21" s="1238">
        <f>ID!K61</f>
        <v>100</v>
      </c>
      <c r="R21" s="1248">
        <f>IF(INDEX(NIBP!$AO$10:$AO$16,MATCH(Q21,NIBP!$AG$10:$AG$16,1))=0,0.000001,INDEX(NIBP!$AO$10:$AO$16,MATCH(Q21,NIBP!$AG$10:$AG$16,1)))</f>
        <v>0.1</v>
      </c>
      <c r="S21" s="1248">
        <f>IF(INDEX(NIBP!$AO$10:$AO$16,MATCH(Q21,NIBP!$AG$10:$AG$16,1)+1)=0,0.000001,INDEX(NIBP!$AO$10:$AO$16,MATCH(Q21,NIBP!$AG$10:$AG$16,1)+1))</f>
        <v>9.9999999999999995E-7</v>
      </c>
      <c r="T21" s="1249">
        <f>IF(INDEX(NIBP!$AG$10:$AG$16,MATCH(Q21,NIBP!$AG$10:$AG$16,1))=0,0.000001,INDEX(NIBP!$AG$10:$AG$16,MATCH(Q21,NIBP!$AG$10:$AG$16,1)))</f>
        <v>100</v>
      </c>
      <c r="U21" s="1250">
        <f>INDEX(NIBP!$AG$10:$AG$16,MATCH(Q21,NIBP!$AG$10:$AG$16,1)+1)</f>
        <v>150</v>
      </c>
      <c r="V21" s="1250">
        <f t="shared" si="1"/>
        <v>0.1</v>
      </c>
      <c r="W21" s="1242"/>
      <c r="AD21" s="1240"/>
      <c r="AE21" s="1238">
        <f>'BUDGET KTP'!A100</f>
        <v>147.60480095200001</v>
      </c>
      <c r="AF21" s="1248">
        <f>IF(INDEX(NIBP!$AQ$10:$AQ$16,MATCH(AE21,NIBP!$AG$10:$AG$16,1))=0,0.000001,INDEX(NIBP!$AQ$10:$AQ$16,MATCH(AE21,NIBP!$AG$10:$AG$16,1)))</f>
        <v>0.1</v>
      </c>
      <c r="AG21" s="1248">
        <f>IF(INDEX(NIBP!$AQ$10:$AQ$16,MATCH(AE21,NIBP!$AG$10:$AG$16,1)+1)=0,0.000001,INDEX(NIBP!$AQ$10:$AQ$16,MATCH(AE21,NIBP!$AG$10:$AG$16,1)+1))</f>
        <v>0.1</v>
      </c>
      <c r="AH21" s="1249">
        <f>IF(INDEX(NIBP!$AG$10:$AG$16,MATCH(AE21,NIBP!$AG$10:$AG$16,1))=0,0.000001,INDEX(NIBP!$AG$10:$AG$16,MATCH(AE21,NIBP!$AG$10:$AG$16,1)))</f>
        <v>100</v>
      </c>
      <c r="AI21" s="1250">
        <f>INDEX(NIBP!$AG$10:$AG$16,MATCH(AE21,NIBP!$AG$10:$AG$16,1)+1)</f>
        <v>150</v>
      </c>
      <c r="AJ21" s="1250">
        <f t="shared" si="2"/>
        <v>0.1</v>
      </c>
      <c r="AP21" s="1238">
        <f>'BUDGET KTP'!A113</f>
        <v>100.1</v>
      </c>
      <c r="AQ21" s="1248">
        <f>IF(INDEX(NIBP!$AQ$10:$AQ$16,MATCH(AP21,NIBP!$AG$10:$AG$16,1))=0,0.000001,INDEX(NIBP!$AQ$10:$AQ$16,MATCH(AP21,NIBP!$AG$10:$AG$16,1)))</f>
        <v>0.1</v>
      </c>
      <c r="AR21" s="1248">
        <f>IF(INDEX(NIBP!$AQ$10:$AQ$16,MATCH(AP21,NIBP!$AG$10:$AG$16,1)+1)=0,0.000001,INDEX(NIBP!$AQ$10:$AQ$16,MATCH(AP21,NIBP!$AG$10:$AG$16,1)+1))</f>
        <v>0.1</v>
      </c>
      <c r="AS21" s="1249">
        <f>IF(INDEX(NIBP!$AG$10:$AG$16,MATCH(AP21,NIBP!$AG$10:$AG$16,1))=0,0.000001,INDEX(NIBP!$AG$10:$AG$16,MATCH(AP21,NIBP!$AG$10:$AG$16,1)))</f>
        <v>100</v>
      </c>
      <c r="AT21" s="1250">
        <f>INDEX(NIBP!$AG$10:$AG$16,MATCH(AP21,NIBP!$AG$10:$AG$16,1)+1)</f>
        <v>150</v>
      </c>
      <c r="AU21" s="1250">
        <f t="shared" si="3"/>
        <v>0.1</v>
      </c>
      <c r="AV21" s="1242"/>
      <c r="BC21" s="1240"/>
      <c r="BD21" s="1238">
        <f>'BUDGET KTP'!A100</f>
        <v>147.60480095200001</v>
      </c>
      <c r="BE21" s="1248">
        <f>IF(INDEX(NIBP!$AP$10:$AP$16,MATCH(BD21,NIBP!$AG$10:$AG$16,1))=0,0.000001,INDEX(NIBP!$AP$10:$AP$16,MATCH(BD21,NIBP!$AG$10:$AG$16,1)))</f>
        <v>3.3333333333333333E-2</v>
      </c>
      <c r="BF21" s="1248">
        <f>IF(INDEX(NIBP!$AP$10:$AP$16,MATCH(BD21,NIBP!$AG$10:$AG$16,1)+1)=0,0.000001,INDEX(NIBP!$AP$10:$AP$16,MATCH(BD21,NIBP!$AG$10:$AG$16,1)+1))</f>
        <v>3.3333333333333333E-2</v>
      </c>
      <c r="BG21" s="1249">
        <f>IF(INDEX(NIBP!$AG$10:$AG$16,MATCH(BD21,NIBP!$AG$10:$AG$16,1))=0,0.000001,INDEX(NIBP!$AG$10:$AG$16,MATCH(BD21,NIBP!$AG$10:$AG$16,1)))</f>
        <v>100</v>
      </c>
      <c r="BH21" s="1250">
        <f>INDEX(NIBP!$AG$10:$AG$16,MATCH(BD21,NIBP!$AG$10:$AG$16,1)+1)</f>
        <v>150</v>
      </c>
      <c r="BI21" s="1250">
        <f t="shared" si="4"/>
        <v>3.3333333333333333E-2</v>
      </c>
      <c r="BO21" s="1238">
        <f>'BUDGET KTP'!A113</f>
        <v>100.1</v>
      </c>
      <c r="BP21" s="1248">
        <f>IF(INDEX(NIBP!$AP$10:$AP$16,MATCH(BO21,NIBP!$AG$10:$AG$16,1))=0,0.000001,INDEX(NIBP!$AP$10:$AP$16,MATCH(BO21,NIBP!$AG$10:$AG$16,1)))</f>
        <v>3.3333333333333333E-2</v>
      </c>
      <c r="BQ21" s="1248">
        <f>IF(INDEX(NIBP!$AP$10:$AP$16,MATCH(BO21,NIBP!$AG$10:$AG$16,1)+1)=0,0.000001,INDEX(NIBP!$AP$10:$AP$16,MATCH(BO21,NIBP!$AG$10:$AG$16,1)+1))</f>
        <v>3.3333333333333333E-2</v>
      </c>
      <c r="BR21" s="1249">
        <f>IF(INDEX(NIBP!$AG$10:$AG$16,MATCH(BO21,NIBP!$AG$10:$AG$16,1))=0,0.000001,INDEX(NIBP!$AG$10:$AG$16,MATCH(BO21,NIBP!$AG$10:$AG$16,1)))</f>
        <v>100</v>
      </c>
      <c r="BS21" s="1250">
        <f>INDEX(NIBP!$AG$10:$AG$16,MATCH(BO21,NIBP!$AG$10:$AG$16,1)+1)</f>
        <v>150</v>
      </c>
      <c r="BT21" s="1250">
        <f t="shared" si="5"/>
        <v>3.3333333333333333E-2</v>
      </c>
      <c r="BU21" s="1242"/>
      <c r="CB21" s="1240"/>
      <c r="CC21" s="1600" t="s">
        <v>859</v>
      </c>
      <c r="CD21" s="1600"/>
      <c r="CE21" s="1600"/>
      <c r="CF21" s="1600"/>
      <c r="CG21" s="1600"/>
      <c r="CH21" s="1600"/>
      <c r="CN21" s="1600" t="s">
        <v>853</v>
      </c>
      <c r="CO21" s="1600"/>
      <c r="CP21" s="1600"/>
      <c r="CQ21" s="1600"/>
      <c r="CR21" s="1600"/>
      <c r="CS21" s="1600"/>
      <c r="CT21" s="1242"/>
    </row>
    <row r="22" spans="5:123" x14ac:dyDescent="0.25">
      <c r="E22" s="1240"/>
      <c r="F22" s="1238">
        <f>ID!K63</f>
        <v>195</v>
      </c>
      <c r="G22" s="1248">
        <f>IF(INDEX(NIBP!$AO$10:$AO$16,MATCH(F22,NIBP!$AG$10:$AG$16,1))=0,0.000001,INDEX(NIBP!$AO$10:$AO$16,MATCH(F22,NIBP!$AG$10:$AG$16,1)))</f>
        <v>9.9999999999999995E-7</v>
      </c>
      <c r="H22" s="1248">
        <f>IF(INDEX(NIBP!$AO$10:$AO$16,MATCH(F22,NIBP!$AG$10:$AG$16,1)+1)=0,0.000001,INDEX(NIBP!$AO$10:$AO$16,MATCH(F22,NIBP!$AG$10:$AG$16,1)+1))</f>
        <v>-0.1</v>
      </c>
      <c r="I22" s="1249">
        <f>IF(INDEX(NIBP!$AG$10:$AG$16,MATCH(F22,NIBP!$AG$10:$AG$16,1))=0,0.000001,INDEX(NIBP!$AG$10:$AG$16,MATCH(F22,NIBP!$AG$10:$AG$16,1)))</f>
        <v>150</v>
      </c>
      <c r="J22" s="1250">
        <f>INDEX(NIBP!$AG$10:$AG$16,MATCH(F22,NIBP!$AG$10:$AG$16,1)+1)</f>
        <v>200</v>
      </c>
      <c r="K22" s="1250">
        <f t="shared" si="0"/>
        <v>-8.9999899999999994E-2</v>
      </c>
      <c r="Q22" s="1238">
        <f>ID!K64</f>
        <v>150</v>
      </c>
      <c r="R22" s="1248">
        <f>IF(INDEX(NIBP!$AO$10:$AO$16,MATCH(Q22,NIBP!$AG$10:$AG$16,1))=0,0.000001,INDEX(NIBP!$AO$10:$AO$16,MATCH(Q22,NIBP!$AG$10:$AG$16,1)))</f>
        <v>9.9999999999999995E-7</v>
      </c>
      <c r="S22" s="1248">
        <f>IF(INDEX(NIBP!$AO$10:$AO$16,MATCH(Q22,NIBP!$AG$10:$AG$16,1)+1)=0,0.000001,INDEX(NIBP!$AO$10:$AO$16,MATCH(Q22,NIBP!$AG$10:$AG$16,1)+1))</f>
        <v>-0.1</v>
      </c>
      <c r="T22" s="1249">
        <f>IF(INDEX(NIBP!$AG$10:$AG$16,MATCH(Q22,NIBP!$AG$10:$AG$16,1))=0,0.000001,INDEX(NIBP!$AG$10:$AG$16,MATCH(Q22,NIBP!$AG$10:$AG$16,1)))</f>
        <v>150</v>
      </c>
      <c r="U22" s="1250">
        <f>INDEX(NIBP!$AG$10:$AG$16,MATCH(Q22,NIBP!$AG$10:$AG$16,1)+1)</f>
        <v>200</v>
      </c>
      <c r="V22" s="1250">
        <f t="shared" si="1"/>
        <v>9.9999999999999995E-7</v>
      </c>
      <c r="W22" s="1242"/>
      <c r="AD22" s="1240"/>
      <c r="AE22" s="1238">
        <f>'BUDGET KTP'!A127</f>
        <v>194.91000009999999</v>
      </c>
      <c r="AF22" s="1248">
        <f>IF(INDEX(NIBP!$AQ$10:$AQ$16,MATCH(AE22,NIBP!$AG$10:$AG$16,1))=0,0.000001,INDEX(NIBP!$AQ$10:$AQ$16,MATCH(AE22,NIBP!$AG$10:$AG$16,1)))</f>
        <v>0.1</v>
      </c>
      <c r="AG22" s="1248">
        <f>IF(INDEX(NIBP!$AQ$10:$AQ$16,MATCH(AE22,NIBP!$AG$10:$AG$16,1)+1)=0,0.000001,INDEX(NIBP!$AQ$10:$AQ$16,MATCH(AE22,NIBP!$AG$10:$AG$16,1)+1))</f>
        <v>0.1</v>
      </c>
      <c r="AH22" s="1249">
        <f>IF(INDEX(NIBP!$AG$10:$AG$16,MATCH(AE22,NIBP!$AG$10:$AG$16,1))=0,0.000001,INDEX(NIBP!$AG$10:$AG$16,MATCH(AE22,NIBP!$AG$10:$AG$16,1)))</f>
        <v>150</v>
      </c>
      <c r="AI22" s="1250">
        <f>INDEX(NIBP!$AG$10:$AG$16,MATCH(AE22,NIBP!$AG$10:$AG$16,1)+1)</f>
        <v>200</v>
      </c>
      <c r="AJ22" s="1250">
        <f t="shared" si="2"/>
        <v>0.1</v>
      </c>
      <c r="AP22" s="1238">
        <f>'BUDGET KTP'!A141</f>
        <v>149.61199999999999</v>
      </c>
      <c r="AQ22" s="1248">
        <f>IF(INDEX(NIBP!$AQ$10:$AQ$16,MATCH(AP22,NIBP!$AG$10:$AG$16,1))=0,0.000001,INDEX(NIBP!$AQ$10:$AQ$16,MATCH(AP22,NIBP!$AG$10:$AG$16,1)))</f>
        <v>0.1</v>
      </c>
      <c r="AR22" s="1248">
        <f>IF(INDEX(NIBP!$AQ$10:$AQ$16,MATCH(AP22,NIBP!$AG$10:$AG$16,1)+1)=0,0.000001,INDEX(NIBP!$AQ$10:$AQ$16,MATCH(AP22,NIBP!$AG$10:$AG$16,1)+1))</f>
        <v>0.1</v>
      </c>
      <c r="AS22" s="1249">
        <f>IF(INDEX(NIBP!$AG$10:$AG$16,MATCH(AP22,NIBP!$AG$10:$AG$16,1))=0,0.000001,INDEX(NIBP!$AG$10:$AG$16,MATCH(AP22,NIBP!$AG$10:$AG$16,1)))</f>
        <v>100</v>
      </c>
      <c r="AT22" s="1250">
        <f>INDEX(NIBP!$AG$10:$AG$16,MATCH(AP22,NIBP!$AG$10:$AG$16,1)+1)</f>
        <v>150</v>
      </c>
      <c r="AU22" s="1250">
        <f t="shared" si="3"/>
        <v>0.1</v>
      </c>
      <c r="AV22" s="1242"/>
      <c r="BC22" s="1240"/>
      <c r="BD22" s="1238">
        <f>'BUDGET KTP'!A127</f>
        <v>194.91000009999999</v>
      </c>
      <c r="BE22" s="1248">
        <f>IF(INDEX(NIBP!$AP$10:$AP$16,MATCH(BD22,NIBP!$AG$10:$AG$16,1))=0,0.000001,INDEX(NIBP!$AP$10:$AP$16,MATCH(BD22,NIBP!$AG$10:$AG$16,1)))</f>
        <v>3.3333333333333333E-2</v>
      </c>
      <c r="BF22" s="1248">
        <f>IF(INDEX(NIBP!$AP$10:$AP$16,MATCH(BD22,NIBP!$AG$10:$AG$16,1)+1)=0,0.000001,INDEX(NIBP!$AP$10:$AP$16,MATCH(BD22,NIBP!$AG$10:$AG$16,1)+1))</f>
        <v>3.3333333333333333E-2</v>
      </c>
      <c r="BG22" s="1249">
        <f>IF(INDEX(NIBP!$AG$10:$AG$16,MATCH(BD22,NIBP!$AG$10:$AG$16,1))=0,0.000001,INDEX(NIBP!$AG$10:$AG$16,MATCH(BD22,NIBP!$AG$10:$AG$16,1)))</f>
        <v>150</v>
      </c>
      <c r="BH22" s="1250">
        <f>INDEX(NIBP!$AG$10:$AG$16,MATCH(BD22,NIBP!$AG$10:$AG$16,1)+1)</f>
        <v>200</v>
      </c>
      <c r="BI22" s="1250">
        <f t="shared" si="4"/>
        <v>3.3333333333333333E-2</v>
      </c>
      <c r="BO22" s="1238">
        <f>'BUDGET KTP'!A141</f>
        <v>149.61199999999999</v>
      </c>
      <c r="BP22" s="1248">
        <f>IF(INDEX(NIBP!$AP$10:$AP$16,MATCH(BO22,NIBP!$AG$10:$AG$16,1))=0,0.000001,INDEX(NIBP!$AP$10:$AP$16,MATCH(BO22,NIBP!$AG$10:$AG$16,1)))</f>
        <v>3.3333333333333333E-2</v>
      </c>
      <c r="BQ22" s="1248">
        <f>IF(INDEX(NIBP!$AP$10:$AP$16,MATCH(BO22,NIBP!$AG$10:$AG$16,1)+1)=0,0.000001,INDEX(NIBP!$AP$10:$AP$16,MATCH(BO22,NIBP!$AG$10:$AG$16,1)+1))</f>
        <v>3.3333333333333333E-2</v>
      </c>
      <c r="BR22" s="1249">
        <f>IF(INDEX(NIBP!$AG$10:$AG$16,MATCH(BO22,NIBP!$AG$10:$AG$16,1))=0,0.000001,INDEX(NIBP!$AG$10:$AG$16,MATCH(BO22,NIBP!$AG$10:$AG$16,1)))</f>
        <v>100</v>
      </c>
      <c r="BS22" s="1250">
        <f>INDEX(NIBP!$AG$10:$AG$16,MATCH(BO22,NIBP!$AG$10:$AG$16,1)+1)</f>
        <v>150</v>
      </c>
      <c r="BT22" s="1250">
        <f t="shared" si="5"/>
        <v>3.3333333333333333E-2</v>
      </c>
      <c r="BU22" s="1242"/>
      <c r="CB22" s="1240"/>
      <c r="CC22" s="1605" t="s">
        <v>855</v>
      </c>
      <c r="CD22" s="1605" t="s">
        <v>856</v>
      </c>
      <c r="CE22" s="1605" t="s">
        <v>508</v>
      </c>
      <c r="CF22" s="1605" t="s">
        <v>857</v>
      </c>
      <c r="CG22" s="1605" t="s">
        <v>507</v>
      </c>
      <c r="CH22" s="1606" t="s">
        <v>858</v>
      </c>
      <c r="CN22" s="1605" t="s">
        <v>855</v>
      </c>
      <c r="CO22" s="1605" t="s">
        <v>856</v>
      </c>
      <c r="CP22" s="1605" t="s">
        <v>508</v>
      </c>
      <c r="CQ22" s="1605" t="s">
        <v>857</v>
      </c>
      <c r="CR22" s="1605" t="s">
        <v>507</v>
      </c>
      <c r="CS22" s="1606" t="s">
        <v>858</v>
      </c>
      <c r="CT22" s="1242"/>
    </row>
    <row r="23" spans="5:123" x14ac:dyDescent="0.25">
      <c r="E23" s="1240"/>
      <c r="F23" s="1238">
        <f>ID!K56</f>
        <v>0</v>
      </c>
      <c r="G23" s="1248">
        <f>IF(INDEX(NIBP!$AO$10:$AO$16,MATCH(F23,NIBP!$AG$10:$AG$16,1))=0,0.000001,INDEX(NIBP!$AO$10:$AO$16,MATCH(F23,NIBP!$AG$10:$AG$16,1)))</f>
        <v>9.9999999999999995E-7</v>
      </c>
      <c r="H23" s="1248">
        <f>IF(INDEX(NIBP!$AO$10:$AO$16,MATCH(F23,NIBP!$AG$10:$AG$16,1)+1)=0,0.000001,INDEX(NIBP!$AO$10:$AO$16,MATCH(F23,NIBP!$AG$10:$AG$16,1)+1))</f>
        <v>0.3</v>
      </c>
      <c r="I23" s="1249">
        <f>IF(INDEX(NIBP!$AG$10:$AG$16,MATCH(F23,NIBP!$AG$10:$AG$16,1))=0,0.000001,INDEX(NIBP!$AG$10:$AG$16,MATCH(F23,NIBP!$AG$10:$AG$16,1)))</f>
        <v>9.9999999999999995E-7</v>
      </c>
      <c r="J23" s="1250">
        <f>INDEX(NIBP!$AG$10:$AG$16,MATCH(F23,NIBP!$AG$10:$AG$16,1)+1)</f>
        <v>50</v>
      </c>
      <c r="K23" s="1250">
        <f t="shared" si="0"/>
        <v>9.9400001988000042E-7</v>
      </c>
      <c r="Q23" s="1238">
        <f>[3]ID!I73</f>
        <v>248</v>
      </c>
      <c r="R23" s="1248">
        <f>IF(INDEX(NIBP!$AO$10:$AO$16,MATCH(Q23,NIBP!$AG$10:$AG$16,1))=0,0.000001,INDEX(NIBP!$AO$10:$AO$16,MATCH(Q23,NIBP!$AG$10:$AG$16,1)))</f>
        <v>-0.1</v>
      </c>
      <c r="S23" s="1248">
        <f>IF(INDEX(NIBP!$AO$10:$AO$16,MATCH(Q23,NIBP!$AG$10:$AG$16,1)+1)=0,0.000001,INDEX(NIBP!$AO$10:$AO$16,MATCH(Q23,NIBP!$AG$10:$AG$16,1)+1))</f>
        <v>-0.4</v>
      </c>
      <c r="T23" s="1249">
        <f>IF(INDEX(NIBP!$AG$10:$AG$16,MATCH(Q23,NIBP!$AG$10:$AG$16,1))=0,0.000001,INDEX(NIBP!$AG$10:$AG$16,MATCH(Q23,NIBP!$AG$10:$AG$16,1)))</f>
        <v>200</v>
      </c>
      <c r="U23" s="1250">
        <f>INDEX(NIBP!$AG$10:$AG$16,MATCH(Q23,NIBP!$AG$10:$AG$16,1)+1)</f>
        <v>250</v>
      </c>
      <c r="V23" s="1250">
        <f t="shared" si="1"/>
        <v>-0.38800000000000001</v>
      </c>
      <c r="W23" s="1242"/>
      <c r="AD23" s="1240"/>
      <c r="AE23" s="1238">
        <f>'[3]BUDGET NAIK'!$O$40</f>
        <v>247.86260000000001</v>
      </c>
      <c r="AF23" s="1248">
        <f>IF(INDEX(NIBP!$AQ$10:$AQ$16,MATCH(AE23,NIBP!$AG$10:$AG$16,1))=0,0.000001,INDEX(NIBP!$AQ$10:$AQ$16,MATCH(AE23,NIBP!$AG$10:$AG$16,1)))</f>
        <v>0.1</v>
      </c>
      <c r="AG23" s="1248">
        <f>IF(INDEX(NIBP!$AQ$10:$AQ$16,MATCH(AE23,NIBP!$AG$10:$AG$16,1)+1)=0,0.000001,INDEX(NIBP!$AQ$10:$AQ$16,MATCH(AE23,NIBP!$AG$10:$AG$16,1)+1))</f>
        <v>0.1</v>
      </c>
      <c r="AH23" s="1249">
        <f>IF(INDEX(NIBP!$AG$10:$AG$16,MATCH(AE23,NIBP!$AG$10:$AG$16,1))=0,0.000001,INDEX(NIBP!$AG$10:$AG$16,MATCH(AE23,NIBP!$AG$10:$AG$16,1)))</f>
        <v>200</v>
      </c>
      <c r="AI23" s="1250">
        <f>INDEX(NIBP!$AG$10:$AG$16,MATCH(AE23,NIBP!$AG$10:$AG$16,1)+1)</f>
        <v>250</v>
      </c>
      <c r="AJ23" s="1250">
        <f t="shared" si="2"/>
        <v>0.1</v>
      </c>
      <c r="AP23" s="1238">
        <f>'[3]BUDGET TURUN'!$O$40</f>
        <v>247.89599999999999</v>
      </c>
      <c r="AQ23" s="1248">
        <f>IF(INDEX(NIBP!$AQ$10:$AQ$16,MATCH(AP23,NIBP!$AG$10:$AG$16,1))=0,0.000001,INDEX(NIBP!$AQ$10:$AQ$16,MATCH(AP23,NIBP!$AG$10:$AG$16,1)))</f>
        <v>0.1</v>
      </c>
      <c r="AR23" s="1248">
        <f>IF(INDEX(NIBP!$AQ$10:$AQ$16,MATCH(AP23,NIBP!$AG$10:$AG$16,1)+1)=0,0.000001,INDEX(NIBP!$AQ$10:$AQ$16,MATCH(AP23,NIBP!$AG$10:$AG$16,1)+1))</f>
        <v>0.1</v>
      </c>
      <c r="AS23" s="1249">
        <f>IF(INDEX(NIBP!$AG$10:$AG$16,MATCH(AP23,NIBP!$AG$10:$AG$16,1))=0,0.000001,INDEX(NIBP!$AG$10:$AG$16,MATCH(AP23,NIBP!$AG$10:$AG$16,1)))</f>
        <v>200</v>
      </c>
      <c r="AT23" s="1250">
        <f>INDEX(NIBP!$AG$10:$AG$16,MATCH(AP23,NIBP!$AG$10:$AG$16,1)+1)</f>
        <v>250</v>
      </c>
      <c r="AU23" s="1250">
        <f t="shared" si="3"/>
        <v>0.1</v>
      </c>
      <c r="AV23" s="1242"/>
      <c r="BC23" s="1240"/>
      <c r="BD23" s="1238">
        <f>'[3]BUDGET NAIK'!$O$40</f>
        <v>247.86260000000001</v>
      </c>
      <c r="BE23" s="1248">
        <f>IF(INDEX(NIBP!$AP$10:$AP$16,MATCH(BD23,NIBP!$AG$10:$AG$16,1))=0,0.000001,INDEX(NIBP!$AP$10:$AP$16,MATCH(BD23,NIBP!$AG$10:$AG$16,1)))</f>
        <v>3.3333333333333333E-2</v>
      </c>
      <c r="BF23" s="1248">
        <f>IF(INDEX(NIBP!$AP$10:$AP$16,MATCH(BD23,NIBP!$AG$10:$AG$16,1)+1)=0,0.000001,INDEX(NIBP!$AP$10:$AP$16,MATCH(BD23,NIBP!$AG$10:$AG$16,1)+1))</f>
        <v>3.3333333333333333E-2</v>
      </c>
      <c r="BG23" s="1249">
        <f>IF(INDEX(NIBP!$AG$10:$AG$16,MATCH(BD23,NIBP!$AG$10:$AG$16,1))=0,0.000001,INDEX(NIBP!$AG$10:$AG$16,MATCH(BD23,NIBP!$AG$10:$AG$16,1)))</f>
        <v>200</v>
      </c>
      <c r="BH23" s="1250">
        <f>INDEX(NIBP!$AG$10:$AG$16,MATCH(BD23,NIBP!$AG$10:$AG$16,1)+1)</f>
        <v>250</v>
      </c>
      <c r="BI23" s="1250">
        <f t="shared" si="4"/>
        <v>3.3333333333333333E-2</v>
      </c>
      <c r="BO23" s="1238">
        <f>'[3]BUDGET TURUN'!$O$40</f>
        <v>247.89599999999999</v>
      </c>
      <c r="BP23" s="1251">
        <f>IF(INDEX('[3]DATA 1'!$H$6:$H$14,MATCH(BO23,'[3]DATA 1'!$B$6:$B$14,1))=0,0.000001,INDEX('[3]DATA 1'!$H$6:$H$14,MATCH(BO23,'[3]DATA 1'!$B$6:$B$14,1)))</f>
        <v>0.05</v>
      </c>
      <c r="BQ23" s="1248">
        <f>IF(INDEX(NIBP!$AP$10:$AP$16,MATCH(BO23,NIBP!$AG$10:$AG$16,1)+1)=0,0.000001,INDEX(NIBP!$AP$10:$AP$16,MATCH(BO23,NIBP!$AG$10:$AG$16,1)+1))</f>
        <v>3.3333333333333333E-2</v>
      </c>
      <c r="BR23" s="1249">
        <f>IF(INDEX(NIBP!$AG$10:$AG$16,MATCH(BO23,NIBP!$AG$10:$AG$16,1))=0,0.000001,INDEX(NIBP!$AG$10:$AG$16,MATCH(BO23,NIBP!$AG$10:$AG$16,1)))</f>
        <v>200</v>
      </c>
      <c r="BS23" s="1250">
        <f>INDEX(NIBP!$AG$10:$AG$16,MATCH(BO23,NIBP!$AG$10:$AG$16,1)+1)</f>
        <v>250</v>
      </c>
      <c r="BT23" s="1250">
        <f t="shared" si="5"/>
        <v>3.4034666666666671E-2</v>
      </c>
      <c r="BU23" s="1242"/>
      <c r="CB23" s="1240"/>
      <c r="CC23" s="1605"/>
      <c r="CD23" s="1605"/>
      <c r="CE23" s="1605"/>
      <c r="CF23" s="1605"/>
      <c r="CG23" s="1605"/>
      <c r="CH23" s="1606"/>
      <c r="CN23" s="1605"/>
      <c r="CO23" s="1605"/>
      <c r="CP23" s="1605"/>
      <c r="CQ23" s="1605"/>
      <c r="CR23" s="1605"/>
      <c r="CS23" s="1606"/>
      <c r="CT23" s="1242"/>
    </row>
    <row r="24" spans="5:123" x14ac:dyDescent="0.25">
      <c r="E24" s="1240"/>
      <c r="G24" s="1256"/>
      <c r="H24" s="1256"/>
      <c r="I24" s="1252"/>
      <c r="J24" s="1250"/>
      <c r="K24" s="1250"/>
      <c r="W24" s="1242"/>
      <c r="AD24" s="1240"/>
      <c r="AF24" s="1256"/>
      <c r="AG24" s="1256"/>
      <c r="AH24" s="1252"/>
      <c r="AI24" s="1250"/>
      <c r="AJ24" s="1250"/>
      <c r="AV24" s="1242"/>
      <c r="BC24" s="1240"/>
      <c r="BU24" s="1242"/>
      <c r="CB24" s="1240"/>
      <c r="CC24" s="1247">
        <f>IF(ID!F33=0,0.000001,ID!F33)</f>
        <v>22.3</v>
      </c>
      <c r="CD24" s="1248">
        <f>IF(INDEX(THERMOHYGROMETER!$P$8:$P$14,MATCH(CC24,THERMOHYGROMETER!$O$8:$O$14,1))=0,0.000001,INDEX(THERMOHYGROMETER!$P$8:$P$14,MATCH(CC24,THERMOHYGROMETER!$O$8:$O$14,1)))</f>
        <v>0.7</v>
      </c>
      <c r="CE24" s="1248">
        <f>IF(INDEX(THERMOHYGROMETER!$P$8:$P$14,MATCH(CC24,THERMOHYGROMETER!$O$8:$O$14)+1)=0,0.000001,INDEX(THERMOHYGROMETER!$P$8:$P$14,MATCH(CC24,THERMOHYGROMETER!$O$8:$O$14,1)+1))</f>
        <v>0.5</v>
      </c>
      <c r="CF24" s="1249">
        <f>IF(INDEX(THERMOHYGROMETER!$O$8:$O$14,MATCH(CC24,THERMOHYGROMETER!$O$8:$O$14,1))=0,0.000001,INDEX(THERMOHYGROMETER!$O$8:$O$14,MATCH(CC24,THERMOHYGROMETER!$O$8:$O$14,1)))</f>
        <v>20</v>
      </c>
      <c r="CG24" s="1250">
        <f>INDEX(THERMOHYGROMETER!$O$8:$O$14,MATCH(CC24,THERMOHYGROMETER!$O$8:$O$14)+1)</f>
        <v>25</v>
      </c>
      <c r="CH24" s="1250">
        <f>(((CC24-CF24)*(CE24-CD24))/(CG24-CF24))+CD24</f>
        <v>0.60799999999999998</v>
      </c>
      <c r="CN24" s="1247">
        <f>IF(ID!F34=0,0.000001,ID!F34)</f>
        <v>59.1</v>
      </c>
      <c r="CO24" s="1248">
        <f>IF(INDEX(THERMOHYGROMETER!$S$8:$S$14,MATCH(CN24,THERMOHYGROMETER!$R$8:$R$14,1))=0,0.000001,INDEX(THERMOHYGROMETER!$S$8:$S$14,MATCH(CN24,THERMOHYGROMETER!$R$8:$R$14,1)))</f>
        <v>-5.3</v>
      </c>
      <c r="CP24" s="1248">
        <f>IF(INDEX(THERMOHYGROMETER!$S$8:$S$14,MATCH(CN24,THERMOHYGROMETER!$R$8:$R$14)+1)=0,0.000001,INDEX(THERMOHYGROMETER!$S$8:$S$14,MATCH(CN24,THERMOHYGROMETER!$R$8:$R$14,1)+1))</f>
        <v>-4</v>
      </c>
      <c r="CQ24" s="1249">
        <f>IF(INDEX(THERMOHYGROMETER!$R$8:$R$14,MATCH(CN24,THERMOHYGROMETER!$R$8:$R$14,1))=0,0.000001,INDEX(THERMOHYGROMETER!$R$8:$R$14,MATCH(CN24,THERMOHYGROMETER!$R$8:$R$14,1)))</f>
        <v>50</v>
      </c>
      <c r="CR24" s="1250">
        <f>INDEX(THERMOHYGROMETER!$R$8:$R$14,MATCH(CN24,THERMOHYGROMETER!$R$8:$R$14,1)+1)</f>
        <v>60</v>
      </c>
      <c r="CS24" s="1250">
        <f>(((CN24-CQ24)*(CP24-CO24))/(CR24-CQ24))+CO24</f>
        <v>-4.117</v>
      </c>
      <c r="CT24" s="1242"/>
    </row>
    <row r="25" spans="5:123" ht="14.4" thickBot="1" x14ac:dyDescent="0.3">
      <c r="E25" s="1253"/>
      <c r="F25" s="1254"/>
      <c r="G25" s="1257"/>
      <c r="H25" s="1257"/>
      <c r="I25" s="1258"/>
      <c r="J25" s="1259"/>
      <c r="K25" s="1259"/>
      <c r="L25" s="1254"/>
      <c r="M25" s="1254"/>
      <c r="N25" s="1254"/>
      <c r="O25" s="1254"/>
      <c r="P25" s="1254"/>
      <c r="Q25" s="1254"/>
      <c r="R25" s="1254"/>
      <c r="S25" s="1254"/>
      <c r="T25" s="1254"/>
      <c r="U25" s="1254"/>
      <c r="V25" s="1254"/>
      <c r="W25" s="1255"/>
      <c r="AD25" s="1253"/>
      <c r="AE25" s="1254"/>
      <c r="AF25" s="1254"/>
      <c r="AG25" s="1254"/>
      <c r="AH25" s="1254"/>
      <c r="AI25" s="1254"/>
      <c r="AJ25" s="1254"/>
      <c r="AK25" s="1254"/>
      <c r="AL25" s="1254"/>
      <c r="AM25" s="1254"/>
      <c r="AN25" s="1254"/>
      <c r="AO25" s="1254"/>
      <c r="AP25" s="1254"/>
      <c r="AQ25" s="1254"/>
      <c r="AR25" s="1254"/>
      <c r="AS25" s="1254"/>
      <c r="AT25" s="1254"/>
      <c r="AU25" s="1254"/>
      <c r="AV25" s="1255"/>
      <c r="BC25" s="1253"/>
      <c r="BD25" s="1254"/>
      <c r="BE25" s="1254"/>
      <c r="BF25" s="1254"/>
      <c r="BG25" s="1254"/>
      <c r="BH25" s="1254"/>
      <c r="BI25" s="1254"/>
      <c r="BJ25" s="1254"/>
      <c r="BK25" s="1254"/>
      <c r="BL25" s="1254"/>
      <c r="BM25" s="1254"/>
      <c r="BN25" s="1254"/>
      <c r="BO25" s="1254"/>
      <c r="BP25" s="1254"/>
      <c r="BQ25" s="1254"/>
      <c r="BR25" s="1254"/>
      <c r="BS25" s="1254"/>
      <c r="BT25" s="1254"/>
      <c r="BU25" s="1255"/>
      <c r="CB25" s="1240"/>
      <c r="CT25" s="1242"/>
    </row>
    <row r="26" spans="5:123" ht="14.4" thickBot="1" x14ac:dyDescent="0.3">
      <c r="CB26" s="1253"/>
      <c r="CC26" s="1254"/>
      <c r="CD26" s="1254"/>
      <c r="CE26" s="1254"/>
      <c r="CF26" s="1254"/>
      <c r="CG26" s="1254"/>
      <c r="CH26" s="1254"/>
      <c r="CI26" s="1254"/>
      <c r="CJ26" s="1254"/>
      <c r="CK26" s="1254"/>
      <c r="CL26" s="1254"/>
      <c r="CM26" s="1254"/>
      <c r="CN26" s="1254"/>
      <c r="CO26" s="1254"/>
      <c r="CP26" s="1254"/>
      <c r="CQ26" s="1254"/>
      <c r="CR26" s="1254"/>
      <c r="CS26" s="1254"/>
      <c r="CT26" s="1255"/>
    </row>
    <row r="30" spans="5:123" ht="14.4" thickBot="1" x14ac:dyDescent="0.3"/>
    <row r="31" spans="5:123" x14ac:dyDescent="0.25">
      <c r="CB31" s="1607" t="s">
        <v>866</v>
      </c>
      <c r="CC31" s="1608"/>
      <c r="CD31" s="1608"/>
      <c r="CE31" s="1608"/>
      <c r="CF31" s="1608"/>
      <c r="CG31" s="1608"/>
      <c r="CH31" s="1608"/>
      <c r="CI31" s="1608"/>
      <c r="CJ31" s="1608"/>
      <c r="CK31" s="1608"/>
      <c r="CL31" s="1608"/>
      <c r="CM31" s="1608"/>
      <c r="CN31" s="1608"/>
      <c r="CO31" s="1608"/>
      <c r="CP31" s="1608"/>
      <c r="CQ31" s="1608"/>
      <c r="CR31" s="1608"/>
      <c r="CS31" s="1608"/>
      <c r="CT31" s="1608"/>
      <c r="CU31" s="1608"/>
      <c r="CV31" s="1608"/>
      <c r="CW31" s="1608"/>
      <c r="CX31" s="1608"/>
      <c r="CY31" s="1608"/>
      <c r="CZ31" s="1608"/>
      <c r="DA31" s="1608"/>
      <c r="DB31" s="1608"/>
      <c r="DC31" s="1608"/>
      <c r="DD31" s="1608"/>
      <c r="DE31" s="1608"/>
      <c r="DF31" s="1608"/>
      <c r="DG31" s="1608"/>
      <c r="DH31" s="1609"/>
    </row>
    <row r="32" spans="5:123" ht="14.4" thickBot="1" x14ac:dyDescent="0.3">
      <c r="CB32" s="1610"/>
      <c r="CC32" s="1611"/>
      <c r="CD32" s="1611"/>
      <c r="CE32" s="1611"/>
      <c r="CF32" s="1611"/>
      <c r="CG32" s="1611"/>
      <c r="CH32" s="1611"/>
      <c r="CI32" s="1611"/>
      <c r="CJ32" s="1611"/>
      <c r="CK32" s="1611"/>
      <c r="CL32" s="1611"/>
      <c r="CM32" s="1611"/>
      <c r="CN32" s="1611"/>
      <c r="CO32" s="1611"/>
      <c r="CP32" s="1611"/>
      <c r="CQ32" s="1611"/>
      <c r="CR32" s="1611"/>
      <c r="CS32" s="1611"/>
      <c r="CT32" s="1611"/>
      <c r="CU32" s="1611"/>
      <c r="CV32" s="1611"/>
      <c r="CW32" s="1611"/>
      <c r="CX32" s="1611"/>
      <c r="CY32" s="1611"/>
      <c r="CZ32" s="1611"/>
      <c r="DA32" s="1611"/>
      <c r="DB32" s="1611"/>
      <c r="DC32" s="1611"/>
      <c r="DD32" s="1611"/>
      <c r="DE32" s="1611"/>
      <c r="DF32" s="1611"/>
      <c r="DG32" s="1611"/>
      <c r="DH32" s="1612"/>
    </row>
    <row r="33" spans="80:112" ht="14.4" thickBot="1" x14ac:dyDescent="0.3">
      <c r="CB33" s="1243"/>
      <c r="CC33" s="1244"/>
      <c r="CD33" s="1244"/>
      <c r="CE33" s="1244"/>
      <c r="CF33" s="1244"/>
      <c r="CG33" s="1244"/>
      <c r="CH33" s="1244"/>
      <c r="CI33" s="1244"/>
      <c r="CJ33" s="1244"/>
      <c r="CK33" s="1244"/>
      <c r="CL33" s="1244"/>
      <c r="CM33" s="1244"/>
      <c r="CN33" s="1244"/>
      <c r="CO33" s="1244"/>
      <c r="CP33" s="1244"/>
      <c r="CQ33" s="1244"/>
      <c r="CR33" s="1244"/>
      <c r="CS33" s="1244"/>
      <c r="CT33" s="1246"/>
      <c r="DH33" s="1242"/>
    </row>
    <row r="34" spans="80:112" ht="14.4" thickBot="1" x14ac:dyDescent="0.3">
      <c r="CB34" s="1243"/>
      <c r="CC34" s="1602" t="s">
        <v>867</v>
      </c>
      <c r="CD34" s="1603"/>
      <c r="CE34" s="1603"/>
      <c r="CF34" s="1603"/>
      <c r="CG34" s="1603"/>
      <c r="CH34" s="1604"/>
      <c r="CI34" s="1246"/>
      <c r="CJ34" s="1246"/>
      <c r="CK34" s="1246"/>
      <c r="CL34" s="1246"/>
      <c r="CM34" s="1246"/>
      <c r="CN34" s="1602" t="s">
        <v>868</v>
      </c>
      <c r="CO34" s="1603"/>
      <c r="CP34" s="1603"/>
      <c r="CQ34" s="1603"/>
      <c r="CR34" s="1603"/>
      <c r="CS34" s="1604"/>
      <c r="CT34" s="1246"/>
      <c r="DA34" s="1602" t="s">
        <v>869</v>
      </c>
      <c r="DB34" s="1603"/>
      <c r="DC34" s="1603"/>
      <c r="DD34" s="1603"/>
      <c r="DE34" s="1603"/>
      <c r="DF34" s="1604"/>
      <c r="DH34" s="1242"/>
    </row>
    <row r="35" spans="80:112" x14ac:dyDescent="0.25">
      <c r="CB35" s="1240"/>
      <c r="CC35" s="1600" t="s">
        <v>855</v>
      </c>
      <c r="CD35" s="1600" t="s">
        <v>856</v>
      </c>
      <c r="CE35" s="1600" t="s">
        <v>508</v>
      </c>
      <c r="CF35" s="1600" t="s">
        <v>857</v>
      </c>
      <c r="CG35" s="1600" t="s">
        <v>507</v>
      </c>
      <c r="CH35" s="1601" t="s">
        <v>858</v>
      </c>
      <c r="CN35" s="1600" t="s">
        <v>855</v>
      </c>
      <c r="CO35" s="1600" t="s">
        <v>856</v>
      </c>
      <c r="CP35" s="1600" t="s">
        <v>508</v>
      </c>
      <c r="CQ35" s="1600" t="s">
        <v>857</v>
      </c>
      <c r="CR35" s="1600" t="s">
        <v>507</v>
      </c>
      <c r="CS35" s="1601" t="s">
        <v>858</v>
      </c>
      <c r="DA35" s="1600" t="s">
        <v>855</v>
      </c>
      <c r="DB35" s="1600" t="s">
        <v>856</v>
      </c>
      <c r="DC35" s="1600" t="s">
        <v>508</v>
      </c>
      <c r="DD35" s="1600" t="s">
        <v>857</v>
      </c>
      <c r="DE35" s="1600" t="s">
        <v>507</v>
      </c>
      <c r="DF35" s="1601" t="s">
        <v>858</v>
      </c>
      <c r="DH35" s="1242"/>
    </row>
    <row r="36" spans="80:112" x14ac:dyDescent="0.25">
      <c r="CB36" s="1240"/>
      <c r="CC36" s="1600"/>
      <c r="CD36" s="1600"/>
      <c r="CE36" s="1600"/>
      <c r="CF36" s="1600"/>
      <c r="CG36" s="1600"/>
      <c r="CH36" s="1601"/>
      <c r="CN36" s="1600"/>
      <c r="CO36" s="1600"/>
      <c r="CP36" s="1600"/>
      <c r="CQ36" s="1600"/>
      <c r="CR36" s="1600"/>
      <c r="CS36" s="1601"/>
      <c r="DA36" s="1600"/>
      <c r="DB36" s="1600"/>
      <c r="DC36" s="1600"/>
      <c r="DD36" s="1600"/>
      <c r="DE36" s="1600"/>
      <c r="DF36" s="1601"/>
      <c r="DH36" s="1242"/>
    </row>
    <row r="37" spans="80:112" x14ac:dyDescent="0.25">
      <c r="CB37" s="1240"/>
      <c r="CC37" s="1247" t="str">
        <f>IF(ID!D35=0,0.000001,ID!D35)</f>
        <v>-</v>
      </c>
      <c r="CD37" s="1248" t="e">
        <f>IF(INDEX(VOLT!$N$8:$N$14,MATCH(CC37,VOLT!$M$8:$M$14,1))=0,0.000001,INDEX(VOLT!$N$8:$N$14,MATCH(CC37,VOLT!$M$8:$M$14,1)))</f>
        <v>#N/A</v>
      </c>
      <c r="CE37" s="1248" t="e">
        <f>IF(INDEX(VOLT!N8:N14,MATCH(CC37,VOLT!M8:M14,1)+1)=0,0.000001,INDEX(VOLT!N8:N14,MATCH(CC37,VOLT!M8:M14,1)+1))</f>
        <v>#N/A</v>
      </c>
      <c r="CF37" s="1249" t="e">
        <f>IF(INDEX(VOLT!M8:M14,MATCH(CC37,VOLT!M8:M14,1))=0,0.000001,INDEX(VOLT!M8:M14,MATCH(CC37,VOLT!M8:M14,1)))</f>
        <v>#N/A</v>
      </c>
      <c r="CG37" s="1238" t="e">
        <f>INDEX(VOLT!M8:M14,MATCH(CC37,VOLT!M8:M14,1)+1)</f>
        <v>#N/A</v>
      </c>
      <c r="CH37" s="1261" t="e">
        <f>(((CC37-CF37)*(CE37-CD37))/(CG37-CF37))+CD37</f>
        <v>#VALUE!</v>
      </c>
      <c r="CN37" s="1247" t="str">
        <f>IF(ID!G43=0,0.000001,ID!G43)</f>
        <v>-</v>
      </c>
      <c r="CO37" s="1248" t="e">
        <f>IF(INDEX(RESISTANCE!L8:L14,MATCH(CN37,RESISTANCE!K8:K14,1))=0,0.000001,INDEX(RESISTANCE!L8:L14,MATCH(CN37,RESISTANCE!K8:K14,1)))</f>
        <v>#N/A</v>
      </c>
      <c r="CP37" s="1248" t="e">
        <f>IF(INDEX(RESISTANCE!L8:L14,MATCH(CN37,RESISTANCE!K8:K14,1)+1)=0,0.000001,INDEX(RESISTANCE!L8:L14,MATCH(CN37,RESISTANCE!K8:K14,1)+1))</f>
        <v>#N/A</v>
      </c>
      <c r="CQ37" s="1249" t="e">
        <f>IF(INDEX(RESISTANCE!K8:K14,MATCH(CN37,RESISTANCE!K8:K14,1))=0,0.000001,INDEX(RESISTANCE!K8:K14,MATCH(CN37,RESISTANCE!K8:K14,1)))</f>
        <v>#N/A</v>
      </c>
      <c r="CR37" s="1238" t="e">
        <f>INDEX(RESISTANCE!K8:K14,MATCH(CN37,RESISTANCE!K8:K14,1)+1)</f>
        <v>#N/A</v>
      </c>
      <c r="CS37" s="1261" t="e">
        <f>(((CN37-CQ37)*(CP37-CO37))/(CR37-CQ37))+CO37</f>
        <v>#VALUE!</v>
      </c>
      <c r="DA37" s="1247">
        <f>IF(ID!T43=0,0.000001,ID!T43)</f>
        <v>96</v>
      </c>
      <c r="DB37" s="1248">
        <f>IF(INDEX(LEAKAGE!$L$8:$L$13,MATCH(DA37,LEAKAGE!$K$8:$K$13,1))=0,0.000001,INDEX(LEAKAGE!$L$8:$L$13,MATCH(DA37,LEAKAGE!$K$8:$K$13,1)))</f>
        <v>0.4</v>
      </c>
      <c r="DC37" s="1248">
        <f>IF(INDEX(LEAKAGE!$L$8:$L$13,MATCH(DA37,LEAKAGE!$K$8:$K$13,1)+1)=0,0.000001,INDEX(LEAKAGE!$L$8:$L$13,MATCH(DA37,LEAKAGE!$K$8:$K$13,1)+1))</f>
        <v>0.4</v>
      </c>
      <c r="DD37" s="1249">
        <f>IF(INDEX(LEAKAGE!$K$8:$K$13,MATCH(DA37,LEAKAGE!$K$8:$K$13,1))=0,0.000001,INDEX(LEAKAGE!$K$8:$K$13,MATCH(DA37,LEAKAGE!$K$8:$K$13,1)))</f>
        <v>50</v>
      </c>
      <c r="DE37" s="1238">
        <f>INDEX(LEAKAGE!$K$8:$K$13,MATCH(DA37,LEAKAGE!$K$8:$K$13,1)+1)</f>
        <v>100</v>
      </c>
      <c r="DF37" s="1261">
        <f t="shared" ref="DF37" si="6">(((DA37-DD37)*(DC37-DB37))/(DE37-DD37))+DB37</f>
        <v>0.4</v>
      </c>
      <c r="DH37" s="1242"/>
    </row>
    <row r="38" spans="80:112" x14ac:dyDescent="0.25">
      <c r="CB38" s="1240"/>
      <c r="DH38" s="1242"/>
    </row>
    <row r="39" spans="80:112" ht="14.4" thickBot="1" x14ac:dyDescent="0.3">
      <c r="CB39" s="1240"/>
      <c r="DH39" s="1242"/>
    </row>
    <row r="40" spans="80:112" ht="14.4" thickBot="1" x14ac:dyDescent="0.3">
      <c r="CB40" s="1240"/>
      <c r="CC40" s="1602" t="s">
        <v>870</v>
      </c>
      <c r="CD40" s="1603"/>
      <c r="CE40" s="1603"/>
      <c r="CF40" s="1603"/>
      <c r="CG40" s="1603"/>
      <c r="CH40" s="1604"/>
      <c r="CN40" s="1602" t="s">
        <v>871</v>
      </c>
      <c r="CO40" s="1603"/>
      <c r="CP40" s="1603"/>
      <c r="CQ40" s="1603"/>
      <c r="CR40" s="1603"/>
      <c r="CS40" s="1604"/>
      <c r="DA40" s="1246"/>
      <c r="DB40" s="1246"/>
      <c r="DC40" s="1246"/>
      <c r="DD40" s="1246"/>
      <c r="DE40" s="1246"/>
      <c r="DF40" s="1246"/>
      <c r="DH40" s="1242"/>
    </row>
    <row r="41" spans="80:112" x14ac:dyDescent="0.25">
      <c r="CB41" s="1240"/>
      <c r="CC41" s="1600" t="s">
        <v>855</v>
      </c>
      <c r="CD41" s="1600" t="s">
        <v>856</v>
      </c>
      <c r="CE41" s="1600" t="s">
        <v>508</v>
      </c>
      <c r="CF41" s="1600" t="s">
        <v>857</v>
      </c>
      <c r="CG41" s="1600" t="s">
        <v>507</v>
      </c>
      <c r="CH41" s="1601" t="s">
        <v>858</v>
      </c>
      <c r="CN41" s="1600" t="s">
        <v>855</v>
      </c>
      <c r="CO41" s="1600" t="s">
        <v>856</v>
      </c>
      <c r="CP41" s="1600" t="s">
        <v>508</v>
      </c>
      <c r="CQ41" s="1600" t="s">
        <v>857</v>
      </c>
      <c r="CR41" s="1600" t="s">
        <v>507</v>
      </c>
      <c r="CS41" s="1601" t="s">
        <v>858</v>
      </c>
      <c r="DA41" s="1246"/>
      <c r="DB41" s="1246"/>
      <c r="DC41" s="1246"/>
      <c r="DD41" s="1246"/>
      <c r="DE41" s="1246"/>
      <c r="DF41" s="1246"/>
      <c r="DH41" s="1242"/>
    </row>
    <row r="42" spans="80:112" x14ac:dyDescent="0.25">
      <c r="CB42" s="1240"/>
      <c r="CC42" s="1600"/>
      <c r="CD42" s="1600"/>
      <c r="CE42" s="1600"/>
      <c r="CF42" s="1600"/>
      <c r="CG42" s="1600"/>
      <c r="CH42" s="1601"/>
      <c r="CI42" s="1262"/>
      <c r="CJ42" s="1262"/>
      <c r="CK42" s="1262"/>
      <c r="CL42" s="1262"/>
      <c r="CM42" s="1262"/>
      <c r="CN42" s="1600"/>
      <c r="CO42" s="1600"/>
      <c r="CP42" s="1600"/>
      <c r="CQ42" s="1600"/>
      <c r="CR42" s="1600"/>
      <c r="CS42" s="1601"/>
      <c r="CT42" s="1262"/>
      <c r="DA42" s="1246"/>
      <c r="DB42" s="1246"/>
      <c r="DC42" s="1246"/>
      <c r="DD42" s="1246"/>
      <c r="DE42" s="1246"/>
      <c r="DF42" s="1246"/>
      <c r="DH42" s="1242"/>
    </row>
    <row r="43" spans="80:112" x14ac:dyDescent="0.25">
      <c r="CB43" s="1240"/>
      <c r="CC43" s="1247" t="str">
        <f>IF(ID!G42=0,0.000001,ID!G42)</f>
        <v>-</v>
      </c>
      <c r="CD43" s="1248" t="e">
        <f>IF(INDEX(MOhm!L8:L16,MATCH(CC43,MOhm!K8:K16,1))=0,0.000001,INDEX(MOhm!L8:L16,MATCH(CC43,MOhm!K8:K16,1)))</f>
        <v>#N/A</v>
      </c>
      <c r="CE43" s="1248" t="e">
        <f>IF(INDEX(MOhm!L8:L16,MATCH(CC43,MOhm!K8:K16,1)+1)=0,0.000001,INDEX(MOhm!L8:L16,MATCH(CC43,MOhm!K8:K16,1)+1))</f>
        <v>#N/A</v>
      </c>
      <c r="CF43" s="1249" t="e">
        <f>IF(INDEX(MOhm!K8:K16,MATCH(CC43,MOhm!K8:K16,1))=0,0.000001,INDEX(MOhm!K8:K16,MATCH(CC43,MOhm!K8:K16,1)))</f>
        <v>#N/A</v>
      </c>
      <c r="CG43" s="1238" t="e">
        <f>INDEX(MOhm!K8:K16,MATCH(CC43,MOhm!K8:K16,1)+1)</f>
        <v>#N/A</v>
      </c>
      <c r="CH43" s="1261" t="e">
        <f t="shared" ref="CH43" si="7">(((CC43-CF43)*(CE43-CD43))/(CG43-CF43))+CD43</f>
        <v>#VALUE!</v>
      </c>
      <c r="CN43" s="1247" t="str">
        <f>IF(ID!G44=0,0.000001,ID!G44)</f>
        <v>-</v>
      </c>
      <c r="CO43" s="1248" t="e">
        <f>IF(INDEX(LEAKAGE!$L$8:$L$13,MATCH(CN43,LEAKAGE!$K$8:$K$13,1))=0,0.000001,INDEX(LEAKAGE!$L$8:$L$13,MATCH(CN43,LEAKAGE!$K$8:$K$13,1)))</f>
        <v>#N/A</v>
      </c>
      <c r="CP43" s="1248" t="e">
        <f>IF(INDEX(LEAKAGE!$L$8:$L$13,MATCH(CN43,LEAKAGE!$K$8:$K$13,1)+1)=0,0.000001,INDEX(LEAKAGE!$L$8:$L$13,MATCH(CN43,LEAKAGE!$K$8:$K$13,1)+1))</f>
        <v>#N/A</v>
      </c>
      <c r="CQ43" s="1249" t="e">
        <f>IF(INDEX(LEAKAGE!$K$8:$K$13,MATCH(CN43,LEAKAGE!$K$8:$K$13,1))=0,0.000001,INDEX(LEAKAGE!$K$8:$K$13,MATCH(CN43,LEAKAGE!$K$8:$K$13,1)))</f>
        <v>#N/A</v>
      </c>
      <c r="CR43" s="1238" t="e">
        <f>INDEX(LEAKAGE!$K$8:$K$13,MATCH(CN43,LEAKAGE!$K$8:$K$13,1)+1)</f>
        <v>#N/A</v>
      </c>
      <c r="CS43" s="1261" t="e">
        <f t="shared" ref="CS43" si="8">(((CN43-CQ43)*(CP43-CO43))/(CR43-CQ43))+CO43</f>
        <v>#VALUE!</v>
      </c>
      <c r="DA43" s="1246"/>
      <c r="DB43" s="1246"/>
      <c r="DC43" s="1246"/>
      <c r="DD43" s="1246"/>
      <c r="DE43" s="1246"/>
      <c r="DF43" s="1246"/>
      <c r="DH43" s="1242"/>
    </row>
    <row r="44" spans="80:112" ht="14.4" thickBot="1" x14ac:dyDescent="0.3">
      <c r="CB44" s="1253"/>
      <c r="CC44" s="1254"/>
      <c r="CD44" s="1254"/>
      <c r="CE44" s="1254"/>
      <c r="CF44" s="1254"/>
      <c r="CG44" s="1254"/>
      <c r="CH44" s="1254"/>
      <c r="CI44" s="1254"/>
      <c r="CJ44" s="1254"/>
      <c r="CK44" s="1254"/>
      <c r="CL44" s="1254"/>
      <c r="CM44" s="1254"/>
      <c r="CN44" s="1254"/>
      <c r="CO44" s="1254"/>
      <c r="CP44" s="1254"/>
      <c r="CQ44" s="1254"/>
      <c r="CR44" s="1254"/>
      <c r="CS44" s="1254"/>
      <c r="CT44" s="1254"/>
      <c r="CU44" s="1254"/>
      <c r="CV44" s="1254"/>
      <c r="CW44" s="1254"/>
      <c r="CX44" s="1254"/>
      <c r="CY44" s="1254"/>
      <c r="CZ44" s="1254"/>
      <c r="DA44" s="1254"/>
      <c r="DB44" s="1254"/>
      <c r="DC44" s="1254"/>
      <c r="DD44" s="1254"/>
      <c r="DE44" s="1254"/>
      <c r="DF44" s="1254"/>
      <c r="DG44" s="1254"/>
      <c r="DH44" s="1255"/>
    </row>
  </sheetData>
  <mergeCells count="126">
    <mergeCell ref="E12:W13"/>
    <mergeCell ref="AD12:AV13"/>
    <mergeCell ref="BC12:BU13"/>
    <mergeCell ref="CB12:CT13"/>
    <mergeCell ref="DA12:DH13"/>
    <mergeCell ref="DL12:DS13"/>
    <mergeCell ref="DM15:DR15"/>
    <mergeCell ref="F16:F17"/>
    <mergeCell ref="G16:G17"/>
    <mergeCell ref="H16:H17"/>
    <mergeCell ref="I16:I17"/>
    <mergeCell ref="J16:J17"/>
    <mergeCell ref="K16:K17"/>
    <mergeCell ref="F15:K15"/>
    <mergeCell ref="R15:V15"/>
    <mergeCell ref="AF15:AJ15"/>
    <mergeCell ref="AQ15:AU15"/>
    <mergeCell ref="BE15:BI15"/>
    <mergeCell ref="BP15:BT15"/>
    <mergeCell ref="Q16:Q17"/>
    <mergeCell ref="R16:R17"/>
    <mergeCell ref="S16:S17"/>
    <mergeCell ref="T16:T17"/>
    <mergeCell ref="U16:U17"/>
    <mergeCell ref="V16:V17"/>
    <mergeCell ref="CC15:CH15"/>
    <mergeCell ref="CN15:CS15"/>
    <mergeCell ref="DB15:DG15"/>
    <mergeCell ref="AP16:AP17"/>
    <mergeCell ref="AQ16:AQ17"/>
    <mergeCell ref="AR16:AR17"/>
    <mergeCell ref="AS16:AS17"/>
    <mergeCell ref="AT16:AT17"/>
    <mergeCell ref="AU16:AU17"/>
    <mergeCell ref="AE16:AE17"/>
    <mergeCell ref="AF16:AF17"/>
    <mergeCell ref="AG16:AG17"/>
    <mergeCell ref="AH16:AH17"/>
    <mergeCell ref="AI16:AI17"/>
    <mergeCell ref="AJ16:AJ17"/>
    <mergeCell ref="BO16:BO17"/>
    <mergeCell ref="BP16:BP17"/>
    <mergeCell ref="BQ16:BQ17"/>
    <mergeCell ref="BR16:BR17"/>
    <mergeCell ref="BS16:BS17"/>
    <mergeCell ref="BT16:BT17"/>
    <mergeCell ref="BD16:BD17"/>
    <mergeCell ref="BE16:BE17"/>
    <mergeCell ref="BF16:BF17"/>
    <mergeCell ref="BG16:BG17"/>
    <mergeCell ref="BH16:BH17"/>
    <mergeCell ref="BI16:BI17"/>
    <mergeCell ref="CN16:CN17"/>
    <mergeCell ref="CO16:CO17"/>
    <mergeCell ref="CP16:CP17"/>
    <mergeCell ref="CQ16:CQ17"/>
    <mergeCell ref="CR16:CR17"/>
    <mergeCell ref="CS16:CS17"/>
    <mergeCell ref="CC16:CC17"/>
    <mergeCell ref="CD16:CD17"/>
    <mergeCell ref="CE16:CE17"/>
    <mergeCell ref="CF16:CF17"/>
    <mergeCell ref="CG16:CG17"/>
    <mergeCell ref="CH16:CH17"/>
    <mergeCell ref="DM16:DM17"/>
    <mergeCell ref="DN16:DN17"/>
    <mergeCell ref="DO16:DO17"/>
    <mergeCell ref="DP16:DP17"/>
    <mergeCell ref="DQ16:DQ17"/>
    <mergeCell ref="DR16:DR17"/>
    <mergeCell ref="DB16:DB17"/>
    <mergeCell ref="DC16:DC17"/>
    <mergeCell ref="DD16:DD17"/>
    <mergeCell ref="DE16:DE17"/>
    <mergeCell ref="DF16:DF17"/>
    <mergeCell ref="DG16:DG17"/>
    <mergeCell ref="CS22:CS23"/>
    <mergeCell ref="CB31:DH32"/>
    <mergeCell ref="CC34:CH34"/>
    <mergeCell ref="CN34:CS34"/>
    <mergeCell ref="DA34:DF34"/>
    <mergeCell ref="CC21:CH21"/>
    <mergeCell ref="CN21:CS21"/>
    <mergeCell ref="CC22:CC23"/>
    <mergeCell ref="CD22:CD23"/>
    <mergeCell ref="CE22:CE23"/>
    <mergeCell ref="CF22:CF23"/>
    <mergeCell ref="CG22:CG23"/>
    <mergeCell ref="CH22:CH23"/>
    <mergeCell ref="CN22:CN23"/>
    <mergeCell ref="CO22:CO23"/>
    <mergeCell ref="CC35:CC36"/>
    <mergeCell ref="CD35:CD36"/>
    <mergeCell ref="CE35:CE36"/>
    <mergeCell ref="CF35:CF36"/>
    <mergeCell ref="CG35:CG36"/>
    <mergeCell ref="CH35:CH36"/>
    <mergeCell ref="CP22:CP23"/>
    <mergeCell ref="CQ22:CQ23"/>
    <mergeCell ref="CR22:CR23"/>
    <mergeCell ref="DA35:DA36"/>
    <mergeCell ref="DB35:DB36"/>
    <mergeCell ref="DC35:DC36"/>
    <mergeCell ref="DD35:DD36"/>
    <mergeCell ref="DE35:DE36"/>
    <mergeCell ref="DF35:DF36"/>
    <mergeCell ref="CN35:CN36"/>
    <mergeCell ref="CO35:CO36"/>
    <mergeCell ref="CP35:CP36"/>
    <mergeCell ref="CQ35:CQ36"/>
    <mergeCell ref="CR35:CR36"/>
    <mergeCell ref="CS35:CS36"/>
    <mergeCell ref="CP41:CP42"/>
    <mergeCell ref="CQ41:CQ42"/>
    <mergeCell ref="CR41:CR42"/>
    <mergeCell ref="CS41:CS42"/>
    <mergeCell ref="CC40:CH40"/>
    <mergeCell ref="CN40:CS40"/>
    <mergeCell ref="CC41:CC42"/>
    <mergeCell ref="CD41:CD42"/>
    <mergeCell ref="CE41:CE42"/>
    <mergeCell ref="CF41:CF42"/>
    <mergeCell ref="CG41:CG42"/>
    <mergeCell ref="CH41:CH42"/>
    <mergeCell ref="CN41:CN42"/>
    <mergeCell ref="CO41:CO42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A149-FCBD-408F-A30E-134E0A0EE3E6}">
  <sheetPr codeName="Sheet19">
    <tabColor rgb="FF00B050"/>
  </sheetPr>
  <dimension ref="A1:P36"/>
  <sheetViews>
    <sheetView view="pageBreakPreview" zoomScaleNormal="100" zoomScaleSheetLayoutView="100" workbookViewId="0">
      <selection activeCell="I14" sqref="I14"/>
    </sheetView>
  </sheetViews>
  <sheetFormatPr defaultColWidth="9.109375" defaultRowHeight="13.2" x14ac:dyDescent="0.25"/>
  <cols>
    <col min="1" max="1" width="18.109375" style="982" customWidth="1"/>
    <col min="2" max="2" width="26.109375" style="982" customWidth="1"/>
    <col min="3" max="3" width="3.109375" style="982" customWidth="1"/>
    <col min="4" max="4" width="10.33203125" style="982" customWidth="1"/>
    <col min="5" max="5" width="1.5546875" style="982" customWidth="1"/>
    <col min="6" max="6" width="9.109375" style="982" customWidth="1"/>
    <col min="7" max="7" width="31.33203125" style="982" customWidth="1"/>
    <col min="8" max="8" width="9.109375" style="982"/>
    <col min="9" max="9" width="21.5546875" style="982" customWidth="1"/>
    <col min="10" max="10" width="12.109375" style="982" customWidth="1"/>
    <col min="11" max="16384" width="9.109375" style="982"/>
  </cols>
  <sheetData>
    <row r="1" spans="1:16" x14ac:dyDescent="0.25">
      <c r="I1" s="983">
        <f>IF(RIGHT(A3,2)="Dt",10,13)</f>
        <v>13</v>
      </c>
    </row>
    <row r="2" spans="1:16" ht="30.6" thickBot="1" x14ac:dyDescent="0.3">
      <c r="A2" s="1615" t="s">
        <v>530</v>
      </c>
      <c r="B2" s="1615"/>
      <c r="C2" s="1615"/>
      <c r="D2" s="1615"/>
      <c r="E2" s="1615"/>
      <c r="F2" s="1615"/>
      <c r="G2" s="1615"/>
      <c r="I2" s="984"/>
      <c r="J2" s="1616"/>
      <c r="K2" s="1617"/>
    </row>
    <row r="3" spans="1:16" ht="13.8" x14ac:dyDescent="0.25">
      <c r="A3" s="1618" t="str">
        <f>"Nomor : 9 /"&amp;" "&amp;ID!I2</f>
        <v>Nomor : 9 / 2 / II - 20 / E - 015.38 DL</v>
      </c>
      <c r="B3" s="1618"/>
      <c r="C3" s="1618"/>
      <c r="D3" s="1618"/>
      <c r="E3" s="1618"/>
      <c r="F3" s="1618"/>
      <c r="G3" s="1618"/>
      <c r="I3" s="985" t="s">
        <v>531</v>
      </c>
      <c r="J3" s="986" t="s">
        <v>532</v>
      </c>
      <c r="K3" s="987" t="s">
        <v>533</v>
      </c>
    </row>
    <row r="4" spans="1:16" ht="15.75" customHeight="1" x14ac:dyDescent="0.25">
      <c r="C4" s="982" t="s">
        <v>534</v>
      </c>
      <c r="D4" s="1619" t="str">
        <f>VLOOKUP(B6,'DB SERTIFIKAT NA'!$B$2:$C$73,2,FALSE)</f>
        <v>T.S 014-18 / REV : 1</v>
      </c>
      <c r="E4" s="1619"/>
      <c r="F4" s="1619"/>
      <c r="G4" s="1619"/>
      <c r="I4" s="988">
        <v>5</v>
      </c>
      <c r="J4" s="989" t="s">
        <v>535</v>
      </c>
      <c r="K4" s="990">
        <v>2022</v>
      </c>
    </row>
    <row r="5" spans="1:16" ht="15" thickBot="1" x14ac:dyDescent="0.35">
      <c r="I5" s="1620" t="s">
        <v>536</v>
      </c>
      <c r="J5" s="1621"/>
      <c r="K5" s="1622"/>
    </row>
    <row r="6" spans="1:16" ht="34.5" customHeight="1" x14ac:dyDescent="0.25">
      <c r="A6" s="991" t="s">
        <v>537</v>
      </c>
      <c r="B6" s="992" t="s">
        <v>608</v>
      </c>
      <c r="C6" s="993"/>
      <c r="D6" s="1613" t="s">
        <v>539</v>
      </c>
      <c r="E6" s="1614"/>
      <c r="F6" s="1614"/>
      <c r="G6" s="994" t="str">
        <f>RIGHT(A3,I1)</f>
        <v>E - 015.38 DL</v>
      </c>
    </row>
    <row r="7" spans="1:16" ht="13.8" x14ac:dyDescent="0.25">
      <c r="A7" s="995"/>
      <c r="B7" s="995"/>
      <c r="C7" s="995"/>
    </row>
    <row r="8" spans="1:16" ht="13.8" x14ac:dyDescent="0.25">
      <c r="A8" s="1624" t="s">
        <v>6</v>
      </c>
      <c r="B8" s="1624"/>
      <c r="C8" s="996" t="s">
        <v>7</v>
      </c>
      <c r="D8" s="1624" t="str">
        <f>'LH NA'!F4</f>
        <v>OMRON</v>
      </c>
      <c r="E8" s="1624"/>
      <c r="F8" s="1624"/>
      <c r="G8" s="1624"/>
      <c r="J8" s="1625"/>
      <c r="K8" s="1625"/>
    </row>
    <row r="9" spans="1:16" ht="13.8" x14ac:dyDescent="0.25">
      <c r="A9" s="1624" t="s">
        <v>540</v>
      </c>
      <c r="B9" s="1624"/>
      <c r="C9" s="996" t="s">
        <v>7</v>
      </c>
      <c r="D9" s="1624" t="str">
        <f>'LH NA'!F5</f>
        <v>HEM-8712</v>
      </c>
      <c r="E9" s="1624"/>
      <c r="F9" s="1624"/>
      <c r="G9" s="1624"/>
      <c r="J9" s="1625"/>
      <c r="K9" s="1625"/>
    </row>
    <row r="10" spans="1:16" ht="14.4" x14ac:dyDescent="0.3">
      <c r="A10" s="1624" t="s">
        <v>541</v>
      </c>
      <c r="B10" s="1624"/>
      <c r="C10" s="996" t="s">
        <v>7</v>
      </c>
      <c r="D10" s="1624" t="str">
        <f>'LH NA'!F6</f>
        <v>-</v>
      </c>
      <c r="E10" s="1624"/>
      <c r="F10" s="1624"/>
      <c r="G10" s="1624"/>
      <c r="J10" s="1626"/>
      <c r="K10" s="1627"/>
      <c r="P10" s="997"/>
    </row>
    <row r="11" spans="1:16" ht="14.4" hidden="1" x14ac:dyDescent="0.3">
      <c r="A11" s="1624" t="s">
        <v>542</v>
      </c>
      <c r="B11" s="1624"/>
      <c r="C11" s="996" t="s">
        <v>7</v>
      </c>
      <c r="D11" s="998" t="str">
        <f>J11&amp;"    "&amp;K11&amp;""</f>
        <v xml:space="preserve">    </v>
      </c>
      <c r="E11" s="998"/>
      <c r="F11" s="998"/>
      <c r="G11" s="999">
        <f>K11</f>
        <v>0</v>
      </c>
      <c r="J11" s="1000"/>
      <c r="K11" s="997"/>
      <c r="P11" s="997"/>
    </row>
    <row r="12" spans="1:16" ht="14.4" hidden="1" x14ac:dyDescent="0.3">
      <c r="A12" s="1624" t="s">
        <v>543</v>
      </c>
      <c r="B12" s="1624"/>
      <c r="C12" s="996" t="s">
        <v>7</v>
      </c>
      <c r="D12" s="1001">
        <f>[4]LHK!C7:D7</f>
        <v>0.1</v>
      </c>
      <c r="E12" s="1001" t="s">
        <v>544</v>
      </c>
      <c r="G12" s="999"/>
      <c r="J12" s="1000"/>
      <c r="K12" s="997"/>
      <c r="P12" s="997"/>
    </row>
    <row r="13" spans="1:16" ht="14.4" x14ac:dyDescent="0.3">
      <c r="A13" s="1002"/>
      <c r="B13" s="1002"/>
      <c r="C13" s="995"/>
      <c r="J13" s="1623"/>
      <c r="K13" s="1623"/>
      <c r="P13" s="997"/>
    </row>
    <row r="14" spans="1:16" ht="30" customHeight="1" x14ac:dyDescent="0.3">
      <c r="A14" s="1003" t="s">
        <v>545</v>
      </c>
      <c r="B14" s="1004" t="s">
        <v>546</v>
      </c>
      <c r="C14" s="995"/>
      <c r="D14" s="1613" t="s">
        <v>547</v>
      </c>
      <c r="E14" s="1614"/>
      <c r="F14" s="1614"/>
      <c r="G14" s="1005" t="s">
        <v>548</v>
      </c>
      <c r="J14" s="1627"/>
      <c r="K14" s="1627"/>
      <c r="P14" s="997"/>
    </row>
    <row r="15" spans="1:16" ht="14.4" x14ac:dyDescent="0.25">
      <c r="A15" s="1006"/>
      <c r="B15" s="995"/>
      <c r="C15" s="995"/>
      <c r="D15" s="995"/>
      <c r="E15" s="995"/>
      <c r="F15" s="995"/>
      <c r="J15" s="1628"/>
      <c r="K15" s="1628"/>
    </row>
    <row r="16" spans="1:16" ht="35.25" customHeight="1" x14ac:dyDescent="0.3">
      <c r="A16" s="1629" t="s">
        <v>549</v>
      </c>
      <c r="B16" s="1629"/>
      <c r="C16" s="1007" t="s">
        <v>7</v>
      </c>
      <c r="D16" s="1630" t="s">
        <v>550</v>
      </c>
      <c r="E16" s="1630"/>
      <c r="F16" s="1630"/>
      <c r="G16" s="1630"/>
      <c r="I16" s="1008"/>
      <c r="J16" s="1631"/>
      <c r="K16" s="1632"/>
    </row>
    <row r="17" spans="1:11" ht="14.4" x14ac:dyDescent="0.3">
      <c r="A17" s="1624" t="str">
        <f>"Nama Ruang "&amp;I20</f>
        <v>Nama Ruang Kalibrasi</v>
      </c>
      <c r="B17" s="1624"/>
      <c r="C17" s="996" t="s">
        <v>7</v>
      </c>
      <c r="D17" s="1629" t="str">
        <f>'LH NA'!F10</f>
        <v>-</v>
      </c>
      <c r="E17" s="1629"/>
      <c r="F17" s="1629"/>
      <c r="G17" s="1629"/>
      <c r="I17" s="1633"/>
      <c r="J17" s="1633"/>
      <c r="K17" s="1633"/>
    </row>
    <row r="18" spans="1:11" ht="15" customHeight="1" x14ac:dyDescent="0.3">
      <c r="A18" s="1624" t="s">
        <v>551</v>
      </c>
      <c r="B18" s="1624"/>
      <c r="C18" s="996" t="s">
        <v>552</v>
      </c>
      <c r="D18" s="1629">
        <f>'LH NA'!F7</f>
        <v>44564</v>
      </c>
      <c r="E18" s="1629"/>
      <c r="F18" s="1629"/>
      <c r="G18" s="1009"/>
      <c r="I18" s="1010"/>
      <c r="J18" s="1010"/>
      <c r="K18" s="1010"/>
    </row>
    <row r="19" spans="1:11" ht="13.8" x14ac:dyDescent="0.25">
      <c r="A19" s="1624" t="str">
        <f>"Tanggal "&amp;I20</f>
        <v>Tanggal Kalibrasi</v>
      </c>
      <c r="B19" s="1624"/>
      <c r="C19" s="996" t="s">
        <v>7</v>
      </c>
      <c r="D19" s="1634">
        <f>'LH NA'!F8</f>
        <v>44564</v>
      </c>
      <c r="E19" s="1634"/>
      <c r="F19" s="1634"/>
      <c r="G19" s="1634"/>
    </row>
    <row r="20" spans="1:11" ht="13.8" x14ac:dyDescent="0.25">
      <c r="A20" s="1624" t="str">
        <f>"Penanggungjawab "&amp;I20</f>
        <v>Penanggungjawab Kalibrasi</v>
      </c>
      <c r="B20" s="1624"/>
      <c r="C20" s="996" t="s">
        <v>7</v>
      </c>
      <c r="D20" s="1624" t="str">
        <f>'LH NA'!B67</f>
        <v>Wardimanul Abrar</v>
      </c>
      <c r="E20" s="1624"/>
      <c r="F20" s="1624"/>
      <c r="G20" s="1624"/>
      <c r="I20" s="982" t="str">
        <f>IF(RIGHT(A2,10)=" KALIBRASI","Kalibrasi","Pengujian")</f>
        <v>Kalibrasi</v>
      </c>
    </row>
    <row r="21" spans="1:11" ht="14.4" x14ac:dyDescent="0.3">
      <c r="A21" s="1624" t="str">
        <f>"Lokasi "&amp;I20</f>
        <v>Lokasi Kalibrasi</v>
      </c>
      <c r="B21" s="1624"/>
      <c r="C21" s="996" t="s">
        <v>7</v>
      </c>
      <c r="D21" s="1629" t="str">
        <f>'LH NA'!F9</f>
        <v>-</v>
      </c>
      <c r="E21" s="1629"/>
      <c r="F21" s="1629"/>
      <c r="G21" s="1629"/>
      <c r="I21" s="1011" t="s">
        <v>553</v>
      </c>
    </row>
    <row r="22" spans="1:11" ht="30.75" customHeight="1" x14ac:dyDescent="0.25">
      <c r="A22" s="1629" t="str">
        <f>"Hasil "&amp;I20</f>
        <v>Hasil Kalibrasi</v>
      </c>
      <c r="B22" s="1629"/>
      <c r="C22" s="1007" t="s">
        <v>7</v>
      </c>
      <c r="D22" s="1638" t="str">
        <f>IF(RIGHT(I20,10)="Kalibrasi",I22,I23)</f>
        <v>Laik Pakai, disarankan untuk dikalibrasi ulang pada tanggal 5 Agustus 2023</v>
      </c>
      <c r="E22" s="1638"/>
      <c r="F22" s="1638"/>
      <c r="G22" s="1638"/>
      <c r="I22" s="982" t="str">
        <f>"Laik Pakai, disarankan untuk dikalibrasi ulang pada tanggal "&amp;I4&amp;" "&amp;J4&amp;" "&amp;K4+1</f>
        <v>Laik Pakai, disarankan untuk dikalibrasi ulang pada tanggal 5 Agustus 2023</v>
      </c>
    </row>
    <row r="23" spans="1:11" ht="13.8" x14ac:dyDescent="0.25">
      <c r="A23" s="1624" t="s">
        <v>554</v>
      </c>
      <c r="B23" s="1624"/>
      <c r="C23" s="996" t="s">
        <v>7</v>
      </c>
      <c r="D23" s="1624" t="str">
        <f>'LH NA'!F11</f>
        <v>MK 014-18</v>
      </c>
      <c r="E23" s="1624"/>
      <c r="F23" s="1624"/>
      <c r="G23" s="1624"/>
      <c r="I23" s="982" t="str">
        <f>"Laik Pakai, disarankan untuk diuji ulang pada tanggal "&amp;I4&amp;" "&amp;J4&amp;K4+1</f>
        <v>Laik Pakai, disarankan untuk diuji ulang pada tanggal 5 Agustus2023</v>
      </c>
    </row>
    <row r="26" spans="1:11" ht="27" customHeight="1" x14ac:dyDescent="0.25">
      <c r="D26" s="1636" t="s">
        <v>555</v>
      </c>
      <c r="E26" s="1636"/>
      <c r="F26" s="1637">
        <f ca="1">TODAY()</f>
        <v>44712</v>
      </c>
      <c r="G26" s="1637"/>
    </row>
    <row r="27" spans="1:11" ht="13.8" x14ac:dyDescent="0.25">
      <c r="D27" s="1624" t="s">
        <v>556</v>
      </c>
      <c r="E27" s="1624"/>
      <c r="F27" s="1624"/>
      <c r="G27" s="1624"/>
    </row>
    <row r="28" spans="1:11" ht="13.8" x14ac:dyDescent="0.25">
      <c r="D28" s="1624" t="s">
        <v>557</v>
      </c>
      <c r="E28" s="1624"/>
      <c r="F28" s="1624"/>
      <c r="G28" s="1624"/>
    </row>
    <row r="29" spans="1:11" ht="13.8" x14ac:dyDescent="0.25">
      <c r="D29" s="1012"/>
      <c r="E29" s="1012"/>
      <c r="F29" s="1012"/>
    </row>
    <row r="30" spans="1:11" ht="13.8" x14ac:dyDescent="0.25">
      <c r="D30" s="1012"/>
      <c r="E30" s="1012"/>
      <c r="F30" s="1012"/>
    </row>
    <row r="31" spans="1:11" ht="13.8" x14ac:dyDescent="0.25">
      <c r="D31" s="1012"/>
      <c r="E31" s="1012"/>
      <c r="F31" s="1012"/>
    </row>
    <row r="32" spans="1:11" ht="13.8" x14ac:dyDescent="0.25">
      <c r="D32" s="1624" t="s">
        <v>558</v>
      </c>
      <c r="E32" s="1624"/>
      <c r="F32" s="1624"/>
      <c r="G32" s="1624"/>
    </row>
    <row r="33" spans="1:7" ht="13.8" x14ac:dyDescent="0.25">
      <c r="D33" s="1635" t="s">
        <v>559</v>
      </c>
      <c r="E33" s="1635"/>
      <c r="F33" s="1635"/>
      <c r="G33" s="1635"/>
    </row>
    <row r="36" spans="1:7" x14ac:dyDescent="0.25">
      <c r="A36" s="1013"/>
      <c r="B36" s="1013"/>
      <c r="C36" s="1013"/>
      <c r="D36" s="1013"/>
      <c r="E36" s="1013"/>
      <c r="F36" s="1013"/>
      <c r="G36" s="1013"/>
    </row>
  </sheetData>
  <sheetProtection algorithmName="SHA-512" hashValue="c5TY4ZIHSgDR+T/pDB4xIeLyGZb73Ky7JzrLykrY/3VxWpcnAfSEf7ysOfXhfSmv7T3w+ec69ulUCJsGTjCOgQ==" saltValue="Qyd30M0VfuD+cQjsKrTUXg==" spinCount="100000" sheet="1" objects="1" scenarios="1"/>
  <mergeCells count="45">
    <mergeCell ref="D32:G32"/>
    <mergeCell ref="D33:G33"/>
    <mergeCell ref="D18:F18"/>
    <mergeCell ref="A23:B23"/>
    <mergeCell ref="D23:G23"/>
    <mergeCell ref="D26:E26"/>
    <mergeCell ref="F26:G26"/>
    <mergeCell ref="D27:G27"/>
    <mergeCell ref="D28:G28"/>
    <mergeCell ref="A20:B20"/>
    <mergeCell ref="D20:G20"/>
    <mergeCell ref="A21:B21"/>
    <mergeCell ref="D21:G21"/>
    <mergeCell ref="A22:B22"/>
    <mergeCell ref="D22:G22"/>
    <mergeCell ref="A17:B17"/>
    <mergeCell ref="D17:G17"/>
    <mergeCell ref="I17:K17"/>
    <mergeCell ref="A18:B18"/>
    <mergeCell ref="A19:B19"/>
    <mergeCell ref="D19:G19"/>
    <mergeCell ref="D14:F14"/>
    <mergeCell ref="J14:K14"/>
    <mergeCell ref="J15:K15"/>
    <mergeCell ref="A16:B16"/>
    <mergeCell ref="D16:G16"/>
    <mergeCell ref="J16:K16"/>
    <mergeCell ref="J13:K13"/>
    <mergeCell ref="A8:B8"/>
    <mergeCell ref="D8:G8"/>
    <mergeCell ref="J8:K8"/>
    <mergeCell ref="A9:B9"/>
    <mergeCell ref="D9:G9"/>
    <mergeCell ref="J9:K9"/>
    <mergeCell ref="A10:B10"/>
    <mergeCell ref="D10:G10"/>
    <mergeCell ref="J10:K10"/>
    <mergeCell ref="A11:B11"/>
    <mergeCell ref="A12:B12"/>
    <mergeCell ref="D6:F6"/>
    <mergeCell ref="A2:G2"/>
    <mergeCell ref="J2:K2"/>
    <mergeCell ref="A3:G3"/>
    <mergeCell ref="D4:G4"/>
    <mergeCell ref="I5:K5"/>
  </mergeCells>
  <dataValidations count="3">
    <dataValidation type="list" allowBlank="1" showInputMessage="1" showErrorMessage="1" sqref="K11:K12" xr:uid="{96D8F04A-E3D2-4E42-8753-22FB8CE432A3}">
      <formula1>$N$2:$N$22</formula1>
    </dataValidation>
    <dataValidation type="list" allowBlank="1" showInputMessage="1" showErrorMessage="1" sqref="G14" xr:uid="{CDF04DF8-BC78-4FC2-8E5A-328EA483E7CC}">
      <formula1>"Negeri,Swasta"</formula1>
    </dataValidation>
    <dataValidation type="list" allowBlank="1" showInputMessage="1" showErrorMessage="1" sqref="A2:G2" xr:uid="{15BD7D32-6DA2-4CE7-B7FE-6F34F5D6318E}">
      <formula1>"SERTIFIKAT KALIBRASI,SERTIFIKAT PENGUJIAN"</formula1>
    </dataValidation>
  </dataValidations>
  <pageMargins left="0.6" right="0.3" top="1.57" bottom="0" header="0.5" footer="0.6"/>
  <pageSetup paperSize="9" scale="89" orientation="portrait" r:id="rId1"/>
  <headerFooter>
    <oddFooter>&amp;L&amp;"Times New Roman,Bold"Sertifikat ini terdiri dari 2 halaman</oddFooter>
  </headerFooter>
  <colBreaks count="1" manualBreakCount="1">
    <brk id="7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C90E3B-43EE-4707-A9FF-9AD7CBAB2183}">
          <x14:formula1>
            <xm:f>'DB SERTIFIKAT NA'!$F$2:$F$13</xm:f>
          </x14:formula1>
          <xm:sqref>J4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3003-9D34-4810-BB50-594A63007560}">
  <sheetPr codeName="Sheet20">
    <tabColor rgb="FFFF0000"/>
  </sheetPr>
  <dimension ref="A2:K33"/>
  <sheetViews>
    <sheetView view="pageBreakPreview" topLeftCell="A10" zoomScaleNormal="100" zoomScaleSheetLayoutView="100" workbookViewId="0">
      <selection activeCell="I22" sqref="I22"/>
    </sheetView>
  </sheetViews>
  <sheetFormatPr defaultColWidth="9.109375" defaultRowHeight="13.2" x14ac:dyDescent="0.25"/>
  <cols>
    <col min="1" max="1" width="4.88671875" style="982" customWidth="1"/>
    <col min="2" max="2" width="19.44140625" style="982" customWidth="1"/>
    <col min="3" max="3" width="1.44140625" style="982" customWidth="1"/>
    <col min="4" max="4" width="12" style="982" customWidth="1"/>
    <col min="5" max="5" width="19" style="982" customWidth="1"/>
    <col min="6" max="7" width="18.6640625" style="982" customWidth="1"/>
    <col min="8" max="8" width="9.109375" style="982"/>
    <col min="9" max="9" width="23" style="982" bestFit="1" customWidth="1"/>
    <col min="10" max="10" width="9.6640625" style="982" bestFit="1" customWidth="1"/>
    <col min="11" max="11" width="8.88671875" style="982" customWidth="1"/>
    <col min="12" max="16384" width="9.109375" style="982"/>
  </cols>
  <sheetData>
    <row r="2" spans="1:11" x14ac:dyDescent="0.25">
      <c r="G2" s="1014" t="str">
        <f>VLOOKUP(B18,'DB SERTIFIKAT NA'!$B$2:$C$73,2,FALSE)</f>
        <v>T.S 014-18 / REV : 1</v>
      </c>
      <c r="I2" s="1015"/>
      <c r="J2" s="1641"/>
      <c r="K2" s="1641"/>
    </row>
    <row r="3" spans="1:11" ht="22.8" x14ac:dyDescent="0.25">
      <c r="A3" s="1642" t="s">
        <v>560</v>
      </c>
      <c r="B3" s="1642"/>
      <c r="C3" s="1642"/>
      <c r="D3" s="1642"/>
      <c r="E3" s="1642"/>
      <c r="F3" s="1642"/>
      <c r="G3" s="1642"/>
      <c r="I3" s="984"/>
      <c r="J3" s="1643"/>
      <c r="K3" s="1644"/>
    </row>
    <row r="4" spans="1:11" ht="15.6" x14ac:dyDescent="0.25">
      <c r="A4" s="1645" t="str">
        <f>"Nomor : 9 /"&amp;" M - "&amp;ID!I2</f>
        <v>Nomor : 9 / M - 2 / II - 20 / E - 015.38 DL</v>
      </c>
      <c r="B4" s="1645"/>
      <c r="C4" s="1645"/>
      <c r="D4" s="1645"/>
      <c r="E4" s="1645"/>
      <c r="F4" s="1645"/>
      <c r="G4" s="1645"/>
      <c r="I4" s="1016"/>
      <c r="J4" s="1017"/>
      <c r="K4" s="1018"/>
    </row>
    <row r="5" spans="1:11" x14ac:dyDescent="0.25">
      <c r="I5" s="1016"/>
      <c r="J5" s="1018"/>
      <c r="K5" s="1018"/>
    </row>
    <row r="6" spans="1:11" x14ac:dyDescent="0.25">
      <c r="I6" s="1019"/>
      <c r="J6" s="1018"/>
      <c r="K6" s="1018"/>
    </row>
    <row r="7" spans="1:11" ht="32.25" customHeight="1" x14ac:dyDescent="0.25">
      <c r="A7" s="1639" t="s">
        <v>561</v>
      </c>
      <c r="B7" s="1639"/>
      <c r="C7" s="1639"/>
      <c r="D7" s="1639"/>
      <c r="E7" s="1639"/>
      <c r="F7" s="1639"/>
      <c r="G7" s="1639"/>
      <c r="I7" s="1019"/>
      <c r="J7" s="1020"/>
      <c r="K7" s="1018"/>
    </row>
    <row r="8" spans="1:11" ht="15.6" x14ac:dyDescent="0.25">
      <c r="A8" s="1021"/>
      <c r="B8" s="1021"/>
      <c r="C8" s="1021"/>
      <c r="D8" s="1021"/>
      <c r="E8" s="1021"/>
      <c r="F8" s="1021"/>
      <c r="G8" s="1021"/>
      <c r="I8" s="1019"/>
      <c r="J8" s="1018"/>
      <c r="K8" s="1018"/>
    </row>
    <row r="9" spans="1:11" x14ac:dyDescent="0.25">
      <c r="I9" s="1019"/>
      <c r="J9" s="1018"/>
      <c r="K9" s="1018"/>
    </row>
    <row r="10" spans="1:11" ht="15.6" x14ac:dyDescent="0.3">
      <c r="A10" s="1022" t="s">
        <v>562</v>
      </c>
      <c r="C10" s="1022" t="s">
        <v>7</v>
      </c>
      <c r="D10" s="1639" t="str">
        <f>'SERTIFIKAT NA'!B14</f>
        <v>RSUD Datu Sanggul</v>
      </c>
      <c r="E10" s="1639"/>
      <c r="F10" s="1639"/>
      <c r="G10" s="1639"/>
      <c r="I10" s="1019"/>
      <c r="J10" s="1640"/>
      <c r="K10" s="1640"/>
    </row>
    <row r="11" spans="1:11" ht="30" customHeight="1" x14ac:dyDescent="0.25">
      <c r="A11" s="1023" t="s">
        <v>563</v>
      </c>
      <c r="C11" s="1023" t="s">
        <v>7</v>
      </c>
      <c r="D11" s="1639" t="str">
        <f>'SERTIFIKAT NA'!D16</f>
        <v>Jalan Brigjend Hasan Basri</v>
      </c>
      <c r="E11" s="1639"/>
      <c r="F11" s="1639"/>
      <c r="G11" s="1639"/>
      <c r="I11" s="1019"/>
      <c r="J11" s="1640"/>
      <c r="K11" s="1640"/>
    </row>
    <row r="12" spans="1:11" ht="15.6" x14ac:dyDescent="0.3">
      <c r="A12" s="1022" t="s">
        <v>564</v>
      </c>
      <c r="C12" s="1022" t="s">
        <v>7</v>
      </c>
      <c r="D12" s="1022" t="str">
        <f>'SERTIFIKAT NA'!G6</f>
        <v>E - 015.38 DL</v>
      </c>
      <c r="I12" s="1019"/>
      <c r="J12" s="1646"/>
      <c r="K12" s="1647"/>
    </row>
    <row r="15" spans="1:11" ht="15.6" x14ac:dyDescent="0.25">
      <c r="A15" s="1024" t="s">
        <v>565</v>
      </c>
      <c r="F15" s="1025"/>
    </row>
    <row r="17" spans="1:7" ht="22.5" customHeight="1" x14ac:dyDescent="0.25">
      <c r="A17" s="1026" t="s">
        <v>100</v>
      </c>
      <c r="B17" s="1026" t="s">
        <v>566</v>
      </c>
      <c r="C17" s="1648" t="s">
        <v>567</v>
      </c>
      <c r="D17" s="1649"/>
      <c r="E17" s="1026" t="s">
        <v>568</v>
      </c>
      <c r="F17" s="1026" t="s">
        <v>569</v>
      </c>
      <c r="G17" s="1026" t="str">
        <f>"Tanggal "&amp;[5]SERTIFIKAT!G19</f>
        <v>Tanggal Kalibrasi</v>
      </c>
    </row>
    <row r="18" spans="1:7" ht="30.75" customHeight="1" x14ac:dyDescent="0.25">
      <c r="A18" s="1027" t="s">
        <v>570</v>
      </c>
      <c r="B18" s="1028" t="str">
        <f>'SERTIFIKAT NA'!B6</f>
        <v>Blood Pressure Monitor</v>
      </c>
      <c r="C18" s="1650" t="str">
        <f>'SERTIFIKAT NA'!D8</f>
        <v>OMRON</v>
      </c>
      <c r="D18" s="1651"/>
      <c r="E18" s="1029" t="str">
        <f>'SERTIFIKAT NA'!D9</f>
        <v>HEM-8712</v>
      </c>
      <c r="F18" s="1030" t="str">
        <f>'SERTIFIKAT NA'!D10</f>
        <v>-</v>
      </c>
      <c r="G18" s="1026">
        <f>'SERTIFIKAT NA'!D19</f>
        <v>44564</v>
      </c>
    </row>
    <row r="19" spans="1:7" ht="15.6" x14ac:dyDescent="0.25">
      <c r="A19" s="1031"/>
      <c r="C19" s="1025"/>
      <c r="D19" s="1025"/>
    </row>
    <row r="21" spans="1:7" ht="30.75" customHeight="1" x14ac:dyDescent="0.25">
      <c r="A21" s="1639" t="s">
        <v>571</v>
      </c>
      <c r="B21" s="1639"/>
      <c r="C21" s="1639"/>
      <c r="D21" s="1639"/>
      <c r="E21" s="1639"/>
      <c r="F21" s="1639"/>
      <c r="G21" s="1639"/>
    </row>
    <row r="23" spans="1:7" ht="15.6" x14ac:dyDescent="0.25">
      <c r="A23" s="1652" t="s">
        <v>572</v>
      </c>
      <c r="B23" s="1652"/>
      <c r="C23" s="1652"/>
      <c r="D23" s="1652"/>
      <c r="E23" s="1652"/>
      <c r="F23" s="1652"/>
      <c r="G23" s="1652"/>
    </row>
    <row r="24" spans="1:7" ht="15.6" x14ac:dyDescent="0.25">
      <c r="A24" s="1032"/>
      <c r="B24" s="1032"/>
      <c r="C24" s="1032"/>
      <c r="D24" s="1032"/>
      <c r="E24" s="1032"/>
      <c r="F24" s="1032"/>
      <c r="G24" s="1032"/>
    </row>
    <row r="26" spans="1:7" ht="15.6" x14ac:dyDescent="0.25">
      <c r="F26" s="1033" t="s">
        <v>573</v>
      </c>
      <c r="G26" s="1034">
        <f ca="1">TODAY()</f>
        <v>44712</v>
      </c>
    </row>
    <row r="27" spans="1:7" ht="15.6" x14ac:dyDescent="0.3">
      <c r="F27" s="1653" t="s">
        <v>574</v>
      </c>
      <c r="G27" s="1653"/>
    </row>
    <row r="32" spans="1:7" ht="15.6" x14ac:dyDescent="0.3">
      <c r="F32" s="1654" t="s">
        <v>558</v>
      </c>
      <c r="G32" s="1654"/>
    </row>
    <row r="33" spans="6:7" ht="15.6" x14ac:dyDescent="0.3">
      <c r="F33" s="1653" t="s">
        <v>559</v>
      </c>
      <c r="G33" s="1653"/>
    </row>
  </sheetData>
  <sheetProtection algorithmName="SHA-512" hashValue="ysX2iBSZtacYvKllG/4j/LSqkFDzDVIONAoWWF5EgsLgAdKAhKfYwvxXwcSeu9fzbrYImKMsGOHBxDeL+zrB0Q==" saltValue="w2I0RFBRcLQ7O6Voa0a4FA==" spinCount="100000" sheet="1" objects="1" scenarios="1"/>
  <mergeCells count="17">
    <mergeCell ref="A23:G23"/>
    <mergeCell ref="F27:G27"/>
    <mergeCell ref="F32:G32"/>
    <mergeCell ref="F33:G33"/>
    <mergeCell ref="D11:G11"/>
    <mergeCell ref="J11:K11"/>
    <mergeCell ref="J12:K12"/>
    <mergeCell ref="C17:D17"/>
    <mergeCell ref="C18:D18"/>
    <mergeCell ref="A21:G21"/>
    <mergeCell ref="D10:G10"/>
    <mergeCell ref="J10:K10"/>
    <mergeCell ref="J2:K2"/>
    <mergeCell ref="A3:G3"/>
    <mergeCell ref="J3:K3"/>
    <mergeCell ref="A4:G4"/>
    <mergeCell ref="A7:G7"/>
  </mergeCells>
  <pageMargins left="0.6" right="0.3" top="1.5" bottom="0.75" header="0.3" footer="0.3"/>
  <pageSetup paperSize="9" scale="99" orientation="portrait" r:id="rId1"/>
  <colBreaks count="1" manualBreakCount="1">
    <brk id="7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C122-AE5E-4530-82A7-E8469545227F}">
  <sheetPr codeName="Sheet21"/>
  <dimension ref="A1:O73"/>
  <sheetViews>
    <sheetView topLeftCell="C1" workbookViewId="0">
      <selection activeCell="F17" sqref="F17"/>
    </sheetView>
  </sheetViews>
  <sheetFormatPr defaultColWidth="9.109375" defaultRowHeight="13.2" x14ac:dyDescent="0.25"/>
  <cols>
    <col min="1" max="1" width="9.109375" style="982"/>
    <col min="2" max="2" width="30.33203125" style="982" bestFit="1" customWidth="1"/>
    <col min="3" max="3" width="24.5546875" style="982" bestFit="1" customWidth="1"/>
    <col min="4" max="4" width="32.5546875" style="982" bestFit="1" customWidth="1"/>
    <col min="5" max="5" width="9.88671875" style="982" customWidth="1"/>
    <col min="6" max="6" width="30.109375" style="982" bestFit="1" customWidth="1"/>
    <col min="7" max="7" width="9.109375" style="982"/>
    <col min="8" max="8" width="15.44140625" style="982" bestFit="1" customWidth="1"/>
    <col min="9" max="9" width="9.109375" style="982"/>
    <col min="10" max="10" width="11.6640625" style="982" bestFit="1" customWidth="1"/>
    <col min="11" max="16384" width="9.109375" style="982"/>
  </cols>
  <sheetData>
    <row r="1" spans="1:15" ht="13.8" x14ac:dyDescent="0.25">
      <c r="A1" s="1035" t="s">
        <v>39</v>
      </c>
      <c r="B1" s="1035" t="s">
        <v>566</v>
      </c>
      <c r="C1" s="1035" t="s">
        <v>575</v>
      </c>
      <c r="D1" s="1036" t="s">
        <v>576</v>
      </c>
      <c r="E1" s="1037"/>
      <c r="F1" s="1038" t="s">
        <v>532</v>
      </c>
      <c r="H1" s="1037"/>
      <c r="J1" s="1037"/>
    </row>
    <row r="2" spans="1:15" ht="13.8" x14ac:dyDescent="0.25">
      <c r="A2" s="1039">
        <v>1</v>
      </c>
      <c r="B2" s="1039" t="s">
        <v>577</v>
      </c>
      <c r="C2" s="1039" t="s">
        <v>578</v>
      </c>
      <c r="D2" s="1040" t="s">
        <v>579</v>
      </c>
      <c r="F2" s="1041" t="s">
        <v>580</v>
      </c>
    </row>
    <row r="3" spans="1:15" ht="13.8" x14ac:dyDescent="0.25">
      <c r="A3" s="1039">
        <v>2</v>
      </c>
      <c r="B3" s="1039" t="s">
        <v>581</v>
      </c>
      <c r="C3" s="1039" t="s">
        <v>582</v>
      </c>
      <c r="D3" s="1039" t="s">
        <v>583</v>
      </c>
      <c r="F3" s="1041" t="s">
        <v>584</v>
      </c>
    </row>
    <row r="4" spans="1:15" ht="13.8" x14ac:dyDescent="0.25">
      <c r="A4" s="1039">
        <v>3</v>
      </c>
      <c r="B4" s="1039" t="s">
        <v>585</v>
      </c>
      <c r="C4" s="1039" t="s">
        <v>586</v>
      </c>
      <c r="D4" s="1039" t="s">
        <v>587</v>
      </c>
      <c r="F4" s="1041" t="s">
        <v>588</v>
      </c>
    </row>
    <row r="5" spans="1:15" ht="13.8" x14ac:dyDescent="0.25">
      <c r="A5" s="1039">
        <v>4</v>
      </c>
      <c r="B5" s="1039" t="s">
        <v>589</v>
      </c>
      <c r="C5" s="1039" t="s">
        <v>590</v>
      </c>
      <c r="D5" s="1040" t="s">
        <v>591</v>
      </c>
      <c r="F5" s="1041" t="s">
        <v>592</v>
      </c>
      <c r="H5" s="1042"/>
    </row>
    <row r="6" spans="1:15" ht="13.8" x14ac:dyDescent="0.25">
      <c r="A6" s="1039">
        <v>5</v>
      </c>
      <c r="B6" s="1039" t="s">
        <v>593</v>
      </c>
      <c r="C6" s="1039" t="s">
        <v>594</v>
      </c>
      <c r="D6" s="1040" t="s">
        <v>595</v>
      </c>
      <c r="F6" s="1041" t="s">
        <v>596</v>
      </c>
    </row>
    <row r="7" spans="1:15" ht="13.8" x14ac:dyDescent="0.25">
      <c r="A7" s="1039">
        <v>6</v>
      </c>
      <c r="B7" s="1039" t="s">
        <v>597</v>
      </c>
      <c r="C7" s="1039" t="s">
        <v>598</v>
      </c>
      <c r="D7" s="1040" t="s">
        <v>599</v>
      </c>
      <c r="F7" s="1041" t="s">
        <v>600</v>
      </c>
    </row>
    <row r="8" spans="1:15" ht="13.8" x14ac:dyDescent="0.25">
      <c r="A8" s="1039">
        <v>7</v>
      </c>
      <c r="B8" s="1039" t="s">
        <v>601</v>
      </c>
      <c r="C8" s="1039" t="s">
        <v>602</v>
      </c>
      <c r="D8" s="1040" t="s">
        <v>603</v>
      </c>
      <c r="F8" s="1041" t="s">
        <v>604</v>
      </c>
    </row>
    <row r="9" spans="1:15" ht="13.8" x14ac:dyDescent="0.25">
      <c r="A9" s="1039">
        <v>8</v>
      </c>
      <c r="B9" s="1039" t="s">
        <v>605</v>
      </c>
      <c r="C9" s="1039" t="s">
        <v>606</v>
      </c>
      <c r="D9" s="1039" t="s">
        <v>607</v>
      </c>
      <c r="F9" s="1041" t="s">
        <v>535</v>
      </c>
    </row>
    <row r="10" spans="1:15" ht="13.8" x14ac:dyDescent="0.25">
      <c r="A10" s="1039">
        <v>9</v>
      </c>
      <c r="B10" s="1039" t="s">
        <v>608</v>
      </c>
      <c r="C10" s="1039" t="s">
        <v>609</v>
      </c>
      <c r="D10" s="1040" t="s">
        <v>610</v>
      </c>
      <c r="F10" s="1041" t="s">
        <v>611</v>
      </c>
      <c r="H10" s="1042"/>
    </row>
    <row r="11" spans="1:15" ht="13.8" x14ac:dyDescent="0.25">
      <c r="A11" s="1039">
        <v>10</v>
      </c>
      <c r="B11" s="1039" t="s">
        <v>612</v>
      </c>
      <c r="C11" s="1039" t="s">
        <v>613</v>
      </c>
      <c r="D11" s="1039" t="s">
        <v>614</v>
      </c>
      <c r="F11" s="1041" t="s">
        <v>615</v>
      </c>
      <c r="L11" s="1043"/>
      <c r="M11" s="1044"/>
      <c r="N11" s="1043"/>
      <c r="O11" s="1044"/>
    </row>
    <row r="12" spans="1:15" ht="13.8" x14ac:dyDescent="0.25">
      <c r="A12" s="1039">
        <v>11</v>
      </c>
      <c r="B12" s="1039" t="s">
        <v>616</v>
      </c>
      <c r="C12" s="1039" t="s">
        <v>613</v>
      </c>
      <c r="D12" s="1039" t="s">
        <v>614</v>
      </c>
      <c r="F12" s="1041" t="s">
        <v>617</v>
      </c>
      <c r="H12" s="1045"/>
    </row>
    <row r="13" spans="1:15" ht="13.8" x14ac:dyDescent="0.25">
      <c r="A13" s="1039">
        <v>12</v>
      </c>
      <c r="B13" s="1039" t="s">
        <v>618</v>
      </c>
      <c r="C13" s="1039" t="s">
        <v>619</v>
      </c>
      <c r="D13" s="1040" t="s">
        <v>620</v>
      </c>
      <c r="F13" s="1041" t="s">
        <v>621</v>
      </c>
    </row>
    <row r="14" spans="1:15" ht="13.8" x14ac:dyDescent="0.25">
      <c r="A14" s="1039">
        <v>13</v>
      </c>
      <c r="B14" s="1039" t="s">
        <v>622</v>
      </c>
      <c r="C14" s="1039" t="s">
        <v>623</v>
      </c>
      <c r="D14" s="1040" t="s">
        <v>624</v>
      </c>
    </row>
    <row r="15" spans="1:15" ht="13.8" x14ac:dyDescent="0.25">
      <c r="A15" s="1039">
        <v>14</v>
      </c>
      <c r="B15" s="1039" t="s">
        <v>625</v>
      </c>
      <c r="C15" s="1039" t="s">
        <v>626</v>
      </c>
      <c r="D15" s="1040" t="s">
        <v>627</v>
      </c>
      <c r="L15" s="1043"/>
      <c r="M15" s="1043"/>
      <c r="N15" s="1043"/>
      <c r="O15" s="1044"/>
    </row>
    <row r="16" spans="1:15" ht="13.8" x14ac:dyDescent="0.25">
      <c r="A16" s="1039">
        <v>15</v>
      </c>
      <c r="B16" s="1039" t="s">
        <v>628</v>
      </c>
      <c r="C16" s="1039" t="s">
        <v>629</v>
      </c>
      <c r="D16" s="1040" t="s">
        <v>630</v>
      </c>
      <c r="L16" s="1043"/>
      <c r="M16" s="1043"/>
    </row>
    <row r="17" spans="1:14" ht="13.8" x14ac:dyDescent="0.25">
      <c r="A17" s="1039">
        <v>16</v>
      </c>
      <c r="B17" s="1039" t="s">
        <v>631</v>
      </c>
      <c r="C17" s="1039" t="s">
        <v>626</v>
      </c>
      <c r="D17" s="1040" t="s">
        <v>627</v>
      </c>
    </row>
    <row r="18" spans="1:14" ht="13.8" x14ac:dyDescent="0.25">
      <c r="A18" s="1039">
        <v>17</v>
      </c>
      <c r="B18" s="1039" t="s">
        <v>632</v>
      </c>
      <c r="C18" s="1039" t="s">
        <v>633</v>
      </c>
      <c r="D18" s="1039" t="s">
        <v>634</v>
      </c>
    </row>
    <row r="19" spans="1:14" ht="13.8" x14ac:dyDescent="0.25">
      <c r="A19" s="1039">
        <v>18</v>
      </c>
      <c r="B19" s="1039" t="s">
        <v>635</v>
      </c>
      <c r="C19" s="1039" t="s">
        <v>636</v>
      </c>
      <c r="D19" s="1040" t="s">
        <v>637</v>
      </c>
    </row>
    <row r="20" spans="1:14" ht="13.8" x14ac:dyDescent="0.25">
      <c r="A20" s="1039">
        <v>19</v>
      </c>
      <c r="B20" s="1039" t="s">
        <v>638</v>
      </c>
      <c r="C20" s="1039" t="s">
        <v>639</v>
      </c>
      <c r="D20" s="1040" t="s">
        <v>640</v>
      </c>
    </row>
    <row r="21" spans="1:14" ht="13.8" x14ac:dyDescent="0.25">
      <c r="A21" s="1039">
        <v>20</v>
      </c>
      <c r="B21" s="1039" t="s">
        <v>641</v>
      </c>
      <c r="C21" s="1039" t="s">
        <v>642</v>
      </c>
      <c r="D21" s="1039" t="s">
        <v>643</v>
      </c>
    </row>
    <row r="22" spans="1:14" ht="13.8" x14ac:dyDescent="0.25">
      <c r="A22" s="1039">
        <v>21</v>
      </c>
      <c r="B22" s="1039" t="s">
        <v>644</v>
      </c>
      <c r="C22" s="1039" t="s">
        <v>645</v>
      </c>
      <c r="D22" s="1039" t="s">
        <v>646</v>
      </c>
    </row>
    <row r="23" spans="1:14" ht="13.8" x14ac:dyDescent="0.25">
      <c r="A23" s="1039">
        <v>22</v>
      </c>
      <c r="B23" s="1039" t="s">
        <v>647</v>
      </c>
      <c r="C23" s="1039" t="s">
        <v>648</v>
      </c>
      <c r="D23" s="1040" t="s">
        <v>649</v>
      </c>
    </row>
    <row r="24" spans="1:14" ht="13.8" x14ac:dyDescent="0.25">
      <c r="A24" s="1039">
        <v>23</v>
      </c>
      <c r="B24" s="1039" t="s">
        <v>650</v>
      </c>
      <c r="C24" s="1039" t="s">
        <v>651</v>
      </c>
      <c r="D24" s="1040" t="s">
        <v>652</v>
      </c>
    </row>
    <row r="25" spans="1:14" ht="13.8" x14ac:dyDescent="0.25">
      <c r="A25" s="1039">
        <v>24</v>
      </c>
      <c r="B25" s="1039" t="s">
        <v>653</v>
      </c>
      <c r="C25" s="1039" t="s">
        <v>654</v>
      </c>
      <c r="D25" s="1040" t="s">
        <v>655</v>
      </c>
      <c r="G25" s="1044"/>
      <c r="K25" s="1043"/>
      <c r="L25" s="1044"/>
      <c r="M25" s="1043"/>
      <c r="N25" s="1044"/>
    </row>
    <row r="26" spans="1:14" ht="13.8" x14ac:dyDescent="0.25">
      <c r="A26" s="1039">
        <v>25</v>
      </c>
      <c r="B26" s="1039" t="s">
        <v>656</v>
      </c>
      <c r="C26" s="1039" t="s">
        <v>657</v>
      </c>
      <c r="D26" s="1039" t="s">
        <v>658</v>
      </c>
    </row>
    <row r="27" spans="1:14" ht="13.8" x14ac:dyDescent="0.25">
      <c r="A27" s="1039">
        <v>26</v>
      </c>
      <c r="B27" s="1039" t="s">
        <v>659</v>
      </c>
      <c r="C27" s="1039" t="s">
        <v>660</v>
      </c>
      <c r="D27" s="1039" t="s">
        <v>661</v>
      </c>
      <c r="F27" s="1043"/>
      <c r="G27" s="1044"/>
    </row>
    <row r="28" spans="1:14" ht="13.8" x14ac:dyDescent="0.25">
      <c r="A28" s="1039">
        <v>27</v>
      </c>
      <c r="B28" s="1039" t="s">
        <v>662</v>
      </c>
      <c r="C28" s="1039"/>
      <c r="D28" s="1039"/>
    </row>
    <row r="29" spans="1:14" ht="13.8" x14ac:dyDescent="0.25">
      <c r="A29" s="1039">
        <v>28</v>
      </c>
      <c r="B29" s="1039" t="s">
        <v>663</v>
      </c>
      <c r="C29" s="1039" t="s">
        <v>664</v>
      </c>
      <c r="D29" s="1040" t="s">
        <v>665</v>
      </c>
    </row>
    <row r="30" spans="1:14" ht="13.8" x14ac:dyDescent="0.25">
      <c r="A30" s="1039">
        <v>29</v>
      </c>
      <c r="B30" s="1039" t="s">
        <v>666</v>
      </c>
      <c r="C30" s="1039" t="s">
        <v>667</v>
      </c>
      <c r="D30" s="1040" t="s">
        <v>668</v>
      </c>
      <c r="F30" s="1043"/>
      <c r="G30" s="1044"/>
    </row>
    <row r="31" spans="1:14" ht="13.8" x14ac:dyDescent="0.25">
      <c r="A31" s="1039">
        <v>30</v>
      </c>
      <c r="B31" s="1039" t="s">
        <v>669</v>
      </c>
      <c r="C31" s="1039" t="s">
        <v>670</v>
      </c>
      <c r="D31" s="1039" t="s">
        <v>671</v>
      </c>
      <c r="G31" s="1043"/>
    </row>
    <row r="32" spans="1:14" ht="13.8" x14ac:dyDescent="0.25">
      <c r="A32" s="1039">
        <v>31</v>
      </c>
      <c r="B32" s="1039" t="s">
        <v>672</v>
      </c>
      <c r="C32" s="1039" t="s">
        <v>673</v>
      </c>
      <c r="D32" s="1039" t="s">
        <v>674</v>
      </c>
      <c r="G32" s="1043"/>
    </row>
    <row r="33" spans="1:7" ht="13.8" x14ac:dyDescent="0.25">
      <c r="A33" s="1039">
        <v>32</v>
      </c>
      <c r="B33" s="1039" t="s">
        <v>675</v>
      </c>
      <c r="C33" s="1039" t="s">
        <v>676</v>
      </c>
      <c r="D33" s="1039" t="s">
        <v>677</v>
      </c>
      <c r="F33" s="1043"/>
      <c r="G33" s="1043"/>
    </row>
    <row r="34" spans="1:7" ht="13.8" x14ac:dyDescent="0.25">
      <c r="A34" s="1039">
        <v>33</v>
      </c>
      <c r="B34" s="1039" t="s">
        <v>678</v>
      </c>
      <c r="C34" s="1039" t="s">
        <v>679</v>
      </c>
      <c r="D34" s="1040" t="s">
        <v>680</v>
      </c>
      <c r="F34" s="1043"/>
      <c r="G34" s="1043"/>
    </row>
    <row r="35" spans="1:7" ht="13.8" x14ac:dyDescent="0.25">
      <c r="A35" s="1039">
        <v>34</v>
      </c>
      <c r="B35" s="1039" t="s">
        <v>681</v>
      </c>
      <c r="C35" s="1039" t="s">
        <v>682</v>
      </c>
      <c r="D35" s="1039" t="s">
        <v>683</v>
      </c>
      <c r="G35" s="1043"/>
    </row>
    <row r="36" spans="1:7" ht="13.8" x14ac:dyDescent="0.25">
      <c r="A36" s="1039">
        <v>35</v>
      </c>
      <c r="B36" s="1039" t="s">
        <v>684</v>
      </c>
      <c r="C36" s="1039" t="s">
        <v>685</v>
      </c>
      <c r="D36" s="1040" t="s">
        <v>686</v>
      </c>
      <c r="G36" s="1043"/>
    </row>
    <row r="37" spans="1:7" ht="13.8" x14ac:dyDescent="0.25">
      <c r="A37" s="1039">
        <v>36</v>
      </c>
      <c r="B37" s="1039" t="s">
        <v>687</v>
      </c>
      <c r="C37" s="1039" t="s">
        <v>688</v>
      </c>
      <c r="D37" s="1039" t="s">
        <v>689</v>
      </c>
      <c r="G37" s="1043"/>
    </row>
    <row r="38" spans="1:7" ht="13.8" x14ac:dyDescent="0.25">
      <c r="A38" s="1039">
        <v>37</v>
      </c>
      <c r="B38" s="1039" t="s">
        <v>690</v>
      </c>
      <c r="C38" s="1039" t="s">
        <v>691</v>
      </c>
      <c r="D38" s="1039" t="s">
        <v>692</v>
      </c>
      <c r="G38" s="1043"/>
    </row>
    <row r="39" spans="1:7" ht="13.8" x14ac:dyDescent="0.25">
      <c r="A39" s="1039">
        <v>38</v>
      </c>
      <c r="B39" s="1039" t="s">
        <v>693</v>
      </c>
      <c r="C39" s="1039" t="s">
        <v>694</v>
      </c>
      <c r="D39" s="1040" t="s">
        <v>695</v>
      </c>
      <c r="F39" s="1043"/>
      <c r="G39" s="1044"/>
    </row>
    <row r="40" spans="1:7" ht="13.8" x14ac:dyDescent="0.25">
      <c r="A40" s="1039">
        <v>39</v>
      </c>
      <c r="B40" s="1039" t="s">
        <v>696</v>
      </c>
      <c r="C40" s="1039" t="s">
        <v>697</v>
      </c>
      <c r="D40" s="1039" t="s">
        <v>698</v>
      </c>
    </row>
    <row r="41" spans="1:7" ht="13.8" x14ac:dyDescent="0.25">
      <c r="A41" s="1039">
        <v>40</v>
      </c>
      <c r="B41" s="1039" t="s">
        <v>699</v>
      </c>
      <c r="C41" s="1039" t="s">
        <v>700</v>
      </c>
      <c r="D41" s="1039" t="s">
        <v>701</v>
      </c>
    </row>
    <row r="42" spans="1:7" ht="13.8" x14ac:dyDescent="0.25">
      <c r="A42" s="1039">
        <v>41</v>
      </c>
      <c r="B42" s="1039" t="s">
        <v>702</v>
      </c>
      <c r="C42" s="1039" t="s">
        <v>703</v>
      </c>
      <c r="D42" s="1039" t="s">
        <v>704</v>
      </c>
    </row>
    <row r="43" spans="1:7" ht="13.8" x14ac:dyDescent="0.25">
      <c r="A43" s="1039">
        <v>42</v>
      </c>
      <c r="B43" s="1039" t="s">
        <v>705</v>
      </c>
      <c r="C43" s="1039" t="s">
        <v>706</v>
      </c>
      <c r="D43" s="1039" t="s">
        <v>707</v>
      </c>
    </row>
    <row r="44" spans="1:7" ht="13.8" x14ac:dyDescent="0.25">
      <c r="A44" s="1039">
        <v>43</v>
      </c>
      <c r="B44" s="1039" t="s">
        <v>708</v>
      </c>
      <c r="C44" s="1039"/>
      <c r="D44" s="1039"/>
    </row>
    <row r="45" spans="1:7" ht="13.8" x14ac:dyDescent="0.25">
      <c r="A45" s="1039">
        <v>44</v>
      </c>
      <c r="B45" s="1039" t="s">
        <v>709</v>
      </c>
      <c r="C45" s="1039" t="s">
        <v>710</v>
      </c>
      <c r="D45" s="1040" t="s">
        <v>711</v>
      </c>
    </row>
    <row r="46" spans="1:7" ht="13.8" x14ac:dyDescent="0.25">
      <c r="A46" s="1039">
        <v>45</v>
      </c>
      <c r="B46" s="1039" t="s">
        <v>712</v>
      </c>
      <c r="C46" s="1039" t="s">
        <v>713</v>
      </c>
      <c r="D46" s="1040" t="s">
        <v>714</v>
      </c>
    </row>
    <row r="47" spans="1:7" ht="13.8" x14ac:dyDescent="0.25">
      <c r="A47" s="1039">
        <v>46</v>
      </c>
      <c r="B47" s="1039" t="s">
        <v>715</v>
      </c>
      <c r="C47" s="1039" t="s">
        <v>716</v>
      </c>
      <c r="D47" s="1039" t="s">
        <v>717</v>
      </c>
    </row>
    <row r="48" spans="1:7" ht="13.8" x14ac:dyDescent="0.25">
      <c r="A48" s="1039">
        <v>47</v>
      </c>
      <c r="B48" s="1039" t="s">
        <v>718</v>
      </c>
      <c r="C48" s="1039" t="s">
        <v>719</v>
      </c>
      <c r="D48" s="1040" t="s">
        <v>720</v>
      </c>
    </row>
    <row r="49" spans="1:7" ht="13.8" x14ac:dyDescent="0.25">
      <c r="A49" s="1039">
        <v>48</v>
      </c>
      <c r="B49" s="1039" t="s">
        <v>721</v>
      </c>
      <c r="C49" s="1039"/>
      <c r="D49" s="1039"/>
    </row>
    <row r="50" spans="1:7" ht="13.8" x14ac:dyDescent="0.25">
      <c r="A50" s="1039">
        <v>49</v>
      </c>
      <c r="B50" s="1039" t="s">
        <v>722</v>
      </c>
      <c r="C50" s="1039" t="s">
        <v>723</v>
      </c>
      <c r="D50" s="1040" t="s">
        <v>724</v>
      </c>
      <c r="F50" s="1043"/>
      <c r="G50" s="1044"/>
    </row>
    <row r="51" spans="1:7" ht="13.8" x14ac:dyDescent="0.25">
      <c r="A51" s="1039">
        <v>50</v>
      </c>
      <c r="B51" s="1039" t="s">
        <v>725</v>
      </c>
      <c r="C51" s="1039" t="s">
        <v>726</v>
      </c>
      <c r="D51" s="1039" t="s">
        <v>727</v>
      </c>
    </row>
    <row r="52" spans="1:7" ht="13.8" x14ac:dyDescent="0.25">
      <c r="A52" s="1039">
        <v>51</v>
      </c>
      <c r="B52" s="1039" t="s">
        <v>728</v>
      </c>
      <c r="C52" s="1039" t="s">
        <v>729</v>
      </c>
      <c r="D52" s="1040" t="s">
        <v>730</v>
      </c>
      <c r="F52" s="1043"/>
      <c r="G52" s="1044"/>
    </row>
    <row r="53" spans="1:7" ht="13.8" x14ac:dyDescent="0.25">
      <c r="A53" s="1039">
        <v>52</v>
      </c>
      <c r="B53" s="1039" t="s">
        <v>731</v>
      </c>
      <c r="C53" s="1039" t="s">
        <v>732</v>
      </c>
      <c r="D53" s="1040" t="s">
        <v>733</v>
      </c>
    </row>
    <row r="54" spans="1:7" ht="13.8" x14ac:dyDescent="0.25">
      <c r="A54" s="1039">
        <v>53</v>
      </c>
      <c r="B54" s="1039" t="s">
        <v>734</v>
      </c>
      <c r="C54" s="1039" t="s">
        <v>735</v>
      </c>
      <c r="D54" s="1039" t="s">
        <v>736</v>
      </c>
    </row>
    <row r="55" spans="1:7" ht="13.8" x14ac:dyDescent="0.25">
      <c r="A55" s="1039">
        <v>54</v>
      </c>
      <c r="B55" s="1039" t="s">
        <v>737</v>
      </c>
      <c r="C55" s="1039" t="s">
        <v>735</v>
      </c>
      <c r="D55" s="1039" t="s">
        <v>736</v>
      </c>
    </row>
    <row r="56" spans="1:7" ht="13.8" x14ac:dyDescent="0.25">
      <c r="A56" s="1039">
        <v>55</v>
      </c>
      <c r="B56" s="1039" t="s">
        <v>738</v>
      </c>
      <c r="C56" s="1039" t="s">
        <v>645</v>
      </c>
      <c r="D56" s="1039" t="s">
        <v>739</v>
      </c>
    </row>
    <row r="57" spans="1:7" ht="13.8" x14ac:dyDescent="0.25">
      <c r="A57" s="1039">
        <v>56</v>
      </c>
      <c r="B57" s="1039" t="s">
        <v>740</v>
      </c>
      <c r="C57" s="1039" t="s">
        <v>741</v>
      </c>
      <c r="D57" s="1040" t="s">
        <v>742</v>
      </c>
      <c r="F57" s="1043"/>
      <c r="G57" s="1044"/>
    </row>
    <row r="58" spans="1:7" ht="13.8" x14ac:dyDescent="0.25">
      <c r="A58" s="1039">
        <v>57</v>
      </c>
      <c r="B58" s="1039" t="s">
        <v>743</v>
      </c>
      <c r="C58" s="1039"/>
      <c r="D58" s="1039"/>
    </row>
    <row r="59" spans="1:7" ht="13.8" x14ac:dyDescent="0.25">
      <c r="A59" s="1039">
        <v>58</v>
      </c>
      <c r="B59" s="1039" t="s">
        <v>744</v>
      </c>
      <c r="C59" s="1039" t="s">
        <v>745</v>
      </c>
      <c r="D59" s="1039" t="s">
        <v>746</v>
      </c>
    </row>
    <row r="60" spans="1:7" ht="13.8" x14ac:dyDescent="0.25">
      <c r="A60" s="1039">
        <v>59</v>
      </c>
      <c r="B60" s="1039" t="s">
        <v>747</v>
      </c>
      <c r="C60" s="1039"/>
      <c r="D60" s="1039"/>
    </row>
    <row r="61" spans="1:7" ht="13.8" x14ac:dyDescent="0.25">
      <c r="A61" s="1039">
        <v>60</v>
      </c>
      <c r="B61" s="1039" t="s">
        <v>748</v>
      </c>
      <c r="C61" s="1039" t="s">
        <v>749</v>
      </c>
      <c r="D61" s="1040" t="s">
        <v>750</v>
      </c>
    </row>
    <row r="62" spans="1:7" ht="13.8" x14ac:dyDescent="0.25">
      <c r="A62" s="1039">
        <v>61</v>
      </c>
      <c r="B62" s="1039" t="s">
        <v>751</v>
      </c>
      <c r="C62" s="1039" t="s">
        <v>752</v>
      </c>
      <c r="D62" s="1039" t="s">
        <v>753</v>
      </c>
    </row>
    <row r="63" spans="1:7" ht="13.8" x14ac:dyDescent="0.25">
      <c r="A63" s="1039">
        <v>62</v>
      </c>
      <c r="B63" s="1039" t="s">
        <v>754</v>
      </c>
      <c r="C63" s="1039" t="s">
        <v>755</v>
      </c>
      <c r="D63" s="1040" t="s">
        <v>756</v>
      </c>
    </row>
    <row r="64" spans="1:7" ht="13.8" x14ac:dyDescent="0.25">
      <c r="A64" s="1039">
        <v>63</v>
      </c>
      <c r="B64" s="1039" t="s">
        <v>757</v>
      </c>
      <c r="C64" s="1039" t="s">
        <v>758</v>
      </c>
      <c r="D64" s="1039" t="s">
        <v>759</v>
      </c>
    </row>
    <row r="65" spans="1:4" ht="13.8" x14ac:dyDescent="0.25">
      <c r="A65" s="1039">
        <v>64</v>
      </c>
      <c r="B65" s="1039" t="s">
        <v>760</v>
      </c>
      <c r="C65" s="1039"/>
      <c r="D65" s="1039"/>
    </row>
    <row r="66" spans="1:4" ht="13.8" x14ac:dyDescent="0.25">
      <c r="A66" s="1039">
        <v>65</v>
      </c>
      <c r="B66" s="1039" t="s">
        <v>761</v>
      </c>
      <c r="C66" s="1039"/>
      <c r="D66" s="1039"/>
    </row>
    <row r="67" spans="1:4" ht="13.8" x14ac:dyDescent="0.25">
      <c r="A67" s="1039">
        <v>66</v>
      </c>
      <c r="B67" s="1039" t="s">
        <v>762</v>
      </c>
      <c r="C67" s="1039"/>
      <c r="D67" s="1039"/>
    </row>
    <row r="68" spans="1:4" ht="13.8" x14ac:dyDescent="0.25">
      <c r="A68" s="1039">
        <v>67</v>
      </c>
      <c r="B68" s="1039" t="s">
        <v>763</v>
      </c>
      <c r="C68" s="1039"/>
      <c r="D68" s="1039"/>
    </row>
    <row r="69" spans="1:4" ht="13.8" x14ac:dyDescent="0.25">
      <c r="A69" s="1039">
        <v>68</v>
      </c>
      <c r="B69" s="1039" t="s">
        <v>764</v>
      </c>
      <c r="C69" s="1039" t="s">
        <v>765</v>
      </c>
      <c r="D69" s="1039" t="s">
        <v>766</v>
      </c>
    </row>
    <row r="70" spans="1:4" ht="14.4" x14ac:dyDescent="0.3">
      <c r="A70" s="1039">
        <v>71</v>
      </c>
      <c r="B70" s="1039" t="s">
        <v>767</v>
      </c>
      <c r="C70" s="1039" t="s">
        <v>629</v>
      </c>
      <c r="D70" s="1040" t="s">
        <v>630</v>
      </c>
    </row>
    <row r="71" spans="1:4" ht="13.8" x14ac:dyDescent="0.25">
      <c r="A71" s="1039">
        <v>70</v>
      </c>
      <c r="B71" s="1039" t="s">
        <v>768</v>
      </c>
      <c r="C71" s="1039" t="s">
        <v>769</v>
      </c>
      <c r="D71" s="1039" t="s">
        <v>630</v>
      </c>
    </row>
    <row r="72" spans="1:4" ht="13.8" x14ac:dyDescent="0.25">
      <c r="A72" s="1039">
        <v>76</v>
      </c>
      <c r="B72" s="1039" t="s">
        <v>770</v>
      </c>
      <c r="C72" s="1039" t="s">
        <v>771</v>
      </c>
      <c r="D72" s="1040" t="s">
        <v>772</v>
      </c>
    </row>
    <row r="73" spans="1:4" ht="13.8" x14ac:dyDescent="0.25">
      <c r="A73" s="1039">
        <v>78</v>
      </c>
      <c r="B73" s="1039" t="s">
        <v>538</v>
      </c>
      <c r="C73" s="1039" t="s">
        <v>773</v>
      </c>
      <c r="D73" s="1039" t="s">
        <v>774</v>
      </c>
    </row>
  </sheetData>
  <sheetProtection algorithmName="SHA-512" hashValue="wetwAUMwdMCrHP/a7eONzwTjWpMSy092+hCcJWGecgr6piTf6MIBwkyVf9DpkuZ2MK7T9wHq4c3dcPnH5GR/EA==" saltValue="p0bU38W9TrzglC77hSfQV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B1:CH204"/>
  <sheetViews>
    <sheetView topLeftCell="AF1" zoomScale="90" zoomScaleNormal="90" workbookViewId="0">
      <selection activeCell="AL32" sqref="AL32"/>
    </sheetView>
  </sheetViews>
  <sheetFormatPr defaultColWidth="9.109375" defaultRowHeight="13.2" x14ac:dyDescent="0.25"/>
  <cols>
    <col min="1" max="13" width="9.109375" style="1"/>
    <col min="14" max="14" width="10.6640625" style="1" bestFit="1" customWidth="1"/>
    <col min="15" max="15" width="9.109375" style="43"/>
    <col min="16" max="16" width="9.109375" style="771"/>
    <col min="17" max="18" width="12.5546875" style="772" customWidth="1"/>
    <col min="19" max="19" width="16" style="44" customWidth="1"/>
    <col min="20" max="20" width="13.109375" style="4" customWidth="1"/>
    <col min="21" max="21" width="13.109375" style="792" customWidth="1"/>
    <col min="22" max="22" width="13.33203125" style="792" customWidth="1"/>
    <col min="23" max="23" width="14.88671875" style="792" customWidth="1"/>
    <col min="24" max="24" width="12.6640625" style="44" customWidth="1"/>
    <col min="25" max="25" width="13.109375" style="4" customWidth="1"/>
    <col min="26" max="26" width="85" style="1" customWidth="1"/>
    <col min="27" max="27" width="74.88671875" style="1" customWidth="1"/>
    <col min="28" max="33" width="10.44140625" style="1" customWidth="1"/>
    <col min="34" max="35" width="13" style="1" customWidth="1"/>
    <col min="36" max="36" width="11.88671875" style="1" customWidth="1"/>
    <col min="37" max="37" width="13.33203125" style="1" customWidth="1"/>
    <col min="38" max="39" width="12.109375" style="1" customWidth="1"/>
    <col min="40" max="40" width="14" style="1" customWidth="1"/>
    <col min="41" max="43" width="13.88671875" style="1" customWidth="1"/>
    <col min="44" max="44" width="45.5546875" style="1" customWidth="1"/>
    <col min="45" max="81" width="9.109375" style="1" customWidth="1"/>
    <col min="82" max="85" width="9.109375" style="1"/>
    <col min="86" max="86" width="6.88671875" style="1" customWidth="1"/>
    <col min="87" max="16384" width="9.109375" style="1"/>
  </cols>
  <sheetData>
    <row r="1" spans="2:86" ht="13.8" x14ac:dyDescent="0.25">
      <c r="B1" s="42"/>
      <c r="F1" s="42"/>
      <c r="T1" s="8"/>
      <c r="U1" s="791"/>
      <c r="CH1" s="45" t="s">
        <v>353</v>
      </c>
    </row>
    <row r="2" spans="2:86" x14ac:dyDescent="0.25">
      <c r="S2" s="46"/>
      <c r="T2" s="8"/>
      <c r="U2" s="791"/>
      <c r="CH2" s="47" t="s">
        <v>354</v>
      </c>
    </row>
    <row r="3" spans="2:86" x14ac:dyDescent="0.25">
      <c r="T3" s="8"/>
      <c r="U3" s="791"/>
      <c r="BH3" s="2" t="s">
        <v>304</v>
      </c>
      <c r="CH3" s="47" t="s">
        <v>355</v>
      </c>
    </row>
    <row r="4" spans="2:86" x14ac:dyDescent="0.25">
      <c r="BO4" s="48" t="s">
        <v>393</v>
      </c>
      <c r="CH4" s="47" t="s">
        <v>356</v>
      </c>
    </row>
    <row r="5" spans="2:86" ht="13.8" x14ac:dyDescent="0.25">
      <c r="B5" s="49"/>
      <c r="C5" s="49"/>
      <c r="D5" s="49"/>
      <c r="F5" s="49"/>
      <c r="G5" s="49"/>
      <c r="H5" s="49"/>
      <c r="I5" s="49"/>
      <c r="J5" s="49"/>
      <c r="K5" s="49"/>
      <c r="L5" s="49"/>
      <c r="M5" s="49"/>
      <c r="BO5" s="48" t="s">
        <v>394</v>
      </c>
      <c r="CH5" s="45" t="s">
        <v>357</v>
      </c>
    </row>
    <row r="6" spans="2:86" ht="13.8" x14ac:dyDescent="0.25">
      <c r="B6" s="7"/>
      <c r="C6" s="7"/>
      <c r="D6" s="7"/>
      <c r="F6" s="7"/>
      <c r="G6" s="7"/>
      <c r="H6" s="7"/>
      <c r="I6" s="7"/>
      <c r="J6" s="7"/>
      <c r="K6" s="7"/>
      <c r="L6" s="7"/>
      <c r="M6" s="7"/>
      <c r="O6" s="1666" t="s">
        <v>395</v>
      </c>
      <c r="P6" s="1666"/>
      <c r="Q6" s="1666"/>
      <c r="R6" s="1666"/>
      <c r="S6" s="1666"/>
      <c r="T6" s="1666"/>
      <c r="U6" s="1666"/>
      <c r="V6" s="1666"/>
      <c r="W6" s="1666"/>
      <c r="X6" s="1666"/>
      <c r="Y6" s="1666"/>
      <c r="Z6" s="1666"/>
      <c r="AA6" s="1666"/>
      <c r="AB6" s="1666"/>
      <c r="AC6" s="1666"/>
      <c r="AD6" s="1666"/>
      <c r="BO6" s="29" t="s">
        <v>396</v>
      </c>
      <c r="CH6" s="45" t="s">
        <v>358</v>
      </c>
    </row>
    <row r="7" spans="2:86" x14ac:dyDescent="0.25">
      <c r="B7" s="1667" t="s">
        <v>456</v>
      </c>
      <c r="C7" s="1668"/>
      <c r="D7" s="1669"/>
      <c r="F7" s="1667" t="s">
        <v>457</v>
      </c>
      <c r="G7" s="1668"/>
      <c r="H7" s="1669"/>
      <c r="I7" s="42"/>
      <c r="J7" s="1667" t="s">
        <v>397</v>
      </c>
      <c r="K7" s="1668"/>
      <c r="L7" s="1668"/>
      <c r="M7" s="1669"/>
      <c r="O7" s="1666"/>
      <c r="P7" s="1666"/>
      <c r="Q7" s="1666"/>
      <c r="R7" s="1666"/>
      <c r="S7" s="1666"/>
      <c r="T7" s="1666"/>
      <c r="U7" s="1666"/>
      <c r="V7" s="1666"/>
      <c r="W7" s="1666"/>
      <c r="X7" s="1666"/>
      <c r="Y7" s="1666"/>
      <c r="Z7" s="1666"/>
      <c r="AA7" s="1666"/>
      <c r="AB7" s="1666"/>
      <c r="AC7" s="1666"/>
      <c r="AD7" s="1666"/>
      <c r="BO7" s="48" t="s">
        <v>398</v>
      </c>
      <c r="CH7" s="47" t="s">
        <v>359</v>
      </c>
    </row>
    <row r="8" spans="2:86" x14ac:dyDescent="0.25">
      <c r="B8" s="50"/>
      <c r="C8" s="50"/>
      <c r="D8" s="50"/>
      <c r="F8" s="50"/>
      <c r="G8" s="50"/>
      <c r="H8" s="50"/>
      <c r="I8" s="50"/>
      <c r="J8" s="50"/>
      <c r="K8" s="7"/>
      <c r="L8" s="50"/>
      <c r="M8" s="50"/>
      <c r="O8" s="1670" t="s">
        <v>399</v>
      </c>
      <c r="P8" s="1670"/>
      <c r="Q8" s="1670"/>
      <c r="R8" s="1670"/>
      <c r="S8" s="1670"/>
      <c r="T8" s="1670"/>
      <c r="U8" s="793"/>
      <c r="V8" s="1671" t="s">
        <v>400</v>
      </c>
      <c r="W8" s="1672"/>
      <c r="X8" s="1672"/>
      <c r="Y8" s="1672"/>
      <c r="BO8" s="48" t="s">
        <v>401</v>
      </c>
      <c r="CH8" s="47" t="s">
        <v>360</v>
      </c>
    </row>
    <row r="9" spans="2:86" x14ac:dyDescent="0.25">
      <c r="B9" s="51" t="s">
        <v>194</v>
      </c>
      <c r="C9" s="51" t="s">
        <v>402</v>
      </c>
      <c r="D9" s="1673"/>
      <c r="F9" s="51" t="s">
        <v>194</v>
      </c>
      <c r="G9" s="51" t="s">
        <v>402</v>
      </c>
      <c r="H9" s="1664" t="s">
        <v>404</v>
      </c>
      <c r="I9" s="52"/>
      <c r="J9" s="51" t="s">
        <v>194</v>
      </c>
      <c r="K9" s="51" t="s">
        <v>402</v>
      </c>
      <c r="L9" s="51" t="s">
        <v>403</v>
      </c>
      <c r="M9" s="1665" t="s">
        <v>462</v>
      </c>
      <c r="N9" s="53"/>
      <c r="O9" s="51" t="s">
        <v>194</v>
      </c>
      <c r="P9" s="773" t="s">
        <v>459</v>
      </c>
      <c r="Q9" s="774" t="s">
        <v>458</v>
      </c>
      <c r="R9" s="774" t="s">
        <v>405</v>
      </c>
      <c r="S9" s="54" t="s">
        <v>406</v>
      </c>
      <c r="T9" s="55" t="s">
        <v>407</v>
      </c>
      <c r="U9" s="794" t="s">
        <v>461</v>
      </c>
      <c r="V9" s="795" t="s">
        <v>460</v>
      </c>
      <c r="W9" s="795" t="s">
        <v>408</v>
      </c>
      <c r="X9" s="54" t="s">
        <v>409</v>
      </c>
      <c r="Y9" s="55" t="s">
        <v>410</v>
      </c>
      <c r="Z9" s="56" t="s">
        <v>312</v>
      </c>
      <c r="AA9" s="2" t="s">
        <v>304</v>
      </c>
      <c r="AB9" s="30" t="s">
        <v>313</v>
      </c>
      <c r="AC9" s="30" t="s">
        <v>314</v>
      </c>
      <c r="AD9" s="30" t="s">
        <v>315</v>
      </c>
      <c r="AE9" s="49"/>
      <c r="AF9" s="49"/>
      <c r="AG9" s="57" t="str">
        <f>O9</f>
        <v>PA</v>
      </c>
      <c r="AH9" s="57" t="str">
        <f t="shared" ref="AH9:AO9" si="0">P9</f>
        <v>Naik Lama</v>
      </c>
      <c r="AI9" s="57" t="str">
        <f t="shared" si="0"/>
        <v>Naik Tengah</v>
      </c>
      <c r="AJ9" s="57" t="str">
        <f t="shared" si="0"/>
        <v>Naik Terbaru</v>
      </c>
      <c r="AK9" s="57" t="str">
        <f t="shared" si="0"/>
        <v xml:space="preserve">DRIFT NAIK </v>
      </c>
      <c r="AL9" s="57" t="str">
        <f t="shared" si="0"/>
        <v>U95 Naik terbaru</v>
      </c>
      <c r="AM9" s="57" t="str">
        <f t="shared" si="0"/>
        <v>Turun Lama</v>
      </c>
      <c r="AN9" s="57" t="str">
        <f t="shared" si="0"/>
        <v>Turun Tengah</v>
      </c>
      <c r="AO9" s="57" t="str">
        <f t="shared" si="0"/>
        <v>Turun Terbaru</v>
      </c>
      <c r="AP9" s="57" t="str">
        <f t="shared" ref="AP9" si="1">X9</f>
        <v>DRIFT TURUN</v>
      </c>
      <c r="AQ9" s="57" t="str">
        <f t="shared" ref="AQ9" si="2">Y9</f>
        <v>U95 Turun terbaru</v>
      </c>
      <c r="AR9" s="57" t="str">
        <f t="shared" ref="AR9" si="3">Z9</f>
        <v>KETELUSURAN</v>
      </c>
      <c r="AS9" s="57"/>
      <c r="AT9" s="57"/>
      <c r="CH9" s="47" t="s">
        <v>361</v>
      </c>
    </row>
    <row r="10" spans="2:86" x14ac:dyDescent="0.25">
      <c r="B10" s="58">
        <v>0</v>
      </c>
      <c r="C10" s="59" t="s">
        <v>111</v>
      </c>
      <c r="D10" s="1673"/>
      <c r="F10" s="58">
        <v>0</v>
      </c>
      <c r="G10" s="1186">
        <v>9.9999999999999995E-7</v>
      </c>
      <c r="H10" s="1664"/>
      <c r="I10" s="60"/>
      <c r="J10" s="58">
        <v>0</v>
      </c>
      <c r="K10" s="1186">
        <v>9.9999999999999995E-7</v>
      </c>
      <c r="L10" s="176">
        <v>0.1</v>
      </c>
      <c r="M10" s="1665"/>
      <c r="N10" s="63"/>
      <c r="O10" s="58">
        <f>J10</f>
        <v>0</v>
      </c>
      <c r="P10" s="775"/>
      <c r="Q10" s="776"/>
      <c r="R10" s="776"/>
      <c r="S10" s="101"/>
      <c r="T10" s="62"/>
      <c r="U10" s="806" t="str">
        <f>C10</f>
        <v>-</v>
      </c>
      <c r="V10" s="797">
        <f>G10</f>
        <v>9.9999999999999995E-7</v>
      </c>
      <c r="W10" s="797">
        <f>K10</f>
        <v>9.9999999999999995E-7</v>
      </c>
      <c r="X10" s="64">
        <f>0.5*(MAX(U10:W10)-(MIN(U10:W10)))</f>
        <v>0</v>
      </c>
      <c r="Y10" s="177">
        <f>L10</f>
        <v>0.1</v>
      </c>
      <c r="Z10" s="3" t="s">
        <v>465</v>
      </c>
      <c r="AA10" s="29" t="s">
        <v>285</v>
      </c>
      <c r="AB10" s="66">
        <f>ROWS(AA$10:$AA10)</f>
        <v>1</v>
      </c>
      <c r="AC10" s="66" t="str">
        <f>IF(ID!$B$88=AA10,AB10,"")</f>
        <v/>
      </c>
      <c r="AD10" s="66">
        <f>IFERROR(SMALL($AC$10:$AC$204,ROWS($AC$10:AC10)),"")</f>
        <v>51</v>
      </c>
      <c r="AG10" s="67">
        <f>IFERROR(INDEX($O$10:$Z$204,$AD10,COLUMNS(AF$10:$AF10)),"")</f>
        <v>0</v>
      </c>
      <c r="AH10" s="67">
        <f>IFERROR(INDEX($O$10:$Z$204,$AD10,COLUMNS($AF$10:AG10)),"")</f>
        <v>0</v>
      </c>
      <c r="AI10" s="67">
        <f>IFERROR(INDEX($O$10:$Z$204,$AD10,COLUMNS($AF$10:AH10)),"")</f>
        <v>0</v>
      </c>
      <c r="AJ10" s="67">
        <f>IFERROR(INDEX($O$10:$Z$204,$AD10,COLUMNS($AF$10:AI10)),"")</f>
        <v>0</v>
      </c>
      <c r="AK10" s="67">
        <f>IFERROR(INDEX($O$10:$Z$204,$AD10,COLUMNS($AF$10:AJ10)),"")</f>
        <v>0</v>
      </c>
      <c r="AL10" s="67">
        <f>IFERROR(INDEX($O$10:$Z$204,$AD10,COLUMNS($AF$10:AK10)),"")</f>
        <v>0</v>
      </c>
      <c r="AM10" s="67" t="str">
        <f>IFERROR(INDEX($O$10:$Z$204,$AD10,COLUMNS($AF$10:AL10)),"")</f>
        <v>-</v>
      </c>
      <c r="AN10" s="67" t="str">
        <f>IFERROR(INDEX($O$10:$Z$204,$AD10,COLUMNS($AF$10:AM10)),"")</f>
        <v>-</v>
      </c>
      <c r="AO10" s="67">
        <f>IFERROR(INDEX($O$10:$Z$204,$AD10,COLUMNS($AF$10:AN10)),"")</f>
        <v>9.9999999999999995E-7</v>
      </c>
      <c r="AP10" s="67">
        <f>IFERROR(INDEX($O$10:$Z$204,$AD10,COLUMNS($AF$10:AO10)),"")</f>
        <v>3.3333333333333333E-2</v>
      </c>
      <c r="AQ10" s="67">
        <f>IFERROR(INDEX($O$10:$Z$204,$AD10,COLUMNS($AF$10:AP10)),"")</f>
        <v>0.1</v>
      </c>
      <c r="AR10" s="803" t="str">
        <f>IFERROR(INDEX($O$10:$Z$204,$AD10,COLUMNS($AF$10:AQ10)),"")</f>
        <v>Hasil pengujian kinerja blood pressure monitor tertelusur ke satuan SI melalui PT. KALIMAN</v>
      </c>
      <c r="CH10" s="47" t="s">
        <v>362</v>
      </c>
    </row>
    <row r="11" spans="2:86" x14ac:dyDescent="0.25">
      <c r="B11" s="58">
        <v>50</v>
      </c>
      <c r="C11" s="59" t="s">
        <v>111</v>
      </c>
      <c r="D11" s="1673"/>
      <c r="F11" s="58">
        <v>50</v>
      </c>
      <c r="G11" s="1186">
        <v>9.9999999999999995E-7</v>
      </c>
      <c r="H11" s="1664"/>
      <c r="I11" s="60"/>
      <c r="J11" s="58">
        <v>50</v>
      </c>
      <c r="K11" s="1186">
        <v>9.9999999999999995E-7</v>
      </c>
      <c r="L11" s="176">
        <v>0.1</v>
      </c>
      <c r="M11" s="1665"/>
      <c r="N11" s="63"/>
      <c r="O11" s="58">
        <f t="shared" ref="O11:O16" si="4">J11</f>
        <v>50</v>
      </c>
      <c r="P11" s="775"/>
      <c r="Q11" s="776"/>
      <c r="R11" s="776"/>
      <c r="S11" s="101"/>
      <c r="T11" s="62"/>
      <c r="U11" s="806" t="str">
        <f t="shared" ref="U11:U16" si="5">C11</f>
        <v>-</v>
      </c>
      <c r="V11" s="797">
        <f t="shared" ref="V11:V16" si="6">G11</f>
        <v>9.9999999999999995E-7</v>
      </c>
      <c r="W11" s="797">
        <f t="shared" ref="W11:W16" si="7">K11</f>
        <v>9.9999999999999995E-7</v>
      </c>
      <c r="X11" s="64">
        <f t="shared" ref="X11:X16" si="8">0.5*(MAX(U11:W11)-(MIN(U11:W11)))</f>
        <v>0</v>
      </c>
      <c r="Y11" s="177">
        <f t="shared" ref="Y11:Y16" si="9">L11</f>
        <v>0.1</v>
      </c>
      <c r="Z11" s="3"/>
      <c r="AA11" s="29" t="s">
        <v>285</v>
      </c>
      <c r="AB11" s="66">
        <f>ROWS(AA$10:$AA11)</f>
        <v>2</v>
      </c>
      <c r="AC11" s="66" t="str">
        <f>IF(ID!$B$88=AA11,AB11,"")</f>
        <v/>
      </c>
      <c r="AD11" s="66">
        <f>IFERROR(SMALL($AC$10:$AC$204,ROWS($AC$10:AC11)),"")</f>
        <v>52</v>
      </c>
      <c r="AG11" s="67">
        <f>IFERROR(INDEX($O$10:$Z$204,$AD11,COLUMNS(AF$10:$AF11)),"")</f>
        <v>50</v>
      </c>
      <c r="AH11" s="67">
        <f>IFERROR(INDEX($O$10:$Z$204,$AD11,COLUMNS($AF$10:AG11)),"")</f>
        <v>0</v>
      </c>
      <c r="AI11" s="67">
        <f>IFERROR(INDEX($O$10:$Z$204,$AD11,COLUMNS($AF$10:AH11)),"")</f>
        <v>0</v>
      </c>
      <c r="AJ11" s="67">
        <f>IFERROR(INDEX($O$10:$Z$204,$AD11,COLUMNS($AF$10:AI11)),"")</f>
        <v>0</v>
      </c>
      <c r="AK11" s="67">
        <f>IFERROR(INDEX($O$10:$Z$204,$AD11,COLUMNS($AF$10:AJ11)),"")</f>
        <v>0</v>
      </c>
      <c r="AL11" s="67">
        <f>IFERROR(INDEX($O$10:$Z$204,$AD11,COLUMNS($AF$10:AK11)),"")</f>
        <v>0</v>
      </c>
      <c r="AM11" s="67" t="str">
        <f>IFERROR(INDEX($O$10:$Z$204,$AD11,COLUMNS($AF$10:AL11)),"")</f>
        <v>-</v>
      </c>
      <c r="AN11" s="67" t="str">
        <f>IFERROR(INDEX($O$10:$Z$204,$AD11,COLUMNS($AF$10:AM11)),"")</f>
        <v>-</v>
      </c>
      <c r="AO11" s="67">
        <f>IFERROR(INDEX($O$10:$Z$204,$AD11,COLUMNS($AF$10:AN11)),"")</f>
        <v>0.3</v>
      </c>
      <c r="AP11" s="67">
        <f>IFERROR(INDEX($O$10:$Z$204,$AD11,COLUMNS($AF$10:AO11)),"")</f>
        <v>3.3333333333333333E-2</v>
      </c>
      <c r="AQ11" s="67">
        <f>IFERROR(INDEX($O$10:$Z$204,$AD11,COLUMNS($AF$10:AP11)),"")</f>
        <v>0.1</v>
      </c>
      <c r="AR11" s="67"/>
      <c r="BO11" s="48" t="s">
        <v>412</v>
      </c>
      <c r="CH11" s="47" t="s">
        <v>363</v>
      </c>
    </row>
    <row r="12" spans="2:86" ht="13.8" x14ac:dyDescent="0.25">
      <c r="B12" s="58">
        <v>100</v>
      </c>
      <c r="C12" s="59" t="s">
        <v>111</v>
      </c>
      <c r="D12" s="1673"/>
      <c r="F12" s="58">
        <v>100</v>
      </c>
      <c r="G12" s="61">
        <v>0.1</v>
      </c>
      <c r="H12" s="1664"/>
      <c r="I12" s="60"/>
      <c r="J12" s="58">
        <v>100</v>
      </c>
      <c r="K12" s="61">
        <v>0.4</v>
      </c>
      <c r="L12" s="176">
        <v>0.1</v>
      </c>
      <c r="M12" s="1665"/>
      <c r="N12" s="63"/>
      <c r="O12" s="58">
        <f t="shared" si="4"/>
        <v>100</v>
      </c>
      <c r="P12" s="775"/>
      <c r="Q12" s="776"/>
      <c r="R12" s="776"/>
      <c r="S12" s="101"/>
      <c r="T12" s="62"/>
      <c r="U12" s="806" t="str">
        <f t="shared" si="5"/>
        <v>-</v>
      </c>
      <c r="V12" s="797">
        <f t="shared" si="6"/>
        <v>0.1</v>
      </c>
      <c r="W12" s="797">
        <f t="shared" si="7"/>
        <v>0.4</v>
      </c>
      <c r="X12" s="64">
        <f t="shared" si="8"/>
        <v>0.15000000000000002</v>
      </c>
      <c r="Y12" s="177">
        <f t="shared" si="9"/>
        <v>0.1</v>
      </c>
      <c r="Z12" s="3"/>
      <c r="AA12" s="29" t="s">
        <v>285</v>
      </c>
      <c r="AB12" s="66">
        <f>ROWS(AA$10:$AA12)</f>
        <v>3</v>
      </c>
      <c r="AC12" s="66" t="str">
        <f>IF(ID!$B$88=AA12,AB12,"")</f>
        <v/>
      </c>
      <c r="AD12" s="66">
        <f>IFERROR(SMALL($AC$10:$AC$204,ROWS($AC$10:AC12)),"")</f>
        <v>53</v>
      </c>
      <c r="AG12" s="67">
        <f>IFERROR(INDEX($O$10:$Z$204,$AD12,COLUMNS(AF$10:$AF12)),"")</f>
        <v>100</v>
      </c>
      <c r="AH12" s="67">
        <f>IFERROR(INDEX($O$10:$Z$204,$AD12,COLUMNS($AF$10:AG12)),"")</f>
        <v>0</v>
      </c>
      <c r="AI12" s="67">
        <f>IFERROR(INDEX($O$10:$Z$204,$AD12,COLUMNS($AF$10:AH12)),"")</f>
        <v>0</v>
      </c>
      <c r="AJ12" s="67">
        <f>IFERROR(INDEX($O$10:$Z$204,$AD12,COLUMNS($AF$10:AI12)),"")</f>
        <v>0</v>
      </c>
      <c r="AK12" s="67">
        <f>IFERROR(INDEX($O$10:$Z$204,$AD12,COLUMNS($AF$10:AJ12)),"")</f>
        <v>0</v>
      </c>
      <c r="AL12" s="67">
        <f>IFERROR(INDEX($O$10:$Z$204,$AD12,COLUMNS($AF$10:AK12)),"")</f>
        <v>0</v>
      </c>
      <c r="AM12" s="67" t="str">
        <f>IFERROR(INDEX($O$10:$Z$204,$AD12,COLUMNS($AF$10:AL12)),"")</f>
        <v>-</v>
      </c>
      <c r="AN12" s="67" t="str">
        <f>IFERROR(INDEX($O$10:$Z$204,$AD12,COLUMNS($AF$10:AM12)),"")</f>
        <v>-</v>
      </c>
      <c r="AO12" s="67">
        <f>IFERROR(INDEX($O$10:$Z$204,$AD12,COLUMNS($AF$10:AN12)),"")</f>
        <v>0.1</v>
      </c>
      <c r="AP12" s="67">
        <f>IFERROR(INDEX($O$10:$Z$204,$AD12,COLUMNS($AF$10:AO12)),"")</f>
        <v>3.3333333333333333E-2</v>
      </c>
      <c r="AQ12" s="67">
        <f>IFERROR(INDEX($O$10:$Z$204,$AD12,COLUMNS($AF$10:AP12)),"")</f>
        <v>0.1</v>
      </c>
      <c r="AR12" s="67"/>
      <c r="BO12" s="29" t="s">
        <v>413</v>
      </c>
      <c r="CH12" s="45" t="s">
        <v>364</v>
      </c>
    </row>
    <row r="13" spans="2:86" ht="13.8" x14ac:dyDescent="0.25">
      <c r="B13" s="58">
        <v>150</v>
      </c>
      <c r="C13" s="59" t="s">
        <v>111</v>
      </c>
      <c r="D13" s="1673"/>
      <c r="F13" s="58">
        <v>150</v>
      </c>
      <c r="G13" s="1186">
        <v>9.9999999999999995E-7</v>
      </c>
      <c r="H13" s="1664"/>
      <c r="I13" s="60"/>
      <c r="J13" s="58">
        <v>150</v>
      </c>
      <c r="K13" s="61">
        <v>0.5</v>
      </c>
      <c r="L13" s="176">
        <v>0.1</v>
      </c>
      <c r="M13" s="1665"/>
      <c r="N13" s="63"/>
      <c r="O13" s="58">
        <f t="shared" si="4"/>
        <v>150</v>
      </c>
      <c r="P13" s="775"/>
      <c r="Q13" s="776"/>
      <c r="R13" s="776"/>
      <c r="S13" s="101"/>
      <c r="T13" s="62"/>
      <c r="U13" s="806" t="str">
        <f t="shared" si="5"/>
        <v>-</v>
      </c>
      <c r="V13" s="797">
        <f t="shared" si="6"/>
        <v>9.9999999999999995E-7</v>
      </c>
      <c r="W13" s="797">
        <f t="shared" si="7"/>
        <v>0.5</v>
      </c>
      <c r="X13" s="64">
        <f t="shared" si="8"/>
        <v>0.24999950000000001</v>
      </c>
      <c r="Y13" s="177">
        <f t="shared" si="9"/>
        <v>0.1</v>
      </c>
      <c r="Z13" s="3"/>
      <c r="AA13" s="29" t="s">
        <v>285</v>
      </c>
      <c r="AB13" s="66">
        <f>ROWS(AA$10:$AA13)</f>
        <v>4</v>
      </c>
      <c r="AC13" s="66" t="str">
        <f>IF(ID!$B$88=AA13,AB13,"")</f>
        <v/>
      </c>
      <c r="AD13" s="66">
        <f>IFERROR(SMALL($AC$10:$AC$204,ROWS($AC$10:AC13)),"")</f>
        <v>54</v>
      </c>
      <c r="AG13" s="67">
        <f>IFERROR(INDEX($O$10:$Z$204,$AD13,COLUMNS(AF$10:$AF13)),"")</f>
        <v>150</v>
      </c>
      <c r="AH13" s="67">
        <f>IFERROR(INDEX($O$10:$Z$204,$AD13,COLUMNS($AF$10:AG13)),"")</f>
        <v>0</v>
      </c>
      <c r="AI13" s="67">
        <f>IFERROR(INDEX($O$10:$Z$204,$AD13,COLUMNS($AF$10:AH13)),"")</f>
        <v>0</v>
      </c>
      <c r="AJ13" s="67">
        <f>IFERROR(INDEX($O$10:$Z$204,$AD13,COLUMNS($AF$10:AI13)),"")</f>
        <v>0</v>
      </c>
      <c r="AK13" s="67">
        <f>IFERROR(INDEX($O$10:$Z$204,$AD13,COLUMNS($AF$10:AJ13)),"")</f>
        <v>0</v>
      </c>
      <c r="AL13" s="67">
        <f>IFERROR(INDEX($O$10:$Z$204,$AD13,COLUMNS($AF$10:AK13)),"")</f>
        <v>0</v>
      </c>
      <c r="AM13" s="67" t="str">
        <f>IFERROR(INDEX($O$10:$Z$204,$AD13,COLUMNS($AF$10:AL13)),"")</f>
        <v>-</v>
      </c>
      <c r="AN13" s="67" t="str">
        <f>IFERROR(INDEX($O$10:$Z$204,$AD13,COLUMNS($AF$10:AM13)),"")</f>
        <v>-</v>
      </c>
      <c r="AO13" s="67">
        <f>IFERROR(INDEX($O$10:$Z$204,$AD13,COLUMNS($AF$10:AN13)),"")</f>
        <v>9.9999999999999995E-7</v>
      </c>
      <c r="AP13" s="67">
        <f>IFERROR(INDEX($O$10:$Z$204,$AD13,COLUMNS($AF$10:AO13)),"")</f>
        <v>3.3333333333333333E-2</v>
      </c>
      <c r="AQ13" s="67">
        <f>IFERROR(INDEX($O$10:$Z$204,$AD13,COLUMNS($AF$10:AP13)),"")</f>
        <v>0.1</v>
      </c>
      <c r="AR13" s="67"/>
      <c r="BO13" s="29" t="s">
        <v>414</v>
      </c>
      <c r="CH13" s="45" t="s">
        <v>365</v>
      </c>
    </row>
    <row r="14" spans="2:86" x14ac:dyDescent="0.25">
      <c r="B14" s="58">
        <v>200</v>
      </c>
      <c r="C14" s="59" t="s">
        <v>111</v>
      </c>
      <c r="D14" s="1673"/>
      <c r="F14" s="58">
        <v>200</v>
      </c>
      <c r="G14" s="61">
        <v>0.2</v>
      </c>
      <c r="H14" s="1664"/>
      <c r="I14" s="60"/>
      <c r="J14" s="58">
        <v>200</v>
      </c>
      <c r="K14" s="61">
        <v>0.6</v>
      </c>
      <c r="L14" s="176">
        <v>0.1</v>
      </c>
      <c r="M14" s="1665"/>
      <c r="N14" s="63"/>
      <c r="O14" s="58">
        <f t="shared" si="4"/>
        <v>200</v>
      </c>
      <c r="P14" s="775"/>
      <c r="Q14" s="776"/>
      <c r="R14" s="776"/>
      <c r="S14" s="101"/>
      <c r="T14" s="62"/>
      <c r="U14" s="806" t="str">
        <f t="shared" si="5"/>
        <v>-</v>
      </c>
      <c r="V14" s="797">
        <f t="shared" si="6"/>
        <v>0.2</v>
      </c>
      <c r="W14" s="797">
        <f t="shared" si="7"/>
        <v>0.6</v>
      </c>
      <c r="X14" s="64">
        <f t="shared" si="8"/>
        <v>0.19999999999999998</v>
      </c>
      <c r="Y14" s="177">
        <f t="shared" si="9"/>
        <v>0.1</v>
      </c>
      <c r="Z14" s="3"/>
      <c r="AA14" s="29" t="s">
        <v>285</v>
      </c>
      <c r="AB14" s="66">
        <f>ROWS(AA$10:$AA14)</f>
        <v>5</v>
      </c>
      <c r="AC14" s="66" t="str">
        <f>IF(ID!$B$88=AA14,AB14,"")</f>
        <v/>
      </c>
      <c r="AD14" s="66">
        <f>IFERROR(SMALL($AC$10:$AC$204,ROWS($AC$10:AC14)),"")</f>
        <v>55</v>
      </c>
      <c r="AG14" s="67">
        <f>IFERROR(INDEX($O$10:$Z$204,$AD14,COLUMNS(AF$10:$AF14)),"")</f>
        <v>200</v>
      </c>
      <c r="AH14" s="67">
        <f>IFERROR(INDEX($O$10:$Z$204,$AD14,COLUMNS($AF$10:AG14)),"")</f>
        <v>0</v>
      </c>
      <c r="AI14" s="67">
        <f>IFERROR(INDEX($O$10:$Z$204,$AD14,COLUMNS($AF$10:AH14)),"")</f>
        <v>0</v>
      </c>
      <c r="AJ14" s="67">
        <f>IFERROR(INDEX($O$10:$Z$204,$AD14,COLUMNS($AF$10:AI14)),"")</f>
        <v>0</v>
      </c>
      <c r="AK14" s="67">
        <f>IFERROR(INDEX($O$10:$Z$204,$AD14,COLUMNS($AF$10:AJ14)),"")</f>
        <v>0</v>
      </c>
      <c r="AL14" s="67">
        <f>IFERROR(INDEX($O$10:$Z$204,$AD14,COLUMNS($AF$10:AK14)),"")</f>
        <v>0</v>
      </c>
      <c r="AM14" s="67" t="str">
        <f>IFERROR(INDEX($O$10:$Z$204,$AD14,COLUMNS($AF$10:AL14)),"")</f>
        <v>-</v>
      </c>
      <c r="AN14" s="67" t="str">
        <f>IFERROR(INDEX($O$10:$Z$204,$AD14,COLUMNS($AF$10:AM14)),"")</f>
        <v>-</v>
      </c>
      <c r="AO14" s="67">
        <f>IFERROR(INDEX($O$10:$Z$204,$AD14,COLUMNS($AF$10:AN14)),"")</f>
        <v>-0.1</v>
      </c>
      <c r="AP14" s="67">
        <f>IFERROR(INDEX($O$10:$Z$204,$AD14,COLUMNS($AF$10:AO14)),"")</f>
        <v>3.3333333333333333E-2</v>
      </c>
      <c r="AQ14" s="67">
        <f>IFERROR(INDEX($O$10:$Z$204,$AD14,COLUMNS($AF$10:AP14)),"")</f>
        <v>0.1</v>
      </c>
      <c r="AR14" s="67"/>
      <c r="BO14" s="29" t="s">
        <v>415</v>
      </c>
      <c r="CH14" s="47" t="s">
        <v>113</v>
      </c>
    </row>
    <row r="15" spans="2:86" x14ac:dyDescent="0.25">
      <c r="B15" s="58">
        <v>250</v>
      </c>
      <c r="C15" s="59" t="s">
        <v>111</v>
      </c>
      <c r="D15" s="1673"/>
      <c r="F15" s="58">
        <v>250</v>
      </c>
      <c r="G15" s="61">
        <v>0.4</v>
      </c>
      <c r="H15" s="1664"/>
      <c r="I15" s="60"/>
      <c r="J15" s="58">
        <v>250</v>
      </c>
      <c r="K15" s="61">
        <v>0.9</v>
      </c>
      <c r="L15" s="176">
        <v>0.1</v>
      </c>
      <c r="M15" s="1665"/>
      <c r="N15" s="63"/>
      <c r="O15" s="58">
        <f t="shared" si="4"/>
        <v>250</v>
      </c>
      <c r="P15" s="775"/>
      <c r="Q15" s="776"/>
      <c r="R15" s="776"/>
      <c r="S15" s="101"/>
      <c r="T15" s="62"/>
      <c r="U15" s="806" t="str">
        <f t="shared" si="5"/>
        <v>-</v>
      </c>
      <c r="V15" s="797">
        <f t="shared" si="6"/>
        <v>0.4</v>
      </c>
      <c r="W15" s="797">
        <f t="shared" si="7"/>
        <v>0.9</v>
      </c>
      <c r="X15" s="64">
        <f t="shared" si="8"/>
        <v>0.25</v>
      </c>
      <c r="Y15" s="177">
        <f t="shared" si="9"/>
        <v>0.1</v>
      </c>
      <c r="Z15" s="3"/>
      <c r="AA15" s="29" t="s">
        <v>285</v>
      </c>
      <c r="AB15" s="66">
        <f>ROWS(AA$10:$AA15)</f>
        <v>6</v>
      </c>
      <c r="AC15" s="66" t="str">
        <f>IF(ID!$B$88=AA15,AB15,"")</f>
        <v/>
      </c>
      <c r="AD15" s="66">
        <f>IFERROR(SMALL($AC$10:$AC$204,ROWS($AC$10:AC15)),"")</f>
        <v>56</v>
      </c>
      <c r="AG15" s="67">
        <f>IFERROR(INDEX($O$10:$Z$204,$AD15,COLUMNS(AF$10:$AF15)),"")</f>
        <v>250</v>
      </c>
      <c r="AH15" s="67">
        <f>IFERROR(INDEX($O$10:$Z$204,$AD15,COLUMNS($AF$10:AG15)),"")</f>
        <v>0</v>
      </c>
      <c r="AI15" s="67">
        <f>IFERROR(INDEX($O$10:$Z$204,$AD15,COLUMNS($AF$10:AH15)),"")</f>
        <v>0</v>
      </c>
      <c r="AJ15" s="67">
        <f>IFERROR(INDEX($O$10:$Z$204,$AD15,COLUMNS($AF$10:AI15)),"")</f>
        <v>0</v>
      </c>
      <c r="AK15" s="67">
        <f>IFERROR(INDEX($O$10:$Z$204,$AD15,COLUMNS($AF$10:AJ15)),"")</f>
        <v>0</v>
      </c>
      <c r="AL15" s="67">
        <f>IFERROR(INDEX($O$10:$Z$204,$AD15,COLUMNS($AF$10:AK15)),"")</f>
        <v>0</v>
      </c>
      <c r="AM15" s="67" t="str">
        <f>IFERROR(INDEX($O$10:$Z$204,$AD15,COLUMNS($AF$10:AL15)),"")</f>
        <v>-</v>
      </c>
      <c r="AN15" s="67" t="str">
        <f>IFERROR(INDEX($O$10:$Z$204,$AD15,COLUMNS($AF$10:AM15)),"")</f>
        <v>-</v>
      </c>
      <c r="AO15" s="67">
        <f>IFERROR(INDEX($O$10:$Z$204,$AD15,COLUMNS($AF$10:AN15)),"")</f>
        <v>-0.4</v>
      </c>
      <c r="AP15" s="67">
        <f>IFERROR(INDEX($O$10:$Z$204,$AD15,COLUMNS($AF$10:AO15)),"")</f>
        <v>3.3333333333333333E-2</v>
      </c>
      <c r="AQ15" s="67">
        <f>IFERROR(INDEX($O$10:$Z$204,$AD15,COLUMNS($AF$10:AP15)),"")</f>
        <v>0.1</v>
      </c>
      <c r="AR15" s="67"/>
      <c r="BO15" s="29" t="s">
        <v>416</v>
      </c>
      <c r="CH15" s="47" t="s">
        <v>366</v>
      </c>
    </row>
    <row r="16" spans="2:86" ht="13.8" x14ac:dyDescent="0.25">
      <c r="B16" s="58">
        <v>300</v>
      </c>
      <c r="C16" s="59" t="s">
        <v>111</v>
      </c>
      <c r="D16" s="1673"/>
      <c r="F16" s="58">
        <v>300</v>
      </c>
      <c r="G16" s="61">
        <v>0.6</v>
      </c>
      <c r="H16" s="1664"/>
      <c r="I16" s="60"/>
      <c r="J16" s="58">
        <v>300</v>
      </c>
      <c r="K16" s="61">
        <v>1.1000000000000001</v>
      </c>
      <c r="L16" s="176">
        <v>0.1</v>
      </c>
      <c r="M16" s="1665"/>
      <c r="N16" s="63"/>
      <c r="O16" s="58">
        <f t="shared" si="4"/>
        <v>300</v>
      </c>
      <c r="P16" s="775"/>
      <c r="Q16" s="776"/>
      <c r="R16" s="776"/>
      <c r="S16" s="101"/>
      <c r="T16" s="62"/>
      <c r="U16" s="806" t="str">
        <f t="shared" si="5"/>
        <v>-</v>
      </c>
      <c r="V16" s="797">
        <f t="shared" si="6"/>
        <v>0.6</v>
      </c>
      <c r="W16" s="797">
        <f t="shared" si="7"/>
        <v>1.1000000000000001</v>
      </c>
      <c r="X16" s="64">
        <f t="shared" si="8"/>
        <v>0.25000000000000006</v>
      </c>
      <c r="Y16" s="177">
        <f t="shared" si="9"/>
        <v>0.1</v>
      </c>
      <c r="Z16" s="3"/>
      <c r="AA16" s="29" t="s">
        <v>285</v>
      </c>
      <c r="AB16" s="66">
        <f>ROWS(AA$10:$AA16)</f>
        <v>7</v>
      </c>
      <c r="AC16" s="66" t="str">
        <f>IF(ID!$B$88=AA16,AB16,"")</f>
        <v/>
      </c>
      <c r="AD16" s="66">
        <f>IFERROR(SMALL($AC$10:$AC$204,ROWS($AC$10:AC16)),"")</f>
        <v>57</v>
      </c>
      <c r="AG16" s="67">
        <f>IFERROR(INDEX($O$10:$Z$204,$AD16,COLUMNS(AF$10:$AF16)),"")</f>
        <v>300</v>
      </c>
      <c r="AH16" s="67">
        <f>IFERROR(INDEX($O$10:$Z$204,$AD16,COLUMNS($AF$10:AG16)),"")</f>
        <v>0</v>
      </c>
      <c r="AI16" s="67">
        <f>IFERROR(INDEX($O$10:$Z$204,$AD16,COLUMNS($AF$10:AH16)),"")</f>
        <v>0</v>
      </c>
      <c r="AJ16" s="67">
        <f>IFERROR(INDEX($O$10:$Z$204,$AD16,COLUMNS($AF$10:AI16)),"")</f>
        <v>0</v>
      </c>
      <c r="AK16" s="67">
        <f>IFERROR(INDEX($O$10:$Z$204,$AD16,COLUMNS($AF$10:AJ16)),"")</f>
        <v>0</v>
      </c>
      <c r="AL16" s="67">
        <f>IFERROR(INDEX($O$10:$Z$204,$AD16,COLUMNS($AF$10:AK16)),"")</f>
        <v>0</v>
      </c>
      <c r="AM16" s="67" t="str">
        <f>IFERROR(INDEX($O$10:$Z$204,$AD16,COLUMNS($AF$10:AL16)),"")</f>
        <v>-</v>
      </c>
      <c r="AN16" s="67" t="str">
        <f>IFERROR(INDEX($O$10:$Z$204,$AD16,COLUMNS($AF$10:AM16)),"")</f>
        <v>-</v>
      </c>
      <c r="AO16" s="67">
        <f>IFERROR(INDEX($O$10:$Z$204,$AD16,COLUMNS($AF$10:AN16)),"")</f>
        <v>-0.6</v>
      </c>
      <c r="AP16" s="67">
        <f>IFERROR(INDEX($O$10:$Z$204,$AD16,COLUMNS($AF$10:AO16)),"")</f>
        <v>3.3333333333333333E-2</v>
      </c>
      <c r="AQ16" s="67">
        <f>IFERROR(INDEX($O$10:$Z$204,$AD16,COLUMNS($AF$10:AP16)),"")</f>
        <v>0.1</v>
      </c>
      <c r="AR16" s="67"/>
      <c r="CH16" s="45" t="s">
        <v>367</v>
      </c>
    </row>
    <row r="17" spans="2:86" ht="13.8" x14ac:dyDescent="0.25">
      <c r="X17" s="88"/>
      <c r="AB17" s="66">
        <f>ROWS(AA$10:$AA17)</f>
        <v>8</v>
      </c>
      <c r="AC17" s="66" t="str">
        <f>IF(ID!$B$88=AA17,AB17,"")</f>
        <v/>
      </c>
      <c r="AD17" s="66" t="str">
        <f>IFERROR(SMALL($AC$10:$AC$204,ROWS($AC$10:AC17)),"")</f>
        <v/>
      </c>
      <c r="AG17" s="67" t="str">
        <f>IFERROR(INDEX($O$10:$Z$204,$AD17,COLUMNS(AF$10:$AF17)),"")</f>
        <v/>
      </c>
      <c r="AH17" s="67" t="str">
        <f>IFERROR(INDEX($O$10:$Z$204,$AD17,COLUMNS($AF$10:AG17)),"")</f>
        <v/>
      </c>
      <c r="AI17" s="67" t="str">
        <f>IFERROR(INDEX($O$10:$Z$204,$AD17,COLUMNS($AF$10:AH17)),"")</f>
        <v/>
      </c>
      <c r="AJ17" s="67" t="str">
        <f>IFERROR(INDEX($O$10:$Z$204,$AD17,COLUMNS($AF$10:AI17)),"")</f>
        <v/>
      </c>
      <c r="AK17" s="67" t="str">
        <f>IFERROR(INDEX($O$10:$Z$204,$AD17,COLUMNS($AF$10:AJ17)),"")</f>
        <v/>
      </c>
      <c r="AL17" s="67" t="str">
        <f>IFERROR(INDEX($O$10:$Z$204,$AD17,COLUMNS($AF$10:AK17)),"")</f>
        <v/>
      </c>
      <c r="AM17" s="67" t="str">
        <f>IFERROR(INDEX($O$10:$Z$204,$AD17,COLUMNS($AF$10:AL17)),"")</f>
        <v/>
      </c>
      <c r="AN17" s="67" t="str">
        <f>IFERROR(INDEX($O$10:$Z$204,$AD17,COLUMNS($AF$10:AM17)),"")</f>
        <v/>
      </c>
      <c r="AO17" s="67" t="str">
        <f>IFERROR(INDEX($O$10:$Z$204,$AD17,COLUMNS($AF$10:AN17)),"")</f>
        <v/>
      </c>
      <c r="AP17" s="67" t="str">
        <f>IFERROR(INDEX($O$10:$Z$204,$AD17,COLUMNS($AF$10:AO17)),"")</f>
        <v/>
      </c>
      <c r="AQ17" s="67" t="str">
        <f>IFERROR(INDEX($O$10:$Z$204,$AD17,COLUMNS($AF$10:AP17)),"")</f>
        <v/>
      </c>
      <c r="AR17" s="67"/>
      <c r="BO17" s="48" t="s">
        <v>418</v>
      </c>
      <c r="CH17" s="45" t="s">
        <v>368</v>
      </c>
    </row>
    <row r="18" spans="2:86" s="4" customFormat="1" ht="13.8" x14ac:dyDescent="0.25">
      <c r="O18" s="68"/>
      <c r="P18" s="771"/>
      <c r="Q18" s="772"/>
      <c r="R18" s="772"/>
      <c r="S18" s="44"/>
      <c r="U18" s="792"/>
      <c r="V18" s="792"/>
      <c r="W18" s="792"/>
      <c r="X18" s="44"/>
      <c r="AB18" s="66">
        <f>ROWS(AA$10:$AA18)</f>
        <v>9</v>
      </c>
      <c r="AC18" s="66" t="str">
        <f>IF(ID!$B$88=AA18,AB18,"")</f>
        <v/>
      </c>
      <c r="AD18" s="66" t="str">
        <f>IFERROR(SMALL($AC$10:$AC$204,ROWS($AC$10:AC18)),"")</f>
        <v/>
      </c>
      <c r="AE18" s="1"/>
      <c r="AF18" s="1"/>
      <c r="AG18" s="67" t="str">
        <f>IFERROR(INDEX($O$10:$Z$204,$AD18,COLUMNS(AF$10:$AF18)),"")</f>
        <v/>
      </c>
      <c r="AH18" s="67" t="str">
        <f>IFERROR(INDEX($O$10:$Z$204,$AD18,COLUMNS($AF$10:AG18)),"")</f>
        <v/>
      </c>
      <c r="AI18" s="67" t="str">
        <f>IFERROR(INDEX($O$10:$Z$204,$AD18,COLUMNS($AF$10:AH18)),"")</f>
        <v/>
      </c>
      <c r="AJ18" s="67" t="str">
        <f>IFERROR(INDEX($O$10:$Z$204,$AD18,COLUMNS($AF$10:AI18)),"")</f>
        <v/>
      </c>
      <c r="AK18" s="67" t="str">
        <f>IFERROR(INDEX($O$10:$Z$204,$AD18,COLUMNS($AF$10:AJ18)),"")</f>
        <v/>
      </c>
      <c r="AL18" s="67" t="str">
        <f>IFERROR(INDEX($O$10:$Z$204,$AD18,COLUMNS($AF$10:AK18)),"")</f>
        <v/>
      </c>
      <c r="AM18" s="67" t="str">
        <f>IFERROR(INDEX($O$10:$Z$204,$AD18,COLUMNS($AF$10:AL18)),"")</f>
        <v/>
      </c>
      <c r="AN18" s="67" t="str">
        <f>IFERROR(INDEX($O$10:$Z$204,$AD18,COLUMNS($AF$10:AM18)),"")</f>
        <v/>
      </c>
      <c r="AO18" s="67" t="str">
        <f>IFERROR(INDEX($O$10:$Z$204,$AD18,COLUMNS($AF$10:AN18)),"")</f>
        <v/>
      </c>
      <c r="AP18" s="67" t="str">
        <f>IFERROR(INDEX($O$10:$Z$204,$AD18,COLUMNS($AF$10:AO18)),"")</f>
        <v/>
      </c>
      <c r="AQ18" s="67" t="str">
        <f>IFERROR(INDEX($O$10:$Z$204,$AD18,COLUMNS($AF$10:AP18)),"")</f>
        <v/>
      </c>
      <c r="AR18" s="67"/>
      <c r="BO18" s="48" t="s">
        <v>419</v>
      </c>
      <c r="CH18" s="45" t="s">
        <v>369</v>
      </c>
    </row>
    <row r="19" spans="2:86" ht="13.8" x14ac:dyDescent="0.25">
      <c r="O19" s="69"/>
      <c r="P19" s="777"/>
      <c r="Q19" s="778"/>
      <c r="R19" s="779"/>
      <c r="S19" s="71"/>
      <c r="X19" s="88" t="s">
        <v>417</v>
      </c>
      <c r="AB19" s="66">
        <f>ROWS(AA$10:$AA19)</f>
        <v>10</v>
      </c>
      <c r="AC19" s="66" t="str">
        <f>IF(ID!$B$88=AA19,AB19,"")</f>
        <v/>
      </c>
      <c r="AD19" s="66" t="str">
        <f>IFERROR(SMALL($AC$10:$AC$204,ROWS($AC$10:AC19)),"")</f>
        <v/>
      </c>
      <c r="AG19" s="67" t="str">
        <f>IFERROR(INDEX($O$10:$Z$204,$AD19,COLUMNS(AF$10:$AF19)),"")</f>
        <v/>
      </c>
      <c r="AH19" s="67" t="str">
        <f>IFERROR(INDEX($O$10:$Z$204,$AD19,COLUMNS($AF$10:AG19)),"")</f>
        <v/>
      </c>
      <c r="AI19" s="67" t="str">
        <f>IFERROR(INDEX($O$10:$Z$204,$AD19,COLUMNS($AF$10:AH19)),"")</f>
        <v/>
      </c>
      <c r="AJ19" s="67" t="str">
        <f>IFERROR(INDEX($O$10:$Z$204,$AD19,COLUMNS($AF$10:AI19)),"")</f>
        <v/>
      </c>
      <c r="AK19" s="67" t="str">
        <f>IFERROR(INDEX($O$10:$Z$204,$AD19,COLUMNS($AF$10:AJ19)),"")</f>
        <v/>
      </c>
      <c r="AL19" s="67" t="str">
        <f>IFERROR(INDEX($O$10:$Z$204,$AD19,COLUMNS($AF$10:AK19)),"")</f>
        <v/>
      </c>
      <c r="AM19" s="67" t="str">
        <f>IFERROR(INDEX($O$10:$Z$204,$AD19,COLUMNS($AF$10:AL19)),"")</f>
        <v/>
      </c>
      <c r="AN19" s="67" t="str">
        <f>IFERROR(INDEX($O$10:$Z$204,$AD19,COLUMNS($AF$10:AM19)),"")</f>
        <v/>
      </c>
      <c r="AO19" s="67" t="str">
        <f>IFERROR(INDEX($O$10:$Z$204,$AD19,COLUMNS($AF$10:AN19)),"")</f>
        <v/>
      </c>
      <c r="AP19" s="67" t="str">
        <f>IFERROR(INDEX($O$10:$Z$204,$AD19,COLUMNS($AF$10:AO19)),"")</f>
        <v/>
      </c>
      <c r="AQ19" s="67" t="str">
        <f>IFERROR(INDEX($O$10:$Z$204,$AD19,COLUMNS($AF$10:AP19)),"")</f>
        <v/>
      </c>
      <c r="AR19" s="67"/>
      <c r="BO19" s="29" t="s">
        <v>420</v>
      </c>
      <c r="CH19" s="45" t="s">
        <v>370</v>
      </c>
    </row>
    <row r="20" spans="2:86" x14ac:dyDescent="0.25">
      <c r="B20" s="58">
        <v>0</v>
      </c>
      <c r="C20" s="59" t="s">
        <v>111</v>
      </c>
      <c r="D20" s="1655"/>
      <c r="F20" s="58">
        <v>0</v>
      </c>
      <c r="G20" s="61" t="s">
        <v>111</v>
      </c>
      <c r="H20" s="1655"/>
      <c r="I20" s="73"/>
      <c r="J20" s="58">
        <v>0</v>
      </c>
      <c r="K20" s="1186">
        <v>9.9999999999999995E-7</v>
      </c>
      <c r="L20" s="176">
        <v>0.18</v>
      </c>
      <c r="M20" s="1661" t="s">
        <v>404</v>
      </c>
      <c r="N20" s="63"/>
      <c r="O20" s="58">
        <f t="shared" ref="O20:O26" si="10">J20</f>
        <v>0</v>
      </c>
      <c r="P20" s="775"/>
      <c r="Q20" s="776"/>
      <c r="R20" s="776"/>
      <c r="S20" s="64"/>
      <c r="T20" s="62"/>
      <c r="U20" s="806" t="str">
        <f>C20</f>
        <v>-</v>
      </c>
      <c r="V20" s="797" t="str">
        <f t="shared" ref="V20" si="11">G20</f>
        <v>-</v>
      </c>
      <c r="W20" s="797">
        <f t="shared" ref="W20" si="12">K20</f>
        <v>9.9999999999999995E-7</v>
      </c>
      <c r="X20" s="64">
        <f t="shared" ref="X20:X26" si="13">(1/3)*Y20</f>
        <v>0.06</v>
      </c>
      <c r="Y20" s="177">
        <f t="shared" ref="Y20" si="14">L20</f>
        <v>0.18</v>
      </c>
      <c r="Z20" s="3" t="s">
        <v>411</v>
      </c>
      <c r="AA20" s="29" t="s">
        <v>287</v>
      </c>
      <c r="AB20" s="66">
        <f>ROWS(AA$10:$AA20)</f>
        <v>11</v>
      </c>
      <c r="AC20" s="66" t="str">
        <f>IF(ID!$B$88=AA20,AB20,"")</f>
        <v/>
      </c>
      <c r="AD20" s="66" t="str">
        <f>IFERROR(SMALL($AC$10:$AC$204,ROWS($AC$10:AC20)),"")</f>
        <v/>
      </c>
      <c r="AG20" s="67" t="str">
        <f>IFERROR(INDEX($O$10:$Z$204,$AD20,COLUMNS(AF$10:$AF20)),"")</f>
        <v/>
      </c>
      <c r="AH20" s="67" t="str">
        <f>IFERROR(INDEX($O$10:$Z$204,$AD20,COLUMNS($AF$10:AG20)),"")</f>
        <v/>
      </c>
      <c r="AI20" s="67" t="str">
        <f>IFERROR(INDEX($O$10:$Z$204,$AD20,COLUMNS($AF$10:AH20)),"")</f>
        <v/>
      </c>
      <c r="AJ20" s="67" t="str">
        <f>IFERROR(INDEX($O$10:$Z$204,$AD20,COLUMNS($AF$10:AI20)),"")</f>
        <v/>
      </c>
      <c r="AK20" s="67" t="str">
        <f>IFERROR(INDEX($O$10:$Z$204,$AD20,COLUMNS($AF$10:AJ20)),"")</f>
        <v/>
      </c>
      <c r="AL20" s="67" t="str">
        <f>IFERROR(INDEX($O$10:$Z$204,$AD20,COLUMNS($AF$10:AK20)),"")</f>
        <v/>
      </c>
      <c r="AM20" s="67" t="str">
        <f>IFERROR(INDEX($O$10:$Z$204,$AD20,COLUMNS($AF$10:AL20)),"")</f>
        <v/>
      </c>
      <c r="AN20" s="67" t="str">
        <f>IFERROR(INDEX($O$10:$Z$204,$AD20,COLUMNS($AF$10:AM20)),"")</f>
        <v/>
      </c>
      <c r="AO20" s="67" t="str">
        <f>IFERROR(INDEX($O$10:$Z$204,$AD20,COLUMNS($AF$10:AN20)),"")</f>
        <v/>
      </c>
      <c r="AP20" s="67" t="str">
        <f>IFERROR(INDEX($O$10:$Z$204,$AD20,COLUMNS($AF$10:AO20)),"")</f>
        <v/>
      </c>
      <c r="AQ20" s="67" t="str">
        <f>IFERROR(INDEX($O$10:$Z$204,$AD20,COLUMNS($AF$10:AP20)),"")</f>
        <v/>
      </c>
      <c r="AR20" s="67"/>
      <c r="BO20" s="29" t="s">
        <v>421</v>
      </c>
    </row>
    <row r="21" spans="2:86" x14ac:dyDescent="0.25">
      <c r="B21" s="58">
        <v>50</v>
      </c>
      <c r="C21" s="59" t="s">
        <v>111</v>
      </c>
      <c r="D21" s="1656"/>
      <c r="F21" s="58">
        <v>50</v>
      </c>
      <c r="G21" s="61" t="s">
        <v>111</v>
      </c>
      <c r="H21" s="1656"/>
      <c r="I21" s="73"/>
      <c r="J21" s="58">
        <v>50</v>
      </c>
      <c r="K21" s="61">
        <v>-0.2</v>
      </c>
      <c r="L21" s="176">
        <v>0.18</v>
      </c>
      <c r="M21" s="1662"/>
      <c r="N21" s="63"/>
      <c r="O21" s="58">
        <f t="shared" si="10"/>
        <v>50</v>
      </c>
      <c r="P21" s="775"/>
      <c r="Q21" s="776"/>
      <c r="R21" s="776"/>
      <c r="S21" s="64"/>
      <c r="T21" s="62"/>
      <c r="U21" s="806" t="str">
        <f t="shared" ref="U21:U26" si="15">C21</f>
        <v>-</v>
      </c>
      <c r="V21" s="797" t="str">
        <f t="shared" ref="V21:V26" si="16">G21</f>
        <v>-</v>
      </c>
      <c r="W21" s="797">
        <f t="shared" ref="W21:W26" si="17">K21</f>
        <v>-0.2</v>
      </c>
      <c r="X21" s="64">
        <f t="shared" si="13"/>
        <v>0.06</v>
      </c>
      <c r="Y21" s="177">
        <f t="shared" ref="Y21:Y26" si="18">L21</f>
        <v>0.18</v>
      </c>
      <c r="Z21" s="3"/>
      <c r="AA21" s="29" t="s">
        <v>287</v>
      </c>
      <c r="AB21" s="66">
        <f>ROWS(AA$10:$AA21)</f>
        <v>12</v>
      </c>
      <c r="AC21" s="66" t="str">
        <f>IF(ID!$B$88=AA21,AB21,"")</f>
        <v/>
      </c>
      <c r="AD21" s="66" t="str">
        <f>IFERROR(SMALL($AC$10:$AC$204,ROWS($AC$10:AC21)),"")</f>
        <v/>
      </c>
      <c r="AG21" s="67" t="str">
        <f>IFERROR(INDEX($O$10:$Z$204,$AD21,COLUMNS(AF$10:$AF21)),"")</f>
        <v/>
      </c>
      <c r="AH21" s="67" t="str">
        <f>IFERROR(INDEX($O$10:$Z$204,$AD21,COLUMNS($AF$10:AG21)),"")</f>
        <v/>
      </c>
      <c r="AI21" s="67" t="str">
        <f>IFERROR(INDEX($O$10:$Z$204,$AD21,COLUMNS($AF$10:AH21)),"")</f>
        <v/>
      </c>
      <c r="AJ21" s="67" t="str">
        <f>IFERROR(INDEX($O$10:$Z$204,$AD21,COLUMNS($AF$10:AI21)),"")</f>
        <v/>
      </c>
      <c r="AK21" s="67" t="str">
        <f>IFERROR(INDEX($O$10:$Z$204,$AD21,COLUMNS($AF$10:AJ21)),"")</f>
        <v/>
      </c>
      <c r="AL21" s="67" t="str">
        <f>IFERROR(INDEX($O$10:$Z$204,$AD21,COLUMNS($AF$10:AK21)),"")</f>
        <v/>
      </c>
      <c r="AM21" s="67" t="str">
        <f>IFERROR(INDEX($O$10:$Z$204,$AD21,COLUMNS($AF$10:AL21)),"")</f>
        <v/>
      </c>
      <c r="AN21" s="67" t="str">
        <f>IFERROR(INDEX($O$10:$Z$204,$AD21,COLUMNS($AF$10:AM21)),"")</f>
        <v/>
      </c>
      <c r="AO21" s="67" t="str">
        <f>IFERROR(INDEX($O$10:$Z$204,$AD21,COLUMNS($AF$10:AN21)),"")</f>
        <v/>
      </c>
      <c r="AP21" s="67" t="str">
        <f>IFERROR(INDEX($O$10:$Z$204,$AD21,COLUMNS($AF$10:AO21)),"")</f>
        <v/>
      </c>
      <c r="AQ21" s="67" t="str">
        <f>IFERROR(INDEX($O$10:$Z$204,$AD21,COLUMNS($AF$10:AP21)),"")</f>
        <v/>
      </c>
      <c r="AR21" s="67"/>
    </row>
    <row r="22" spans="2:86" x14ac:dyDescent="0.25">
      <c r="B22" s="58">
        <v>100</v>
      </c>
      <c r="C22" s="59" t="s">
        <v>111</v>
      </c>
      <c r="D22" s="1656"/>
      <c r="F22" s="58">
        <v>100</v>
      </c>
      <c r="G22" s="61" t="s">
        <v>111</v>
      </c>
      <c r="H22" s="1656"/>
      <c r="I22" s="73"/>
      <c r="J22" s="58">
        <v>100</v>
      </c>
      <c r="K22" s="61">
        <v>-0.1</v>
      </c>
      <c r="L22" s="176">
        <v>0.18</v>
      </c>
      <c r="M22" s="1662"/>
      <c r="N22" s="63"/>
      <c r="O22" s="58">
        <f t="shared" si="10"/>
        <v>100</v>
      </c>
      <c r="P22" s="775"/>
      <c r="Q22" s="776"/>
      <c r="R22" s="776"/>
      <c r="S22" s="64"/>
      <c r="T22" s="62"/>
      <c r="U22" s="806" t="str">
        <f t="shared" si="15"/>
        <v>-</v>
      </c>
      <c r="V22" s="797" t="str">
        <f t="shared" si="16"/>
        <v>-</v>
      </c>
      <c r="W22" s="797">
        <f t="shared" si="17"/>
        <v>-0.1</v>
      </c>
      <c r="X22" s="64">
        <f t="shared" si="13"/>
        <v>0.06</v>
      </c>
      <c r="Y22" s="177">
        <f t="shared" si="18"/>
        <v>0.18</v>
      </c>
      <c r="Z22" s="3"/>
      <c r="AA22" s="29" t="s">
        <v>287</v>
      </c>
      <c r="AB22" s="66">
        <f>ROWS(AA$10:$AA22)</f>
        <v>13</v>
      </c>
      <c r="AC22" s="66" t="str">
        <f>IF(ID!$B$88=AA22,AB22,"")</f>
        <v/>
      </c>
      <c r="AD22" s="66" t="str">
        <f>IFERROR(SMALL($AC$10:$AC$204,ROWS($AC$10:AC22)),"")</f>
        <v/>
      </c>
      <c r="AG22" s="67" t="str">
        <f>IFERROR(INDEX($O$10:$Z$204,$AD22,COLUMNS(AF$10:$AF22)),"")</f>
        <v/>
      </c>
      <c r="AH22" s="67" t="str">
        <f>IFERROR(INDEX($O$10:$Z$204,$AD22,COLUMNS($AF$10:AG22)),"")</f>
        <v/>
      </c>
      <c r="AI22" s="67" t="str">
        <f>IFERROR(INDEX($O$10:$Z$204,$AD22,COLUMNS($AF$10:AH22)),"")</f>
        <v/>
      </c>
      <c r="AJ22" s="67" t="str">
        <f>IFERROR(INDEX($O$10:$Z$204,$AD22,COLUMNS($AF$10:AI22)),"")</f>
        <v/>
      </c>
      <c r="AK22" s="67" t="str">
        <f>IFERROR(INDEX($O$10:$Z$204,$AD22,COLUMNS($AF$10:AJ22)),"")</f>
        <v/>
      </c>
      <c r="AL22" s="67" t="str">
        <f>IFERROR(INDEX($O$10:$Z$204,$AD22,COLUMNS($AF$10:AK22)),"")</f>
        <v/>
      </c>
      <c r="AM22" s="67" t="str">
        <f>IFERROR(INDEX($O$10:$Z$204,$AD22,COLUMNS($AF$10:AL22)),"")</f>
        <v/>
      </c>
      <c r="AN22" s="67" t="str">
        <f>IFERROR(INDEX($O$10:$Z$204,$AD22,COLUMNS($AF$10:AM22)),"")</f>
        <v/>
      </c>
      <c r="AO22" s="67" t="str">
        <f>IFERROR(INDEX($O$10:$Z$204,$AD22,COLUMNS($AF$10:AN22)),"")</f>
        <v/>
      </c>
      <c r="AP22" s="67" t="str">
        <f>IFERROR(INDEX($O$10:$Z$204,$AD22,COLUMNS($AF$10:AO22)),"")</f>
        <v/>
      </c>
      <c r="AQ22" s="67" t="str">
        <f>IFERROR(INDEX($O$10:$Z$204,$AD22,COLUMNS($AF$10:AP22)),"")</f>
        <v/>
      </c>
      <c r="AR22" s="67"/>
    </row>
    <row r="23" spans="2:86" x14ac:dyDescent="0.25">
      <c r="B23" s="58">
        <v>150</v>
      </c>
      <c r="C23" s="59" t="s">
        <v>111</v>
      </c>
      <c r="D23" s="1656"/>
      <c r="F23" s="58">
        <v>150</v>
      </c>
      <c r="G23" s="61" t="s">
        <v>111</v>
      </c>
      <c r="H23" s="1656"/>
      <c r="I23" s="73"/>
      <c r="J23" s="58">
        <v>150</v>
      </c>
      <c r="K23" s="61">
        <v>0.1</v>
      </c>
      <c r="L23" s="176">
        <v>0.18</v>
      </c>
      <c r="M23" s="1662"/>
      <c r="N23" s="63"/>
      <c r="O23" s="58">
        <f t="shared" si="10"/>
        <v>150</v>
      </c>
      <c r="P23" s="775"/>
      <c r="Q23" s="776"/>
      <c r="R23" s="776"/>
      <c r="S23" s="64"/>
      <c r="T23" s="62"/>
      <c r="U23" s="806" t="str">
        <f t="shared" si="15"/>
        <v>-</v>
      </c>
      <c r="V23" s="797" t="str">
        <f t="shared" si="16"/>
        <v>-</v>
      </c>
      <c r="W23" s="797">
        <f t="shared" si="17"/>
        <v>0.1</v>
      </c>
      <c r="X23" s="64">
        <f t="shared" si="13"/>
        <v>0.06</v>
      </c>
      <c r="Y23" s="177">
        <f t="shared" si="18"/>
        <v>0.18</v>
      </c>
      <c r="Z23" s="3"/>
      <c r="AA23" s="29" t="s">
        <v>287</v>
      </c>
      <c r="AB23" s="66">
        <f>ROWS(AA$10:$AA23)</f>
        <v>14</v>
      </c>
      <c r="AC23" s="66" t="str">
        <f>IF(ID!$B$88=AA23,AB23,"")</f>
        <v/>
      </c>
      <c r="AD23" s="66" t="str">
        <f>IFERROR(SMALL($AC$10:$AC$204,ROWS($AC$10:AC23)),"")</f>
        <v/>
      </c>
      <c r="AG23" s="67" t="str">
        <f>IFERROR(INDEX($O$10:$Z$204,$AD23,COLUMNS(AF$10:$AF23)),"")</f>
        <v/>
      </c>
      <c r="AH23" s="67" t="str">
        <f>IFERROR(INDEX($O$10:$Z$204,$AD23,COLUMNS($AF$10:AG23)),"")</f>
        <v/>
      </c>
      <c r="AI23" s="67" t="str">
        <f>IFERROR(INDEX($O$10:$Z$204,$AD23,COLUMNS($AF$10:AH23)),"")</f>
        <v/>
      </c>
      <c r="AJ23" s="67" t="str">
        <f>IFERROR(INDEX($O$10:$Z$204,$AD23,COLUMNS($AF$10:AI23)),"")</f>
        <v/>
      </c>
      <c r="AK23" s="67" t="str">
        <f>IFERROR(INDEX($O$10:$Z$204,$AD23,COLUMNS($AF$10:AJ23)),"")</f>
        <v/>
      </c>
      <c r="AL23" s="67" t="str">
        <f>IFERROR(INDEX($O$10:$Z$204,$AD23,COLUMNS($AF$10:AK23)),"")</f>
        <v/>
      </c>
      <c r="AM23" s="67" t="str">
        <f>IFERROR(INDEX($O$10:$Z$204,$AD23,COLUMNS($AF$10:AL23)),"")</f>
        <v/>
      </c>
      <c r="AN23" s="67" t="str">
        <f>IFERROR(INDEX($O$10:$Z$204,$AD23,COLUMNS($AF$10:AM23)),"")</f>
        <v/>
      </c>
      <c r="AO23" s="67" t="str">
        <f>IFERROR(INDEX($O$10:$Z$204,$AD23,COLUMNS($AF$10:AN23)),"")</f>
        <v/>
      </c>
      <c r="AP23" s="67" t="str">
        <f>IFERROR(INDEX($O$10:$Z$204,$AD23,COLUMNS($AF$10:AO23)),"")</f>
        <v/>
      </c>
      <c r="AQ23" s="67" t="str">
        <f>IFERROR(INDEX($O$10:$Z$204,$AD23,COLUMNS($AF$10:AP23)),"")</f>
        <v/>
      </c>
      <c r="AR23" s="67"/>
    </row>
    <row r="24" spans="2:86" x14ac:dyDescent="0.25">
      <c r="B24" s="58">
        <v>200</v>
      </c>
      <c r="C24" s="59" t="s">
        <v>111</v>
      </c>
      <c r="D24" s="1656"/>
      <c r="F24" s="58">
        <v>200</v>
      </c>
      <c r="G24" s="61" t="s">
        <v>111</v>
      </c>
      <c r="H24" s="1656"/>
      <c r="I24" s="73"/>
      <c r="J24" s="58">
        <v>200</v>
      </c>
      <c r="K24" s="61">
        <v>0.1</v>
      </c>
      <c r="L24" s="176">
        <v>0.18</v>
      </c>
      <c r="M24" s="1662"/>
      <c r="N24" s="63"/>
      <c r="O24" s="58">
        <f t="shared" si="10"/>
        <v>200</v>
      </c>
      <c r="P24" s="775"/>
      <c r="Q24" s="776"/>
      <c r="R24" s="776"/>
      <c r="S24" s="64"/>
      <c r="T24" s="62"/>
      <c r="U24" s="806" t="str">
        <f t="shared" si="15"/>
        <v>-</v>
      </c>
      <c r="V24" s="797" t="str">
        <f t="shared" si="16"/>
        <v>-</v>
      </c>
      <c r="W24" s="797">
        <f t="shared" si="17"/>
        <v>0.1</v>
      </c>
      <c r="X24" s="64">
        <f t="shared" si="13"/>
        <v>0.06</v>
      </c>
      <c r="Y24" s="177">
        <f t="shared" si="18"/>
        <v>0.18</v>
      </c>
      <c r="Z24" s="3"/>
      <c r="AA24" s="29" t="s">
        <v>287</v>
      </c>
      <c r="AB24" s="66">
        <f>ROWS(AA$10:$AA24)</f>
        <v>15</v>
      </c>
      <c r="AC24" s="66" t="str">
        <f>IF(ID!$B$88=AA24,AB24,"")</f>
        <v/>
      </c>
      <c r="AD24" s="66" t="str">
        <f>IFERROR(SMALL($AC$10:$AC$204,ROWS($AC$10:AC24)),"")</f>
        <v/>
      </c>
      <c r="AG24" s="67" t="str">
        <f>IFERROR(INDEX($O$10:$Z$204,$AD24,COLUMNS(AF$10:$AF24)),"")</f>
        <v/>
      </c>
      <c r="AH24" s="67" t="str">
        <f>IFERROR(INDEX($O$10:$Z$204,$AD24,COLUMNS($AF$10:AG24)),"")</f>
        <v/>
      </c>
      <c r="AI24" s="67" t="str">
        <f>IFERROR(INDEX($O$10:$Z$204,$AD24,COLUMNS($AF$10:AH24)),"")</f>
        <v/>
      </c>
      <c r="AJ24" s="67" t="str">
        <f>IFERROR(INDEX($O$10:$Z$204,$AD24,COLUMNS($AF$10:AI24)),"")</f>
        <v/>
      </c>
      <c r="AK24" s="67" t="str">
        <f>IFERROR(INDEX($O$10:$Z$204,$AD24,COLUMNS($AF$10:AJ24)),"")</f>
        <v/>
      </c>
      <c r="AL24" s="67" t="str">
        <f>IFERROR(INDEX($O$10:$Z$204,$AD24,COLUMNS($AF$10:AK24)),"")</f>
        <v/>
      </c>
      <c r="AM24" s="67" t="str">
        <f>IFERROR(INDEX($O$10:$Z$204,$AD24,COLUMNS($AF$10:AL24)),"")</f>
        <v/>
      </c>
      <c r="AN24" s="67" t="str">
        <f>IFERROR(INDEX($O$10:$Z$204,$AD24,COLUMNS($AF$10:AM24)),"")</f>
        <v/>
      </c>
      <c r="AO24" s="67" t="str">
        <f>IFERROR(INDEX($O$10:$Z$204,$AD24,COLUMNS($AF$10:AN24)),"")</f>
        <v/>
      </c>
      <c r="AP24" s="67" t="str">
        <f>IFERROR(INDEX($O$10:$Z$204,$AD24,COLUMNS($AF$10:AO24)),"")</f>
        <v/>
      </c>
      <c r="AQ24" s="67" t="str">
        <f>IFERROR(INDEX($O$10:$Z$204,$AD24,COLUMNS($AF$10:AP24)),"")</f>
        <v/>
      </c>
      <c r="AR24" s="67"/>
    </row>
    <row r="25" spans="2:86" x14ac:dyDescent="0.25">
      <c r="B25" s="58">
        <v>250</v>
      </c>
      <c r="C25" s="59" t="s">
        <v>111</v>
      </c>
      <c r="D25" s="1656"/>
      <c r="F25" s="58">
        <v>250</v>
      </c>
      <c r="G25" s="61" t="s">
        <v>111</v>
      </c>
      <c r="H25" s="1656"/>
      <c r="I25" s="73"/>
      <c r="J25" s="58">
        <v>250</v>
      </c>
      <c r="K25" s="61">
        <v>0.3</v>
      </c>
      <c r="L25" s="176">
        <v>0.18</v>
      </c>
      <c r="M25" s="1662"/>
      <c r="N25" s="63"/>
      <c r="O25" s="58">
        <f t="shared" si="10"/>
        <v>250</v>
      </c>
      <c r="P25" s="775"/>
      <c r="Q25" s="776"/>
      <c r="R25" s="776"/>
      <c r="S25" s="64"/>
      <c r="T25" s="62"/>
      <c r="U25" s="806" t="str">
        <f t="shared" si="15"/>
        <v>-</v>
      </c>
      <c r="V25" s="797" t="str">
        <f t="shared" si="16"/>
        <v>-</v>
      </c>
      <c r="W25" s="797">
        <f t="shared" si="17"/>
        <v>0.3</v>
      </c>
      <c r="X25" s="64">
        <f t="shared" si="13"/>
        <v>0.06</v>
      </c>
      <c r="Y25" s="177">
        <f t="shared" si="18"/>
        <v>0.18</v>
      </c>
      <c r="Z25" s="3"/>
      <c r="AA25" s="29" t="s">
        <v>287</v>
      </c>
      <c r="AB25" s="66">
        <f>ROWS(AA$10:$AA25)</f>
        <v>16</v>
      </c>
      <c r="AC25" s="66" t="str">
        <f>IF(ID!$B$88=AA25,AB25,"")</f>
        <v/>
      </c>
      <c r="AD25" s="66" t="str">
        <f>IFERROR(SMALL($AC$10:$AC$204,ROWS($AC$10:AC25)),"")</f>
        <v/>
      </c>
    </row>
    <row r="26" spans="2:86" x14ac:dyDescent="0.25">
      <c r="B26" s="58">
        <v>300</v>
      </c>
      <c r="C26" s="59" t="s">
        <v>111</v>
      </c>
      <c r="D26" s="1657"/>
      <c r="F26" s="58">
        <v>300</v>
      </c>
      <c r="G26" s="61" t="s">
        <v>111</v>
      </c>
      <c r="H26" s="1657"/>
      <c r="I26" s="73"/>
      <c r="J26" s="58">
        <v>300</v>
      </c>
      <c r="K26" s="61">
        <v>0.6</v>
      </c>
      <c r="L26" s="176">
        <v>0.18</v>
      </c>
      <c r="M26" s="1663"/>
      <c r="N26" s="63"/>
      <c r="O26" s="58">
        <f t="shared" si="10"/>
        <v>300</v>
      </c>
      <c r="P26" s="775"/>
      <c r="Q26" s="776"/>
      <c r="R26" s="776"/>
      <c r="S26" s="64"/>
      <c r="T26" s="62"/>
      <c r="U26" s="806" t="str">
        <f t="shared" si="15"/>
        <v>-</v>
      </c>
      <c r="V26" s="797" t="str">
        <f t="shared" si="16"/>
        <v>-</v>
      </c>
      <c r="W26" s="797">
        <f t="shared" si="17"/>
        <v>0.6</v>
      </c>
      <c r="X26" s="64">
        <f t="shared" si="13"/>
        <v>0.06</v>
      </c>
      <c r="Y26" s="177">
        <f t="shared" si="18"/>
        <v>0.18</v>
      </c>
      <c r="Z26" s="3"/>
      <c r="AA26" s="29" t="s">
        <v>287</v>
      </c>
      <c r="AB26" s="66">
        <f>ROWS(AA$10:$AA26)</f>
        <v>17</v>
      </c>
      <c r="AC26" s="66" t="str">
        <f>IF(ID!$B$88=AA26,AB26,"")</f>
        <v/>
      </c>
      <c r="AD26" s="66" t="str">
        <f>IFERROR(SMALL($AC$10:$AC$204,ROWS($AC$10:AC26)),"")</f>
        <v/>
      </c>
    </row>
    <row r="27" spans="2:86" x14ac:dyDescent="0.25">
      <c r="O27" s="74"/>
      <c r="P27" s="780"/>
      <c r="Q27" s="781"/>
      <c r="R27" s="781"/>
      <c r="S27" s="46"/>
      <c r="T27" s="75"/>
      <c r="U27" s="798"/>
      <c r="V27" s="798"/>
      <c r="W27" s="798"/>
      <c r="X27" s="77"/>
      <c r="Y27" s="76"/>
      <c r="Z27" s="3"/>
      <c r="AA27" s="29"/>
      <c r="AB27" s="66">
        <f>ROWS(AA$10:$AA27)</f>
        <v>18</v>
      </c>
      <c r="AC27" s="66" t="str">
        <f>IF(ID!$B$88=AA27,AB27,"")</f>
        <v/>
      </c>
      <c r="AD27" s="66" t="str">
        <f>IFERROR(SMALL($AC$10:$AC$204,ROWS($AC$10:AC27)),"")</f>
        <v/>
      </c>
    </row>
    <row r="28" spans="2:86" s="4" customFormat="1" x14ac:dyDescent="0.25">
      <c r="O28" s="68"/>
      <c r="P28" s="771"/>
      <c r="Q28" s="772"/>
      <c r="R28" s="772"/>
      <c r="S28" s="44"/>
      <c r="U28" s="792"/>
      <c r="V28" s="792"/>
      <c r="W28" s="792"/>
      <c r="X28" s="44"/>
      <c r="AB28" s="66">
        <f>ROWS(AA$10:$AA28)</f>
        <v>19</v>
      </c>
      <c r="AC28" s="66" t="str">
        <f>IF(ID!$B$88=AA28,AB28,"")</f>
        <v/>
      </c>
      <c r="AD28" s="66" t="str">
        <f>IFERROR(SMALL($AC$10:$AC$204,ROWS($AC$10:AC28)),"")</f>
        <v/>
      </c>
      <c r="AE28" s="1"/>
      <c r="AF28" s="1"/>
      <c r="AG28" s="1"/>
      <c r="AH28" s="1"/>
    </row>
    <row r="29" spans="2:86" x14ac:dyDescent="0.25">
      <c r="O29" s="69"/>
      <c r="P29" s="777"/>
      <c r="Q29" s="778"/>
      <c r="R29" s="779"/>
      <c r="S29" s="71"/>
      <c r="X29" s="88"/>
      <c r="AB29" s="66">
        <f>ROWS(AA$10:$AA29)</f>
        <v>20</v>
      </c>
      <c r="AC29" s="66" t="str">
        <f>IF(ID!$B$88=AA29,AB29,"")</f>
        <v/>
      </c>
      <c r="AD29" s="66" t="str">
        <f>IFERROR(SMALL($AC$10:$AC$204,ROWS($AC$10:AC29)),"")</f>
        <v/>
      </c>
    </row>
    <row r="30" spans="2:86" x14ac:dyDescent="0.25">
      <c r="B30" s="58">
        <v>0</v>
      </c>
      <c r="C30" s="59" t="s">
        <v>111</v>
      </c>
      <c r="D30" s="1655"/>
      <c r="F30" s="58">
        <v>0</v>
      </c>
      <c r="G30" s="1186">
        <v>9.9999999999999995E-7</v>
      </c>
      <c r="H30" s="1658" t="s">
        <v>404</v>
      </c>
      <c r="I30" s="73"/>
      <c r="J30" s="58">
        <v>0</v>
      </c>
      <c r="K30" s="1186">
        <v>9.9999999999999995E-7</v>
      </c>
      <c r="L30" s="176">
        <v>0.1</v>
      </c>
      <c r="M30" s="1661" t="s">
        <v>463</v>
      </c>
      <c r="N30" s="78"/>
      <c r="O30" s="58">
        <f t="shared" ref="O30:O36" si="19">J30</f>
        <v>0</v>
      </c>
      <c r="P30" s="775"/>
      <c r="Q30" s="776"/>
      <c r="R30" s="776"/>
      <c r="S30" s="64"/>
      <c r="T30" s="62"/>
      <c r="U30" s="806" t="str">
        <f>C30</f>
        <v>-</v>
      </c>
      <c r="V30" s="797">
        <f>G30</f>
        <v>9.9999999999999995E-7</v>
      </c>
      <c r="W30" s="797">
        <f>K30</f>
        <v>9.9999999999999995E-7</v>
      </c>
      <c r="X30" s="64">
        <f>0.5*(MAX(U30:W30)-(MIN(U30:W30)))</f>
        <v>0</v>
      </c>
      <c r="Y30" s="177">
        <f>L30</f>
        <v>0.1</v>
      </c>
      <c r="Z30" s="3" t="s">
        <v>465</v>
      </c>
      <c r="AA30" s="29" t="s">
        <v>290</v>
      </c>
      <c r="AB30" s="66">
        <f>ROWS(AA$10:$AA30)</f>
        <v>21</v>
      </c>
      <c r="AC30" s="66" t="str">
        <f>IF(ID!$B$88=AA30,AB30,"")</f>
        <v/>
      </c>
      <c r="AD30" s="66" t="str">
        <f>IFERROR(SMALL($AC$10:$AC$204,ROWS($AC$10:AC30)),"")</f>
        <v/>
      </c>
    </row>
    <row r="31" spans="2:86" x14ac:dyDescent="0.25">
      <c r="B31" s="58">
        <v>50</v>
      </c>
      <c r="C31" s="59" t="s">
        <v>111</v>
      </c>
      <c r="D31" s="1656"/>
      <c r="F31" s="58">
        <v>50</v>
      </c>
      <c r="G31" s="61">
        <v>-0.1</v>
      </c>
      <c r="H31" s="1659"/>
      <c r="I31" s="73"/>
      <c r="J31" s="58">
        <v>50</v>
      </c>
      <c r="K31" s="61">
        <v>0.1</v>
      </c>
      <c r="L31" s="176">
        <v>0.1</v>
      </c>
      <c r="M31" s="1662"/>
      <c r="N31" s="63"/>
      <c r="O31" s="58">
        <f t="shared" si="19"/>
        <v>50</v>
      </c>
      <c r="P31" s="775"/>
      <c r="Q31" s="776"/>
      <c r="R31" s="776"/>
      <c r="S31" s="64"/>
      <c r="T31" s="62"/>
      <c r="U31" s="806" t="str">
        <f t="shared" ref="U31:U36" si="20">C31</f>
        <v>-</v>
      </c>
      <c r="V31" s="797">
        <f t="shared" ref="V31:V36" si="21">G31</f>
        <v>-0.1</v>
      </c>
      <c r="W31" s="797">
        <f t="shared" ref="W31:W36" si="22">K31</f>
        <v>0.1</v>
      </c>
      <c r="X31" s="64">
        <f t="shared" ref="X31:X36" si="23">0.5*(MAX(U31:W31)-(MIN(U31:W31)))</f>
        <v>0.1</v>
      </c>
      <c r="Y31" s="177">
        <f t="shared" ref="Y31:Y36" si="24">L31</f>
        <v>0.1</v>
      </c>
      <c r="Z31" s="3"/>
      <c r="AA31" s="29" t="s">
        <v>290</v>
      </c>
      <c r="AB31" s="66">
        <f>ROWS(AA$10:$AA31)</f>
        <v>22</v>
      </c>
      <c r="AC31" s="66" t="str">
        <f>IF(ID!$B$88=AA31,AB31,"")</f>
        <v/>
      </c>
      <c r="AD31" s="66" t="str">
        <f>IFERROR(SMALL($AC$10:$AC$204,ROWS($AC$10:AC31)),"")</f>
        <v/>
      </c>
    </row>
    <row r="32" spans="2:86" x14ac:dyDescent="0.25">
      <c r="B32" s="58">
        <v>100</v>
      </c>
      <c r="C32" s="59" t="s">
        <v>111</v>
      </c>
      <c r="D32" s="1656"/>
      <c r="F32" s="58">
        <v>100</v>
      </c>
      <c r="G32" s="61">
        <v>0.2</v>
      </c>
      <c r="H32" s="1659"/>
      <c r="I32" s="73"/>
      <c r="J32" s="58">
        <v>100</v>
      </c>
      <c r="K32" s="61">
        <v>0.3</v>
      </c>
      <c r="L32" s="176">
        <v>0.1</v>
      </c>
      <c r="M32" s="1662"/>
      <c r="N32" s="63"/>
      <c r="O32" s="58">
        <f t="shared" si="19"/>
        <v>100</v>
      </c>
      <c r="P32" s="775"/>
      <c r="Q32" s="776"/>
      <c r="R32" s="776"/>
      <c r="S32" s="64"/>
      <c r="T32" s="62"/>
      <c r="U32" s="806" t="str">
        <f t="shared" si="20"/>
        <v>-</v>
      </c>
      <c r="V32" s="797">
        <f t="shared" si="21"/>
        <v>0.2</v>
      </c>
      <c r="W32" s="797">
        <f t="shared" si="22"/>
        <v>0.3</v>
      </c>
      <c r="X32" s="64">
        <f t="shared" si="23"/>
        <v>4.9999999999999989E-2</v>
      </c>
      <c r="Y32" s="177">
        <f t="shared" si="24"/>
        <v>0.1</v>
      </c>
      <c r="Z32" s="3"/>
      <c r="AA32" s="29" t="s">
        <v>290</v>
      </c>
      <c r="AB32" s="66">
        <f>ROWS(AA$10:$AA32)</f>
        <v>23</v>
      </c>
      <c r="AC32" s="66" t="str">
        <f>IF(ID!$B$88=AA32,AB32,"")</f>
        <v/>
      </c>
      <c r="AD32" s="66" t="str">
        <f>IFERROR(SMALL($AC$10:$AC$204,ROWS($AC$10:AC32)),"")</f>
        <v/>
      </c>
      <c r="AG32" s="29" t="s">
        <v>842</v>
      </c>
    </row>
    <row r="33" spans="2:34" x14ac:dyDescent="0.25">
      <c r="B33" s="58">
        <v>150</v>
      </c>
      <c r="C33" s="59" t="s">
        <v>111</v>
      </c>
      <c r="D33" s="1656"/>
      <c r="F33" s="58">
        <v>150</v>
      </c>
      <c r="G33" s="61">
        <v>0.1</v>
      </c>
      <c r="H33" s="1659"/>
      <c r="I33" s="73"/>
      <c r="J33" s="58">
        <v>150</v>
      </c>
      <c r="K33" s="61">
        <v>0.4</v>
      </c>
      <c r="L33" s="176">
        <v>0.1</v>
      </c>
      <c r="M33" s="1662"/>
      <c r="N33" s="63"/>
      <c r="O33" s="58">
        <f t="shared" si="19"/>
        <v>150</v>
      </c>
      <c r="P33" s="775"/>
      <c r="Q33" s="776"/>
      <c r="R33" s="776"/>
      <c r="S33" s="64"/>
      <c r="T33" s="62"/>
      <c r="U33" s="806" t="str">
        <f t="shared" si="20"/>
        <v>-</v>
      </c>
      <c r="V33" s="797">
        <f t="shared" si="21"/>
        <v>0.1</v>
      </c>
      <c r="W33" s="797">
        <f t="shared" si="22"/>
        <v>0.4</v>
      </c>
      <c r="X33" s="64">
        <f t="shared" si="23"/>
        <v>0.15000000000000002</v>
      </c>
      <c r="Y33" s="177">
        <f t="shared" si="24"/>
        <v>0.1</v>
      </c>
      <c r="Z33" s="3"/>
      <c r="AA33" s="29" t="s">
        <v>290</v>
      </c>
      <c r="AB33" s="66">
        <f>ROWS(AA$10:$AA33)</f>
        <v>24</v>
      </c>
      <c r="AC33" s="66" t="str">
        <f>IF(ID!$B$88=AA33,AB33,"")</f>
        <v/>
      </c>
      <c r="AD33" s="66" t="str">
        <f>IFERROR(SMALL($AC$10:$AC$204,ROWS($AC$10:AC33)),"")</f>
        <v/>
      </c>
      <c r="AG33" s="29" t="s">
        <v>841</v>
      </c>
    </row>
    <row r="34" spans="2:34" x14ac:dyDescent="0.25">
      <c r="B34" s="58">
        <v>200</v>
      </c>
      <c r="C34" s="59" t="s">
        <v>111</v>
      </c>
      <c r="D34" s="1656"/>
      <c r="F34" s="58">
        <v>200</v>
      </c>
      <c r="G34" s="61">
        <v>0.2</v>
      </c>
      <c r="H34" s="1659"/>
      <c r="I34" s="73"/>
      <c r="J34" s="58">
        <v>200</v>
      </c>
      <c r="K34" s="61">
        <v>0.4</v>
      </c>
      <c r="L34" s="176">
        <v>0.1</v>
      </c>
      <c r="M34" s="1662"/>
      <c r="N34" s="63"/>
      <c r="O34" s="58">
        <f t="shared" si="19"/>
        <v>200</v>
      </c>
      <c r="P34" s="775"/>
      <c r="Q34" s="776"/>
      <c r="R34" s="776"/>
      <c r="S34" s="64"/>
      <c r="T34" s="62"/>
      <c r="U34" s="806" t="str">
        <f t="shared" si="20"/>
        <v>-</v>
      </c>
      <c r="V34" s="797">
        <f t="shared" si="21"/>
        <v>0.2</v>
      </c>
      <c r="W34" s="797">
        <f t="shared" si="22"/>
        <v>0.4</v>
      </c>
      <c r="X34" s="64">
        <f t="shared" si="23"/>
        <v>0.1</v>
      </c>
      <c r="Y34" s="177">
        <f t="shared" si="24"/>
        <v>0.1</v>
      </c>
      <c r="Z34" s="3"/>
      <c r="AA34" s="29" t="s">
        <v>290</v>
      </c>
      <c r="AB34" s="66">
        <f>ROWS(AA$10:$AA34)</f>
        <v>25</v>
      </c>
      <c r="AC34" s="66" t="str">
        <f>IF(ID!$B$88=AA34,AB34,"")</f>
        <v/>
      </c>
      <c r="AD34" s="66" t="str">
        <f>IFERROR(SMALL($AC$10:$AC$204,ROWS($AC$10:AC34)),"")</f>
        <v/>
      </c>
      <c r="AG34" s="29" t="s">
        <v>285</v>
      </c>
    </row>
    <row r="35" spans="2:34" x14ac:dyDescent="0.25">
      <c r="B35" s="58">
        <v>250</v>
      </c>
      <c r="C35" s="59" t="s">
        <v>111</v>
      </c>
      <c r="D35" s="1656"/>
      <c r="F35" s="58">
        <v>250</v>
      </c>
      <c r="G35" s="61">
        <v>0.3</v>
      </c>
      <c r="H35" s="1659"/>
      <c r="I35" s="73"/>
      <c r="J35" s="58">
        <v>250</v>
      </c>
      <c r="K35" s="61">
        <v>0.6</v>
      </c>
      <c r="L35" s="176">
        <v>0.1</v>
      </c>
      <c r="M35" s="1662"/>
      <c r="N35" s="63"/>
      <c r="O35" s="58">
        <f t="shared" si="19"/>
        <v>250</v>
      </c>
      <c r="P35" s="775"/>
      <c r="Q35" s="776"/>
      <c r="R35" s="776"/>
      <c r="S35" s="64"/>
      <c r="T35" s="62"/>
      <c r="U35" s="806" t="str">
        <f t="shared" si="20"/>
        <v>-</v>
      </c>
      <c r="V35" s="797">
        <f t="shared" si="21"/>
        <v>0.3</v>
      </c>
      <c r="W35" s="797">
        <f t="shared" si="22"/>
        <v>0.6</v>
      </c>
      <c r="X35" s="64">
        <f t="shared" si="23"/>
        <v>0.15</v>
      </c>
      <c r="Y35" s="177">
        <f t="shared" si="24"/>
        <v>0.1</v>
      </c>
      <c r="Z35" s="3"/>
      <c r="AA35" s="29" t="s">
        <v>290</v>
      </c>
      <c r="AB35" s="66">
        <f>ROWS(AA$10:$AA35)</f>
        <v>26</v>
      </c>
      <c r="AC35" s="66" t="str">
        <f>IF(ID!$B$88=AA35,AB35,"")</f>
        <v/>
      </c>
      <c r="AD35" s="66" t="str">
        <f>IFERROR(SMALL($AC$10:$AC$204,ROWS($AC$10:AC35)),"")</f>
        <v/>
      </c>
      <c r="AG35" s="29" t="s">
        <v>287</v>
      </c>
    </row>
    <row r="36" spans="2:34" x14ac:dyDescent="0.25">
      <c r="B36" s="58">
        <v>300</v>
      </c>
      <c r="C36" s="59" t="s">
        <v>111</v>
      </c>
      <c r="D36" s="1657"/>
      <c r="F36" s="58">
        <v>300</v>
      </c>
      <c r="G36" s="61">
        <v>0.4</v>
      </c>
      <c r="H36" s="1660"/>
      <c r="I36" s="73"/>
      <c r="J36" s="58">
        <v>300</v>
      </c>
      <c r="K36" s="61">
        <v>0.7</v>
      </c>
      <c r="L36" s="176">
        <v>0.1</v>
      </c>
      <c r="M36" s="1663"/>
      <c r="N36" s="63"/>
      <c r="O36" s="58">
        <f t="shared" si="19"/>
        <v>300</v>
      </c>
      <c r="P36" s="775"/>
      <c r="Q36" s="776"/>
      <c r="R36" s="776"/>
      <c r="S36" s="64"/>
      <c r="T36" s="62"/>
      <c r="U36" s="806" t="str">
        <f t="shared" si="20"/>
        <v>-</v>
      </c>
      <c r="V36" s="797">
        <f t="shared" si="21"/>
        <v>0.4</v>
      </c>
      <c r="W36" s="797">
        <f t="shared" si="22"/>
        <v>0.7</v>
      </c>
      <c r="X36" s="64">
        <f t="shared" si="23"/>
        <v>0.14999999999999997</v>
      </c>
      <c r="Y36" s="177">
        <f t="shared" si="24"/>
        <v>0.1</v>
      </c>
      <c r="Z36" s="3"/>
      <c r="AA36" s="29" t="s">
        <v>290</v>
      </c>
      <c r="AB36" s="66">
        <f>ROWS(AA$10:$AA36)</f>
        <v>27</v>
      </c>
      <c r="AC36" s="66" t="str">
        <f>IF(ID!$B$88=AA36,AB36,"")</f>
        <v/>
      </c>
      <c r="AD36" s="66" t="str">
        <f>IFERROR(SMALL($AC$10:$AC$204,ROWS($AC$10:AC36)),"")</f>
        <v/>
      </c>
      <c r="AG36" s="29" t="s">
        <v>290</v>
      </c>
    </row>
    <row r="37" spans="2:34" x14ac:dyDescent="0.25">
      <c r="O37" s="79"/>
      <c r="P37" s="782"/>
      <c r="Q37" s="783"/>
      <c r="R37" s="783"/>
      <c r="S37" s="80"/>
      <c r="T37" s="81"/>
      <c r="U37" s="799"/>
      <c r="V37" s="799"/>
      <c r="W37" s="799"/>
      <c r="X37" s="82"/>
      <c r="Y37" s="83"/>
      <c r="Z37" s="5"/>
      <c r="AA37" s="29"/>
      <c r="AB37" s="66">
        <f>ROWS(AA$10:$AA37)</f>
        <v>28</v>
      </c>
      <c r="AC37" s="66" t="str">
        <f>IF(ID!$B$88=AA37,AB37,"")</f>
        <v/>
      </c>
      <c r="AD37" s="66" t="str">
        <f>IFERROR(SMALL($AC$10:$AC$204,ROWS($AC$10:AC37)),"")</f>
        <v/>
      </c>
      <c r="AG37" s="29" t="s">
        <v>162</v>
      </c>
    </row>
    <row r="38" spans="2:34" s="7" customFormat="1" x14ac:dyDescent="0.25">
      <c r="O38" s="84"/>
      <c r="P38" s="782"/>
      <c r="Q38" s="783"/>
      <c r="R38" s="783"/>
      <c r="S38" s="80"/>
      <c r="T38" s="81"/>
      <c r="U38" s="799"/>
      <c r="V38" s="799"/>
      <c r="W38" s="799"/>
      <c r="X38" s="82"/>
      <c r="Y38" s="83"/>
      <c r="Z38" s="5"/>
      <c r="AA38" s="29"/>
      <c r="AB38" s="66">
        <f>ROWS(AA$10:$AA38)</f>
        <v>29</v>
      </c>
      <c r="AC38" s="66" t="str">
        <f>IF(ID!$B$88=AA38,AB38,"")</f>
        <v/>
      </c>
      <c r="AD38" s="66" t="str">
        <f>IFERROR(SMALL($AC$10:$AC$204,ROWS($AC$10:AC38)),"")</f>
        <v/>
      </c>
    </row>
    <row r="39" spans="2:34" x14ac:dyDescent="0.25">
      <c r="O39" s="79"/>
      <c r="P39" s="782"/>
      <c r="Q39" s="783"/>
      <c r="R39" s="781"/>
      <c r="S39" s="46"/>
      <c r="T39" s="8"/>
      <c r="U39" s="791"/>
      <c r="V39" s="791"/>
      <c r="W39" s="791"/>
      <c r="X39" s="46"/>
      <c r="Y39" s="8"/>
      <c r="Z39" s="5"/>
      <c r="AA39" s="29"/>
      <c r="AB39" s="66">
        <f>ROWS(AA$10:$AA39)</f>
        <v>30</v>
      </c>
      <c r="AC39" s="66" t="str">
        <f>IF(ID!$B$88=AA39,AB39,"")</f>
        <v/>
      </c>
      <c r="AD39" s="66" t="str">
        <f>IFERROR(SMALL($AC$10:$AC$204,ROWS($AC$10:AC39)),"")</f>
        <v/>
      </c>
    </row>
    <row r="40" spans="2:34" x14ac:dyDescent="0.25">
      <c r="O40" s="79"/>
      <c r="P40" s="782"/>
      <c r="Q40" s="783"/>
      <c r="R40" s="784"/>
      <c r="S40" s="85"/>
      <c r="T40" s="86"/>
      <c r="U40" s="799"/>
      <c r="V40" s="799"/>
      <c r="W40" s="799"/>
      <c r="X40" s="82"/>
      <c r="Y40" s="83"/>
      <c r="Z40" s="5"/>
      <c r="AA40" s="29"/>
      <c r="AB40" s="66">
        <f>ROWS(AA$10:$AA40)</f>
        <v>31</v>
      </c>
      <c r="AC40" s="66" t="str">
        <f>IF(ID!$B$88=AA40,AB40,"")</f>
        <v/>
      </c>
      <c r="AD40" s="66" t="str">
        <f>IFERROR(SMALL($AC$10:$AC$204,ROWS($AC$10:AC40)),"")</f>
        <v/>
      </c>
    </row>
    <row r="41" spans="2:34" s="7" customFormat="1" x14ac:dyDescent="0.25">
      <c r="O41" s="87"/>
      <c r="P41" s="785"/>
      <c r="Q41" s="786"/>
      <c r="R41" s="772"/>
      <c r="S41" s="44"/>
      <c r="T41" s="4"/>
      <c r="U41" s="792"/>
      <c r="V41" s="792"/>
      <c r="W41" s="792"/>
      <c r="X41" s="44"/>
      <c r="Y41" s="4"/>
      <c r="AB41" s="66">
        <f>ROWS(AA$10:$AA41)</f>
        <v>32</v>
      </c>
      <c r="AC41" s="66" t="str">
        <f>IF(ID!$B$88=AA41,AB41,"")</f>
        <v/>
      </c>
      <c r="AD41" s="66" t="str">
        <f>IFERROR(SMALL($AC$10:$AC$204,ROWS($AC$10:AC41)),"")</f>
        <v/>
      </c>
    </row>
    <row r="42" spans="2:34" s="4" customFormat="1" x14ac:dyDescent="0.25">
      <c r="O42" s="68"/>
      <c r="P42" s="771"/>
      <c r="Q42" s="772"/>
      <c r="R42" s="772"/>
      <c r="S42" s="44"/>
      <c r="U42" s="792"/>
      <c r="V42" s="792"/>
      <c r="W42" s="792"/>
      <c r="X42" s="44"/>
      <c r="AB42" s="66">
        <f>ROWS(AA$10:$AA42)</f>
        <v>33</v>
      </c>
      <c r="AC42" s="66" t="str">
        <f>IF(ID!$B$88=AA42,AB42,"")</f>
        <v/>
      </c>
      <c r="AD42" s="66" t="str">
        <f>IFERROR(SMALL($AC$10:$AC$204,ROWS($AC$10:AC42)),"")</f>
        <v/>
      </c>
    </row>
    <row r="43" spans="2:34" s="4" customFormat="1" x14ac:dyDescent="0.25">
      <c r="O43" s="68"/>
      <c r="P43" s="771"/>
      <c r="Q43" s="772"/>
      <c r="R43" s="772"/>
      <c r="S43" s="44"/>
      <c r="U43" s="792"/>
      <c r="V43" s="792"/>
      <c r="W43" s="792"/>
      <c r="X43" s="44"/>
      <c r="AB43" s="66">
        <f>ROWS(AA$10:$AA43)</f>
        <v>34</v>
      </c>
      <c r="AC43" s="66" t="str">
        <f>IF(ID!$B$88=AA43,AB43,"")</f>
        <v/>
      </c>
      <c r="AD43" s="66" t="str">
        <f>IFERROR(SMALL($AC$10:$AC$204,ROWS($AC$10:AC43)),"")</f>
        <v/>
      </c>
      <c r="AE43" s="1"/>
      <c r="AF43" s="1"/>
      <c r="AG43" s="1"/>
      <c r="AH43" s="1"/>
    </row>
    <row r="44" spans="2:34" x14ac:dyDescent="0.25">
      <c r="O44" s="69"/>
      <c r="P44" s="777"/>
      <c r="Q44" s="778"/>
      <c r="R44" s="779"/>
      <c r="S44" s="88"/>
      <c r="X44" s="88"/>
      <c r="AB44" s="66">
        <f>ROWS(AA$10:$AA44)</f>
        <v>35</v>
      </c>
      <c r="AC44" s="66" t="str">
        <f>IF(ID!$B$88=AA44,AB44,"")</f>
        <v/>
      </c>
      <c r="AD44" s="66" t="str">
        <f>IFERROR(SMALL($AC$10:$AC$204,ROWS($AC$10:AC44)),"")</f>
        <v/>
      </c>
    </row>
    <row r="45" spans="2:34" x14ac:dyDescent="0.25">
      <c r="B45" s="58">
        <v>0</v>
      </c>
      <c r="C45" s="59" t="s">
        <v>111</v>
      </c>
      <c r="D45" s="1655"/>
      <c r="F45" s="58">
        <v>0</v>
      </c>
      <c r="G45" s="1186">
        <v>9.9999999999999995E-7</v>
      </c>
      <c r="H45" s="1658" t="s">
        <v>404</v>
      </c>
      <c r="I45" s="73"/>
      <c r="J45" s="58">
        <v>0</v>
      </c>
      <c r="K45" s="1186">
        <v>9.9999999999999995E-7</v>
      </c>
      <c r="L45" s="176">
        <v>0.1</v>
      </c>
      <c r="M45" s="1661" t="s">
        <v>464</v>
      </c>
      <c r="N45" s="63"/>
      <c r="O45" s="58">
        <f t="shared" ref="O45:O51" si="25">J45</f>
        <v>0</v>
      </c>
      <c r="P45" s="775"/>
      <c r="Q45" s="776"/>
      <c r="R45" s="776"/>
      <c r="S45" s="64"/>
      <c r="T45" s="62"/>
      <c r="U45" s="806" t="str">
        <f>C45</f>
        <v>-</v>
      </c>
      <c r="V45" s="797">
        <f>G45</f>
        <v>9.9999999999999995E-7</v>
      </c>
      <c r="W45" s="797">
        <f>K45</f>
        <v>9.9999999999999995E-7</v>
      </c>
      <c r="X45" s="64">
        <f>0.5*(MAX(U45:W45)-(MIN(U45:W45)))</f>
        <v>0</v>
      </c>
      <c r="Y45" s="177">
        <f>L45</f>
        <v>0.1</v>
      </c>
      <c r="Z45" s="3" t="s">
        <v>465</v>
      </c>
      <c r="AA45" s="29" t="s">
        <v>162</v>
      </c>
      <c r="AB45" s="66">
        <f>ROWS(AA$10:$AA45)</f>
        <v>36</v>
      </c>
      <c r="AC45" s="66" t="str">
        <f>IF(ID!$B$88=AA45,AB45,"")</f>
        <v/>
      </c>
      <c r="AD45" s="66" t="str">
        <f>IFERROR(SMALL($AC$10:$AC$204,ROWS($AC$10:AC45)),"")</f>
        <v/>
      </c>
    </row>
    <row r="46" spans="2:34" x14ac:dyDescent="0.25">
      <c r="B46" s="58">
        <v>50</v>
      </c>
      <c r="C46" s="59" t="s">
        <v>111</v>
      </c>
      <c r="D46" s="1656"/>
      <c r="F46" s="58">
        <v>50</v>
      </c>
      <c r="G46" s="61">
        <v>-0.2</v>
      </c>
      <c r="H46" s="1659"/>
      <c r="I46" s="73"/>
      <c r="J46" s="58">
        <v>50</v>
      </c>
      <c r="K46" s="61">
        <v>-0.2</v>
      </c>
      <c r="L46" s="176">
        <v>0.1</v>
      </c>
      <c r="M46" s="1662"/>
      <c r="N46" s="63"/>
      <c r="O46" s="58">
        <f t="shared" si="25"/>
        <v>50</v>
      </c>
      <c r="P46" s="775"/>
      <c r="Q46" s="776"/>
      <c r="R46" s="776"/>
      <c r="S46" s="64"/>
      <c r="T46" s="62"/>
      <c r="U46" s="806" t="str">
        <f t="shared" ref="U46:U51" si="26">C46</f>
        <v>-</v>
      </c>
      <c r="V46" s="797">
        <f t="shared" ref="V46:V51" si="27">G46</f>
        <v>-0.2</v>
      </c>
      <c r="W46" s="797">
        <f t="shared" ref="W46:W51" si="28">K46</f>
        <v>-0.2</v>
      </c>
      <c r="X46" s="64">
        <f t="shared" ref="X46:X51" si="29">0.5*(MAX(U46:W46)-(MIN(U46:W46)))</f>
        <v>0</v>
      </c>
      <c r="Y46" s="177">
        <f t="shared" ref="Y46:Y51" si="30">L46</f>
        <v>0.1</v>
      </c>
      <c r="Z46" s="3"/>
      <c r="AA46" s="29" t="s">
        <v>162</v>
      </c>
      <c r="AB46" s="66">
        <f>ROWS(AA$10:$AA46)</f>
        <v>37</v>
      </c>
      <c r="AC46" s="66" t="str">
        <f>IF(ID!$B$88=AA46,AB46,"")</f>
        <v/>
      </c>
      <c r="AD46" s="66" t="str">
        <f>IFERROR(SMALL($AC$10:$AC$204,ROWS($AC$10:AC46)),"")</f>
        <v/>
      </c>
    </row>
    <row r="47" spans="2:34" x14ac:dyDescent="0.25">
      <c r="B47" s="58">
        <v>100</v>
      </c>
      <c r="C47" s="59" t="s">
        <v>111</v>
      </c>
      <c r="D47" s="1656"/>
      <c r="F47" s="58">
        <v>100</v>
      </c>
      <c r="G47" s="61">
        <v>-0.1</v>
      </c>
      <c r="H47" s="1659"/>
      <c r="I47" s="73"/>
      <c r="J47" s="58">
        <v>100</v>
      </c>
      <c r="K47" s="61">
        <v>-0.4</v>
      </c>
      <c r="L47" s="176">
        <v>0.1</v>
      </c>
      <c r="M47" s="1662"/>
      <c r="N47" s="63"/>
      <c r="O47" s="58">
        <f t="shared" si="25"/>
        <v>100</v>
      </c>
      <c r="P47" s="775"/>
      <c r="Q47" s="776"/>
      <c r="R47" s="776"/>
      <c r="S47" s="64"/>
      <c r="T47" s="62"/>
      <c r="U47" s="806" t="str">
        <f t="shared" si="26"/>
        <v>-</v>
      </c>
      <c r="V47" s="797">
        <f t="shared" si="27"/>
        <v>-0.1</v>
      </c>
      <c r="W47" s="797">
        <f t="shared" si="28"/>
        <v>-0.4</v>
      </c>
      <c r="X47" s="64">
        <f t="shared" si="29"/>
        <v>0.15000000000000002</v>
      </c>
      <c r="Y47" s="177">
        <f t="shared" si="30"/>
        <v>0.1</v>
      </c>
      <c r="Z47" s="3"/>
      <c r="AA47" s="29" t="s">
        <v>162</v>
      </c>
      <c r="AB47" s="66">
        <f>ROWS(AA$10:$AA47)</f>
        <v>38</v>
      </c>
      <c r="AC47" s="66" t="str">
        <f>IF(ID!$B$88=AA47,AB47,"")</f>
        <v/>
      </c>
      <c r="AD47" s="66" t="str">
        <f>IFERROR(SMALL($AC$10:$AC$204,ROWS($AC$10:AC47)),"")</f>
        <v/>
      </c>
    </row>
    <row r="48" spans="2:34" x14ac:dyDescent="0.25">
      <c r="B48" s="58">
        <v>150</v>
      </c>
      <c r="C48" s="59" t="s">
        <v>111</v>
      </c>
      <c r="D48" s="1656"/>
      <c r="F48" s="58">
        <v>150</v>
      </c>
      <c r="G48" s="61">
        <v>0.1</v>
      </c>
      <c r="H48" s="1659"/>
      <c r="I48" s="73"/>
      <c r="J48" s="58">
        <v>150</v>
      </c>
      <c r="K48" s="61">
        <v>-0.7</v>
      </c>
      <c r="L48" s="176">
        <v>0.1</v>
      </c>
      <c r="M48" s="1662"/>
      <c r="N48" s="63"/>
      <c r="O48" s="58">
        <f t="shared" si="25"/>
        <v>150</v>
      </c>
      <c r="P48" s="775"/>
      <c r="Q48" s="776"/>
      <c r="R48" s="776"/>
      <c r="S48" s="64"/>
      <c r="T48" s="62"/>
      <c r="U48" s="806" t="str">
        <f t="shared" si="26"/>
        <v>-</v>
      </c>
      <c r="V48" s="797">
        <f t="shared" si="27"/>
        <v>0.1</v>
      </c>
      <c r="W48" s="797">
        <f t="shared" si="28"/>
        <v>-0.7</v>
      </c>
      <c r="X48" s="64">
        <f t="shared" si="29"/>
        <v>0.39999999999999997</v>
      </c>
      <c r="Y48" s="177">
        <f t="shared" si="30"/>
        <v>0.1</v>
      </c>
      <c r="Z48" s="3"/>
      <c r="AA48" s="29" t="s">
        <v>162</v>
      </c>
      <c r="AB48" s="66">
        <f>ROWS(AA$10:$AA48)</f>
        <v>39</v>
      </c>
      <c r="AC48" s="66" t="str">
        <f>IF(ID!$B$88=AA48,AB48,"")</f>
        <v/>
      </c>
      <c r="AD48" s="66" t="str">
        <f>IFERROR(SMALL($AC$10:$AC$204,ROWS($AC$10:AC48)),"")</f>
        <v/>
      </c>
    </row>
    <row r="49" spans="2:34" x14ac:dyDescent="0.25">
      <c r="B49" s="58">
        <v>200</v>
      </c>
      <c r="C49" s="59" t="s">
        <v>111</v>
      </c>
      <c r="D49" s="1656"/>
      <c r="F49" s="58">
        <v>200</v>
      </c>
      <c r="G49" s="61">
        <v>0.2</v>
      </c>
      <c r="H49" s="1659"/>
      <c r="I49" s="73"/>
      <c r="J49" s="58">
        <v>200</v>
      </c>
      <c r="K49" s="61">
        <v>-0.9</v>
      </c>
      <c r="L49" s="176">
        <v>0.1</v>
      </c>
      <c r="M49" s="1662"/>
      <c r="N49" s="63"/>
      <c r="O49" s="58">
        <f t="shared" si="25"/>
        <v>200</v>
      </c>
      <c r="P49" s="775"/>
      <c r="Q49" s="776"/>
      <c r="R49" s="776"/>
      <c r="S49" s="64"/>
      <c r="T49" s="62"/>
      <c r="U49" s="806" t="str">
        <f t="shared" si="26"/>
        <v>-</v>
      </c>
      <c r="V49" s="797">
        <f t="shared" si="27"/>
        <v>0.2</v>
      </c>
      <c r="W49" s="797">
        <f t="shared" si="28"/>
        <v>-0.9</v>
      </c>
      <c r="X49" s="64">
        <f t="shared" si="29"/>
        <v>0.55000000000000004</v>
      </c>
      <c r="Y49" s="177">
        <f t="shared" si="30"/>
        <v>0.1</v>
      </c>
      <c r="Z49" s="3"/>
      <c r="AA49" s="29" t="s">
        <v>162</v>
      </c>
      <c r="AB49" s="66">
        <f>ROWS(AA$10:$AA49)</f>
        <v>40</v>
      </c>
      <c r="AC49" s="66" t="str">
        <f>IF(ID!$B$88=AA49,AB49,"")</f>
        <v/>
      </c>
      <c r="AD49" s="66" t="str">
        <f>IFERROR(SMALL($AC$10:$AC$204,ROWS($AC$10:AC49)),"")</f>
        <v/>
      </c>
    </row>
    <row r="50" spans="2:34" x14ac:dyDescent="0.25">
      <c r="B50" s="58">
        <v>250</v>
      </c>
      <c r="C50" s="59" t="s">
        <v>111</v>
      </c>
      <c r="D50" s="1656"/>
      <c r="F50" s="58">
        <v>250</v>
      </c>
      <c r="G50" s="61">
        <v>0.4</v>
      </c>
      <c r="H50" s="1659"/>
      <c r="I50" s="73"/>
      <c r="J50" s="58">
        <v>250</v>
      </c>
      <c r="K50" s="61">
        <v>-1.1000000000000001</v>
      </c>
      <c r="L50" s="176">
        <v>0.1</v>
      </c>
      <c r="M50" s="1662"/>
      <c r="N50" s="63"/>
      <c r="O50" s="58">
        <f t="shared" si="25"/>
        <v>250</v>
      </c>
      <c r="P50" s="775"/>
      <c r="Q50" s="776"/>
      <c r="R50" s="776"/>
      <c r="S50" s="64"/>
      <c r="T50" s="62"/>
      <c r="U50" s="806" t="str">
        <f t="shared" si="26"/>
        <v>-</v>
      </c>
      <c r="V50" s="797">
        <f t="shared" si="27"/>
        <v>0.4</v>
      </c>
      <c r="W50" s="797">
        <f t="shared" si="28"/>
        <v>-1.1000000000000001</v>
      </c>
      <c r="X50" s="64">
        <f t="shared" si="29"/>
        <v>0.75</v>
      </c>
      <c r="Y50" s="177">
        <f t="shared" si="30"/>
        <v>0.1</v>
      </c>
      <c r="Z50" s="3"/>
      <c r="AA50" s="29" t="s">
        <v>162</v>
      </c>
      <c r="AB50" s="66">
        <f>ROWS(AA$10:$AA50)</f>
        <v>41</v>
      </c>
      <c r="AC50" s="66" t="str">
        <f>IF(ID!$B$88=AA50,AB50,"")</f>
        <v/>
      </c>
      <c r="AD50" s="66" t="str">
        <f>IFERROR(SMALL($AC$10:$AC$204,ROWS($AC$10:AC50)),"")</f>
        <v/>
      </c>
    </row>
    <row r="51" spans="2:34" x14ac:dyDescent="0.25">
      <c r="B51" s="58">
        <v>300</v>
      </c>
      <c r="C51" s="59" t="s">
        <v>111</v>
      </c>
      <c r="D51" s="1657"/>
      <c r="F51" s="58">
        <v>300</v>
      </c>
      <c r="G51" s="61">
        <v>0.6</v>
      </c>
      <c r="H51" s="1660"/>
      <c r="I51" s="73"/>
      <c r="J51" s="58">
        <v>300</v>
      </c>
      <c r="K51" s="61">
        <v>-1.5</v>
      </c>
      <c r="L51" s="176">
        <v>0.1</v>
      </c>
      <c r="M51" s="1663"/>
      <c r="N51" s="63"/>
      <c r="O51" s="58">
        <f t="shared" si="25"/>
        <v>300</v>
      </c>
      <c r="P51" s="775"/>
      <c r="Q51" s="776"/>
      <c r="R51" s="776"/>
      <c r="S51" s="64"/>
      <c r="T51" s="62"/>
      <c r="U51" s="806" t="str">
        <f t="shared" si="26"/>
        <v>-</v>
      </c>
      <c r="V51" s="797">
        <f t="shared" si="27"/>
        <v>0.6</v>
      </c>
      <c r="W51" s="797">
        <f t="shared" si="28"/>
        <v>-1.5</v>
      </c>
      <c r="X51" s="64">
        <f t="shared" si="29"/>
        <v>1.05</v>
      </c>
      <c r="Y51" s="177">
        <f t="shared" si="30"/>
        <v>0.1</v>
      </c>
      <c r="Z51" s="3"/>
      <c r="AA51" s="29" t="s">
        <v>162</v>
      </c>
      <c r="AB51" s="66">
        <f>ROWS(AA$10:$AA51)</f>
        <v>42</v>
      </c>
      <c r="AC51" s="66" t="str">
        <f>IF(ID!$B$88=AA51,AB51,"")</f>
        <v/>
      </c>
      <c r="AD51" s="66" t="str">
        <f>IFERROR(SMALL($AC$10:$AC$204,ROWS($AC$10:AC51)),"")</f>
        <v/>
      </c>
    </row>
    <row r="52" spans="2:34" x14ac:dyDescent="0.25">
      <c r="O52" s="58"/>
      <c r="P52" s="775"/>
      <c r="Q52" s="787"/>
      <c r="R52" s="787"/>
      <c r="S52" s="91"/>
      <c r="T52" s="92"/>
      <c r="U52" s="800"/>
      <c r="V52" s="799"/>
      <c r="W52" s="799"/>
      <c r="X52" s="82"/>
      <c r="Y52" s="83"/>
      <c r="Z52" s="3"/>
      <c r="AA52" s="29"/>
      <c r="AB52" s="66">
        <f>ROWS(AA$10:$AA52)</f>
        <v>43</v>
      </c>
      <c r="AC52" s="66" t="str">
        <f>IF(ID!$B$88=AA52,AB52,"")</f>
        <v/>
      </c>
      <c r="AD52" s="66" t="str">
        <f>IFERROR(SMALL($AC$10:$AC$204,ROWS($AC$10:AC52)),"")</f>
        <v/>
      </c>
    </row>
    <row r="53" spans="2:34" s="7" customFormat="1" x14ac:dyDescent="0.25">
      <c r="O53" s="93"/>
      <c r="P53" s="788"/>
      <c r="Q53" s="789"/>
      <c r="R53" s="789"/>
      <c r="S53" s="94"/>
      <c r="T53" s="95"/>
      <c r="U53" s="801"/>
      <c r="V53" s="801"/>
      <c r="W53" s="801"/>
      <c r="X53" s="94"/>
      <c r="Y53" s="95"/>
      <c r="Z53" s="3"/>
      <c r="AA53" s="29"/>
      <c r="AB53" s="66">
        <f>ROWS(AA$10:$AA53)</f>
        <v>44</v>
      </c>
      <c r="AC53" s="66" t="str">
        <f>IF(ID!$B$88=AA53,AB53,"")</f>
        <v/>
      </c>
      <c r="AD53" s="66" t="str">
        <f>IFERROR(SMALL($AC$10:$AC$204,ROWS($AC$10:AC53)),"")</f>
        <v/>
      </c>
    </row>
    <row r="54" spans="2:34" x14ac:dyDescent="0.25">
      <c r="O54" s="93"/>
      <c r="P54" s="788"/>
      <c r="Q54" s="789"/>
      <c r="R54" s="789"/>
      <c r="S54" s="94"/>
      <c r="T54" s="95"/>
      <c r="U54" s="801"/>
      <c r="V54" s="801"/>
      <c r="W54" s="801"/>
      <c r="X54" s="94"/>
      <c r="Y54" s="95"/>
      <c r="Z54" s="3"/>
      <c r="AA54" s="29"/>
      <c r="AB54" s="66">
        <f>ROWS(AA$10:$AA54)</f>
        <v>45</v>
      </c>
      <c r="AC54" s="66" t="str">
        <f>IF(ID!$B$88=AA54,AB54,"")</f>
        <v/>
      </c>
      <c r="AD54" s="66" t="str">
        <f>IFERROR(SMALL($AC$10:$AC$204,ROWS($AC$10:AC54)),"")</f>
        <v/>
      </c>
    </row>
    <row r="55" spans="2:34" x14ac:dyDescent="0.25">
      <c r="O55" s="93"/>
      <c r="P55" s="788"/>
      <c r="Q55" s="789"/>
      <c r="R55" s="789"/>
      <c r="S55" s="94"/>
      <c r="T55" s="95"/>
      <c r="U55" s="801"/>
      <c r="V55" s="801"/>
      <c r="W55" s="801"/>
      <c r="X55" s="94"/>
      <c r="Y55" s="95"/>
      <c r="Z55" s="3"/>
      <c r="AA55" s="29"/>
      <c r="AB55" s="66">
        <f>ROWS(AA$10:$AA55)</f>
        <v>46</v>
      </c>
      <c r="AC55" s="66" t="str">
        <f>IF(ID!$B$88=AA55,AB55,"")</f>
        <v/>
      </c>
      <c r="AD55" s="66" t="str">
        <f>IFERROR(SMALL($AC$10:$AC$204,ROWS($AC$10:AC55)),"")</f>
        <v/>
      </c>
    </row>
    <row r="56" spans="2:34" s="7" customFormat="1" x14ac:dyDescent="0.25">
      <c r="O56" s="96"/>
      <c r="P56" s="771"/>
      <c r="Q56" s="772"/>
      <c r="R56" s="772"/>
      <c r="S56" s="44"/>
      <c r="T56" s="4"/>
      <c r="U56" s="792"/>
      <c r="V56" s="792"/>
      <c r="W56" s="792"/>
      <c r="X56" s="44"/>
      <c r="Y56" s="4"/>
      <c r="AB56" s="66">
        <f>ROWS(AA$10:$AA56)</f>
        <v>47</v>
      </c>
      <c r="AC56" s="66" t="str">
        <f>IF(ID!$B$88=AA56,AB56,"")</f>
        <v/>
      </c>
      <c r="AD56" s="66" t="str">
        <f>IFERROR(SMALL($AC$10:$AC$204,ROWS($AC$10:AC56)),"")</f>
        <v/>
      </c>
    </row>
    <row r="57" spans="2:34" s="4" customFormat="1" x14ac:dyDescent="0.25">
      <c r="O57" s="68"/>
      <c r="P57" s="771"/>
      <c r="Q57" s="772"/>
      <c r="R57" s="772"/>
      <c r="S57" s="44"/>
      <c r="U57" s="792"/>
      <c r="V57" s="792"/>
      <c r="W57" s="792"/>
      <c r="X57" s="44"/>
      <c r="AB57" s="66">
        <f>ROWS(AA$10:$AA57)</f>
        <v>48</v>
      </c>
      <c r="AC57" s="66" t="str">
        <f>IF(ID!$B$88=AA57,AB57,"")</f>
        <v/>
      </c>
      <c r="AD57" s="66" t="str">
        <f>IFERROR(SMALL($AC$10:$AC$204,ROWS($AC$10:AC57)),"")</f>
        <v/>
      </c>
    </row>
    <row r="58" spans="2:34" s="4" customFormat="1" x14ac:dyDescent="0.25">
      <c r="O58" s="68"/>
      <c r="P58" s="771"/>
      <c r="Q58" s="772"/>
      <c r="R58" s="772"/>
      <c r="S58" s="44"/>
      <c r="U58" s="792"/>
      <c r="V58" s="792"/>
      <c r="W58" s="792"/>
      <c r="X58" s="44"/>
      <c r="AB58" s="66">
        <f>ROWS(AA$10:$AA58)</f>
        <v>49</v>
      </c>
      <c r="AC58" s="66" t="str">
        <f>IF(ID!$B$88=AA58,AB58,"")</f>
        <v/>
      </c>
      <c r="AD58" s="66" t="str">
        <f>IFERROR(SMALL($AC$10:$AC$204,ROWS($AC$10:AC58)),"")</f>
        <v/>
      </c>
      <c r="AE58" s="1"/>
      <c r="AF58" s="1"/>
      <c r="AG58" s="1"/>
      <c r="AH58" s="1"/>
    </row>
    <row r="59" spans="2:34" x14ac:dyDescent="0.25">
      <c r="O59" s="69"/>
      <c r="P59" s="777"/>
      <c r="Q59" s="778"/>
      <c r="R59" s="779"/>
      <c r="S59" s="88"/>
      <c r="X59" s="88" t="s">
        <v>417</v>
      </c>
      <c r="AB59" s="66">
        <f>ROWS(AA$10:$AA59)</f>
        <v>50</v>
      </c>
      <c r="AC59" s="66" t="str">
        <f>IF(ID!$B$88=AA59,AB59,"")</f>
        <v/>
      </c>
      <c r="AD59" s="66" t="str">
        <f>IFERROR(SMALL($AC$10:$AC$204,ROWS($AC$10:AC59)),"")</f>
        <v/>
      </c>
    </row>
    <row r="60" spans="2:34" x14ac:dyDescent="0.25">
      <c r="B60" s="58">
        <v>0</v>
      </c>
      <c r="C60" s="59" t="s">
        <v>111</v>
      </c>
      <c r="D60" s="1655"/>
      <c r="F60" s="58">
        <v>0</v>
      </c>
      <c r="G60" s="61" t="s">
        <v>111</v>
      </c>
      <c r="H60" s="1655"/>
      <c r="I60" s="73"/>
      <c r="J60" s="58">
        <v>0</v>
      </c>
      <c r="K60" s="1186">
        <v>9.9999999999999995E-7</v>
      </c>
      <c r="L60" s="176">
        <v>0.1</v>
      </c>
      <c r="M60" s="1658" t="s">
        <v>422</v>
      </c>
      <c r="N60" s="63"/>
      <c r="O60" s="58">
        <f t="shared" ref="O60:O66" si="31">J60</f>
        <v>0</v>
      </c>
      <c r="P60" s="775"/>
      <c r="Q60" s="776"/>
      <c r="R60" s="776"/>
      <c r="S60" s="64"/>
      <c r="T60" s="62"/>
      <c r="U60" s="806" t="str">
        <f>C60</f>
        <v>-</v>
      </c>
      <c r="V60" s="797" t="str">
        <f>G60</f>
        <v>-</v>
      </c>
      <c r="W60" s="797">
        <f>K60</f>
        <v>9.9999999999999995E-7</v>
      </c>
      <c r="X60" s="64">
        <f t="shared" ref="X60:X66" si="32">(1/3)*Y60</f>
        <v>3.3333333333333333E-2</v>
      </c>
      <c r="Y60" s="177">
        <f t="shared" ref="Y60:Y66" si="33">L60</f>
        <v>0.1</v>
      </c>
      <c r="Z60" s="3" t="s">
        <v>465</v>
      </c>
      <c r="AA60" s="29" t="s">
        <v>841</v>
      </c>
      <c r="AB60" s="66">
        <f>ROWS(AA$10:$AA60)</f>
        <v>51</v>
      </c>
      <c r="AC60" s="66">
        <f>IF(ID!$B$88=AA60,AB60,"")</f>
        <v>51</v>
      </c>
      <c r="AD60" s="66" t="str">
        <f>IFERROR(SMALL($AC$10:$AC$204,ROWS($AC$10:AC60)),"")</f>
        <v/>
      </c>
    </row>
    <row r="61" spans="2:34" x14ac:dyDescent="0.25">
      <c r="B61" s="58">
        <v>50</v>
      </c>
      <c r="C61" s="59" t="s">
        <v>111</v>
      </c>
      <c r="D61" s="1656"/>
      <c r="F61" s="58">
        <v>50</v>
      </c>
      <c r="G61" s="61" t="s">
        <v>111</v>
      </c>
      <c r="H61" s="1656"/>
      <c r="I61" s="73"/>
      <c r="J61" s="58">
        <v>50</v>
      </c>
      <c r="K61" s="61">
        <v>0.3</v>
      </c>
      <c r="L61" s="176">
        <v>0.1</v>
      </c>
      <c r="M61" s="1659"/>
      <c r="N61" s="63"/>
      <c r="O61" s="58">
        <f t="shared" si="31"/>
        <v>50</v>
      </c>
      <c r="P61" s="775"/>
      <c r="Q61" s="776"/>
      <c r="R61" s="776"/>
      <c r="S61" s="64"/>
      <c r="T61" s="62"/>
      <c r="U61" s="806" t="str">
        <f t="shared" ref="U61:U66" si="34">C61</f>
        <v>-</v>
      </c>
      <c r="V61" s="797" t="str">
        <f t="shared" ref="V61:V66" si="35">G61</f>
        <v>-</v>
      </c>
      <c r="W61" s="797">
        <f t="shared" ref="W61:W66" si="36">K61</f>
        <v>0.3</v>
      </c>
      <c r="X61" s="64">
        <f t="shared" si="32"/>
        <v>3.3333333333333333E-2</v>
      </c>
      <c r="Y61" s="177">
        <f t="shared" si="33"/>
        <v>0.1</v>
      </c>
      <c r="Z61" s="3"/>
      <c r="AA61" s="29" t="s">
        <v>841</v>
      </c>
      <c r="AB61" s="66">
        <f>ROWS(AA$10:$AA61)</f>
        <v>52</v>
      </c>
      <c r="AC61" s="66">
        <f>IF(ID!$B$88=AA61,AB61,"")</f>
        <v>52</v>
      </c>
      <c r="AD61" s="66" t="str">
        <f>IFERROR(SMALL($AC$10:$AC$204,ROWS($AC$10:AC61)),"")</f>
        <v/>
      </c>
    </row>
    <row r="62" spans="2:34" x14ac:dyDescent="0.25">
      <c r="B62" s="58">
        <v>100</v>
      </c>
      <c r="C62" s="59" t="s">
        <v>111</v>
      </c>
      <c r="D62" s="1656"/>
      <c r="F62" s="58">
        <v>100</v>
      </c>
      <c r="G62" s="61" t="s">
        <v>111</v>
      </c>
      <c r="H62" s="1656"/>
      <c r="I62" s="73"/>
      <c r="J62" s="58">
        <v>100</v>
      </c>
      <c r="K62" s="61">
        <v>0.1</v>
      </c>
      <c r="L62" s="176">
        <v>0.1</v>
      </c>
      <c r="M62" s="1659"/>
      <c r="N62" s="63"/>
      <c r="O62" s="58">
        <f t="shared" si="31"/>
        <v>100</v>
      </c>
      <c r="P62" s="775"/>
      <c r="Q62" s="776"/>
      <c r="R62" s="776"/>
      <c r="S62" s="64"/>
      <c r="T62" s="62"/>
      <c r="U62" s="806" t="str">
        <f t="shared" si="34"/>
        <v>-</v>
      </c>
      <c r="V62" s="797" t="str">
        <f t="shared" si="35"/>
        <v>-</v>
      </c>
      <c r="W62" s="797">
        <f t="shared" si="36"/>
        <v>0.1</v>
      </c>
      <c r="X62" s="64">
        <f t="shared" si="32"/>
        <v>3.3333333333333333E-2</v>
      </c>
      <c r="Y62" s="177">
        <f t="shared" si="33"/>
        <v>0.1</v>
      </c>
      <c r="Z62" s="3"/>
      <c r="AA62" s="29" t="s">
        <v>841</v>
      </c>
      <c r="AB62" s="66">
        <f>ROWS(AA$10:$AA62)</f>
        <v>53</v>
      </c>
      <c r="AC62" s="66">
        <f>IF(ID!$B$88=AA62,AB62,"")</f>
        <v>53</v>
      </c>
      <c r="AD62" s="66" t="str">
        <f>IFERROR(SMALL($AC$10:$AC$204,ROWS($AC$10:AC62)),"")</f>
        <v/>
      </c>
    </row>
    <row r="63" spans="2:34" x14ac:dyDescent="0.25">
      <c r="B63" s="58">
        <v>150</v>
      </c>
      <c r="C63" s="59" t="s">
        <v>111</v>
      </c>
      <c r="D63" s="1656"/>
      <c r="F63" s="58">
        <v>150</v>
      </c>
      <c r="G63" s="61" t="s">
        <v>111</v>
      </c>
      <c r="H63" s="1656"/>
      <c r="I63" s="73"/>
      <c r="J63" s="58">
        <v>150</v>
      </c>
      <c r="K63" s="1186">
        <v>9.9999999999999995E-7</v>
      </c>
      <c r="L63" s="176">
        <v>0.1</v>
      </c>
      <c r="M63" s="1659"/>
      <c r="N63" s="63"/>
      <c r="O63" s="58">
        <f t="shared" si="31"/>
        <v>150</v>
      </c>
      <c r="P63" s="775"/>
      <c r="Q63" s="776"/>
      <c r="R63" s="776"/>
      <c r="S63" s="64"/>
      <c r="T63" s="62"/>
      <c r="U63" s="806" t="str">
        <f t="shared" si="34"/>
        <v>-</v>
      </c>
      <c r="V63" s="797" t="str">
        <f t="shared" si="35"/>
        <v>-</v>
      </c>
      <c r="W63" s="797">
        <f t="shared" si="36"/>
        <v>9.9999999999999995E-7</v>
      </c>
      <c r="X63" s="64">
        <f t="shared" si="32"/>
        <v>3.3333333333333333E-2</v>
      </c>
      <c r="Y63" s="177">
        <f t="shared" si="33"/>
        <v>0.1</v>
      </c>
      <c r="Z63" s="3"/>
      <c r="AA63" s="29" t="s">
        <v>841</v>
      </c>
      <c r="AB63" s="66">
        <f>ROWS(AA$10:$AA63)</f>
        <v>54</v>
      </c>
      <c r="AC63" s="66">
        <f>IF(ID!$B$88=AA63,AB63,"")</f>
        <v>54</v>
      </c>
      <c r="AD63" s="66" t="str">
        <f>IFERROR(SMALL($AC$10:$AC$204,ROWS($AC$10:AC63)),"")</f>
        <v/>
      </c>
    </row>
    <row r="64" spans="2:34" x14ac:dyDescent="0.25">
      <c r="B64" s="58">
        <v>200</v>
      </c>
      <c r="C64" s="59" t="s">
        <v>111</v>
      </c>
      <c r="D64" s="1656"/>
      <c r="F64" s="58">
        <v>200</v>
      </c>
      <c r="G64" s="61" t="s">
        <v>111</v>
      </c>
      <c r="H64" s="1656"/>
      <c r="I64" s="73"/>
      <c r="J64" s="58">
        <v>200</v>
      </c>
      <c r="K64" s="61">
        <v>-0.1</v>
      </c>
      <c r="L64" s="176">
        <v>0.1</v>
      </c>
      <c r="M64" s="1659"/>
      <c r="N64" s="63"/>
      <c r="O64" s="58">
        <f t="shared" si="31"/>
        <v>200</v>
      </c>
      <c r="P64" s="775"/>
      <c r="Q64" s="776"/>
      <c r="R64" s="776"/>
      <c r="S64" s="64"/>
      <c r="T64" s="62"/>
      <c r="U64" s="806" t="str">
        <f t="shared" si="34"/>
        <v>-</v>
      </c>
      <c r="V64" s="797" t="str">
        <f t="shared" si="35"/>
        <v>-</v>
      </c>
      <c r="W64" s="797">
        <f t="shared" si="36"/>
        <v>-0.1</v>
      </c>
      <c r="X64" s="64">
        <f t="shared" si="32"/>
        <v>3.3333333333333333E-2</v>
      </c>
      <c r="Y64" s="177">
        <f t="shared" si="33"/>
        <v>0.1</v>
      </c>
      <c r="Z64" s="3"/>
      <c r="AA64" s="29" t="s">
        <v>841</v>
      </c>
      <c r="AB64" s="66">
        <f>ROWS(AA$10:$AA64)</f>
        <v>55</v>
      </c>
      <c r="AC64" s="66">
        <f>IF(ID!$B$88=AA64,AB64,"")</f>
        <v>55</v>
      </c>
      <c r="AD64" s="66" t="str">
        <f>IFERROR(SMALL($AC$10:$AC$204,ROWS($AC$10:AC64)),"")</f>
        <v/>
      </c>
    </row>
    <row r="65" spans="2:34" x14ac:dyDescent="0.25">
      <c r="B65" s="58">
        <v>250</v>
      </c>
      <c r="C65" s="59" t="s">
        <v>111</v>
      </c>
      <c r="D65" s="1656"/>
      <c r="F65" s="58">
        <v>250</v>
      </c>
      <c r="G65" s="61" t="s">
        <v>111</v>
      </c>
      <c r="H65" s="1656"/>
      <c r="I65" s="73"/>
      <c r="J65" s="58">
        <v>250</v>
      </c>
      <c r="K65" s="61">
        <v>-0.4</v>
      </c>
      <c r="L65" s="176">
        <v>0.1</v>
      </c>
      <c r="M65" s="1659"/>
      <c r="N65" s="63"/>
      <c r="O65" s="58">
        <f t="shared" si="31"/>
        <v>250</v>
      </c>
      <c r="P65" s="775"/>
      <c r="Q65" s="776"/>
      <c r="R65" s="776"/>
      <c r="S65" s="64"/>
      <c r="T65" s="62"/>
      <c r="U65" s="806" t="str">
        <f t="shared" si="34"/>
        <v>-</v>
      </c>
      <c r="V65" s="797" t="str">
        <f t="shared" si="35"/>
        <v>-</v>
      </c>
      <c r="W65" s="797">
        <f t="shared" si="36"/>
        <v>-0.4</v>
      </c>
      <c r="X65" s="64">
        <f t="shared" si="32"/>
        <v>3.3333333333333333E-2</v>
      </c>
      <c r="Y65" s="177">
        <f t="shared" si="33"/>
        <v>0.1</v>
      </c>
      <c r="Z65" s="3"/>
      <c r="AA65" s="29" t="s">
        <v>841</v>
      </c>
      <c r="AB65" s="66">
        <f>ROWS(AA$10:$AA65)</f>
        <v>56</v>
      </c>
      <c r="AC65" s="66">
        <f>IF(ID!$B$88=AA65,AB65,"")</f>
        <v>56</v>
      </c>
      <c r="AD65" s="66" t="str">
        <f>IFERROR(SMALL($AC$10:$AC$204,ROWS($AC$10:AC65)),"")</f>
        <v/>
      </c>
    </row>
    <row r="66" spans="2:34" x14ac:dyDescent="0.25">
      <c r="B66" s="58">
        <v>300</v>
      </c>
      <c r="C66" s="59" t="s">
        <v>111</v>
      </c>
      <c r="D66" s="1657"/>
      <c r="F66" s="58">
        <v>300</v>
      </c>
      <c r="G66" s="61" t="s">
        <v>111</v>
      </c>
      <c r="H66" s="1657"/>
      <c r="I66" s="73"/>
      <c r="J66" s="58">
        <v>300</v>
      </c>
      <c r="K66" s="61">
        <v>-0.6</v>
      </c>
      <c r="L66" s="176">
        <v>0.1</v>
      </c>
      <c r="M66" s="1660"/>
      <c r="N66" s="63"/>
      <c r="O66" s="58">
        <f t="shared" si="31"/>
        <v>300</v>
      </c>
      <c r="P66" s="775"/>
      <c r="Q66" s="776"/>
      <c r="R66" s="776"/>
      <c r="S66" s="64"/>
      <c r="T66" s="62"/>
      <c r="U66" s="806" t="str">
        <f t="shared" si="34"/>
        <v>-</v>
      </c>
      <c r="V66" s="797" t="str">
        <f t="shared" si="35"/>
        <v>-</v>
      </c>
      <c r="W66" s="797">
        <f t="shared" si="36"/>
        <v>-0.6</v>
      </c>
      <c r="X66" s="64">
        <f t="shared" si="32"/>
        <v>3.3333333333333333E-2</v>
      </c>
      <c r="Y66" s="177">
        <f t="shared" si="33"/>
        <v>0.1</v>
      </c>
      <c r="Z66" s="3"/>
      <c r="AA66" s="29" t="s">
        <v>841</v>
      </c>
      <c r="AB66" s="66">
        <f>ROWS(AA$10:$AA66)</f>
        <v>57</v>
      </c>
      <c r="AC66" s="66">
        <f>IF(ID!$B$88=AA66,AB66,"")</f>
        <v>57</v>
      </c>
      <c r="AD66" s="66" t="str">
        <f>IFERROR(SMALL($AC$10:$AC$204,ROWS($AC$10:AC66)),"")</f>
        <v/>
      </c>
    </row>
    <row r="67" spans="2:34" x14ac:dyDescent="0.25">
      <c r="O67" s="58"/>
      <c r="P67" s="775"/>
      <c r="Q67" s="787"/>
      <c r="R67" s="787"/>
      <c r="S67" s="91"/>
      <c r="T67" s="81"/>
      <c r="U67" s="799"/>
      <c r="V67" s="799"/>
      <c r="W67" s="799"/>
      <c r="X67" s="82"/>
      <c r="Y67" s="83"/>
      <c r="Z67" s="3"/>
      <c r="AA67" s="29"/>
      <c r="AB67" s="66">
        <f>ROWS(AA$10:$AA67)</f>
        <v>58</v>
      </c>
      <c r="AC67" s="66" t="str">
        <f>IF(ID!$B$88=AA67,AB67,"")</f>
        <v/>
      </c>
      <c r="AD67" s="66" t="str">
        <f>IFERROR(SMALL($AC$10:$AC$204,ROWS($AC$10:AC67)),"")</f>
        <v/>
      </c>
    </row>
    <row r="68" spans="2:34" s="7" customFormat="1" x14ac:dyDescent="0.25">
      <c r="O68" s="58"/>
      <c r="P68" s="775"/>
      <c r="Q68" s="787"/>
      <c r="R68" s="787"/>
      <c r="S68" s="91"/>
      <c r="T68" s="81"/>
      <c r="U68" s="799"/>
      <c r="V68" s="799"/>
      <c r="W68" s="799"/>
      <c r="X68" s="82"/>
      <c r="Y68" s="83"/>
      <c r="Z68" s="3"/>
      <c r="AA68" s="29"/>
      <c r="AB68" s="66">
        <f>ROWS(AA$10:$AA68)</f>
        <v>59</v>
      </c>
      <c r="AC68" s="66" t="str">
        <f>IF(ID!$B$88=AA68,AB68,"")</f>
        <v/>
      </c>
      <c r="AD68" s="66" t="str">
        <f>IFERROR(SMALL($AC$10:$AC$204,ROWS($AC$10:AC68)),"")</f>
        <v/>
      </c>
    </row>
    <row r="69" spans="2:34" x14ac:dyDescent="0.25">
      <c r="O69" s="58"/>
      <c r="P69" s="775"/>
      <c r="Q69" s="787"/>
      <c r="R69" s="787"/>
      <c r="S69" s="91"/>
      <c r="T69" s="81"/>
      <c r="U69" s="799"/>
      <c r="V69" s="799"/>
      <c r="W69" s="799"/>
      <c r="X69" s="82"/>
      <c r="Y69" s="83"/>
      <c r="Z69" s="3"/>
      <c r="AA69" s="29"/>
      <c r="AB69" s="66">
        <f>ROWS(AA$10:$AA69)</f>
        <v>60</v>
      </c>
      <c r="AC69" s="66" t="str">
        <f>IF(ID!$B$88=AA69,AB69,"")</f>
        <v/>
      </c>
      <c r="AD69" s="66" t="str">
        <f>IFERROR(SMALL($AC$10:$AC$204,ROWS($AC$10:AC69)),"")</f>
        <v/>
      </c>
    </row>
    <row r="70" spans="2:34" x14ac:dyDescent="0.25">
      <c r="O70" s="58"/>
      <c r="P70" s="775"/>
      <c r="Q70" s="787"/>
      <c r="R70" s="787"/>
      <c r="S70" s="91"/>
      <c r="T70" s="81"/>
      <c r="U70" s="799"/>
      <c r="V70" s="799"/>
      <c r="W70" s="799"/>
      <c r="X70" s="82"/>
      <c r="Y70" s="83"/>
      <c r="Z70" s="3"/>
      <c r="AA70" s="29"/>
      <c r="AB70" s="66">
        <f>ROWS(AA$10:$AA70)</f>
        <v>61</v>
      </c>
      <c r="AC70" s="66" t="str">
        <f>IF(ID!$B$88=AA70,AB70,"")</f>
        <v/>
      </c>
      <c r="AD70" s="66" t="str">
        <f>IFERROR(SMALL($AC$10:$AC$204,ROWS($AC$10:AC70)),"")</f>
        <v/>
      </c>
    </row>
    <row r="71" spans="2:34" s="7" customFormat="1" x14ac:dyDescent="0.25">
      <c r="O71" s="96"/>
      <c r="P71" s="771"/>
      <c r="Q71" s="772"/>
      <c r="R71" s="772"/>
      <c r="S71" s="44"/>
      <c r="T71" s="4"/>
      <c r="U71" s="792"/>
      <c r="V71" s="792"/>
      <c r="W71" s="792"/>
      <c r="X71" s="44"/>
      <c r="Y71" s="4"/>
      <c r="AB71" s="66">
        <f>ROWS(AA$10:$AA71)</f>
        <v>62</v>
      </c>
      <c r="AC71" s="66" t="str">
        <f>IF(ID!$B$88=AA71,AB71,"")</f>
        <v/>
      </c>
      <c r="AD71" s="66" t="str">
        <f>IFERROR(SMALL($AC$10:$AC$204,ROWS($AC$10:AC71)),"")</f>
        <v/>
      </c>
    </row>
    <row r="72" spans="2:34" s="4" customFormat="1" x14ac:dyDescent="0.25">
      <c r="O72" s="68"/>
      <c r="P72" s="771"/>
      <c r="Q72" s="772"/>
      <c r="R72" s="772"/>
      <c r="S72" s="44"/>
      <c r="U72" s="792"/>
      <c r="V72" s="792"/>
      <c r="W72" s="792"/>
      <c r="X72" s="44"/>
      <c r="AB72" s="66">
        <f>ROWS(AA$10:$AA72)</f>
        <v>63</v>
      </c>
      <c r="AC72" s="66" t="str">
        <f>IF(ID!$B$88=AA72,AB72,"")</f>
        <v/>
      </c>
      <c r="AD72" s="66" t="str">
        <f>IFERROR(SMALL($AC$10:$AC$204,ROWS($AC$10:AC72)),"")</f>
        <v/>
      </c>
    </row>
    <row r="73" spans="2:34" s="4" customFormat="1" x14ac:dyDescent="0.25">
      <c r="O73" s="68"/>
      <c r="P73" s="771"/>
      <c r="Q73" s="772"/>
      <c r="R73" s="772"/>
      <c r="S73" s="44"/>
      <c r="U73" s="792"/>
      <c r="V73" s="792"/>
      <c r="W73" s="792"/>
      <c r="X73" s="44"/>
      <c r="AB73" s="66">
        <f>ROWS(AA$10:$AA73)</f>
        <v>64</v>
      </c>
      <c r="AC73" s="66" t="str">
        <f>IF(ID!$B$88=AA73,AB73,"")</f>
        <v/>
      </c>
      <c r="AD73" s="66" t="str">
        <f>IFERROR(SMALL($AC$10:$AC$204,ROWS($AC$10:AC73)),"")</f>
        <v/>
      </c>
      <c r="AE73" s="1"/>
      <c r="AF73" s="1"/>
      <c r="AG73" s="1"/>
      <c r="AH73" s="1"/>
    </row>
    <row r="74" spans="2:34" x14ac:dyDescent="0.25">
      <c r="O74" s="69"/>
      <c r="P74" s="777"/>
      <c r="Q74" s="778"/>
      <c r="R74" s="779"/>
      <c r="S74" s="71"/>
      <c r="X74" s="88"/>
      <c r="AB74" s="66">
        <f>ROWS(AA$10:$AA74)</f>
        <v>65</v>
      </c>
      <c r="AC74" s="66" t="str">
        <f>IF(ID!$B$88=AA74,AB74,"")</f>
        <v/>
      </c>
      <c r="AD74" s="66" t="str">
        <f>IFERROR(SMALL($AC$10:$AC$204,ROWS($AC$10:AC74)),"")</f>
        <v/>
      </c>
    </row>
    <row r="75" spans="2:34" x14ac:dyDescent="0.25">
      <c r="B75" s="58">
        <v>0</v>
      </c>
      <c r="C75" s="72">
        <v>9.9999999999999995E-7</v>
      </c>
      <c r="D75" s="1655" t="s">
        <v>427</v>
      </c>
      <c r="F75" s="58">
        <v>0</v>
      </c>
      <c r="G75" s="72">
        <v>9.9999999999999995E-7</v>
      </c>
      <c r="H75" s="1655" t="s">
        <v>428</v>
      </c>
      <c r="I75" s="73"/>
      <c r="J75" s="58">
        <v>0</v>
      </c>
      <c r="K75" s="1186">
        <v>9.9999999999999995E-7</v>
      </c>
      <c r="L75" s="176">
        <v>0.1</v>
      </c>
      <c r="M75" s="1661" t="s">
        <v>424</v>
      </c>
      <c r="N75" s="97"/>
      <c r="O75" s="58">
        <f t="shared" ref="O75:O81" si="37">J75</f>
        <v>0</v>
      </c>
      <c r="P75" s="775"/>
      <c r="Q75" s="776"/>
      <c r="R75" s="776"/>
      <c r="S75" s="64"/>
      <c r="T75" s="62"/>
      <c r="U75" s="806">
        <f>C75</f>
        <v>9.9999999999999995E-7</v>
      </c>
      <c r="V75" s="797">
        <f>G75</f>
        <v>9.9999999999999995E-7</v>
      </c>
      <c r="W75" s="797">
        <f>K75</f>
        <v>9.9999999999999995E-7</v>
      </c>
      <c r="X75" s="64">
        <f>0.5*(MAX(U75:W75)-(MIN(U75:W75)))</f>
        <v>0</v>
      </c>
      <c r="Y75" s="177">
        <f>L75</f>
        <v>0.1</v>
      </c>
      <c r="Z75" s="3" t="s">
        <v>465</v>
      </c>
      <c r="AA75" s="29" t="s">
        <v>842</v>
      </c>
      <c r="AB75" s="66">
        <f>ROWS(AA$10:$AA75)</f>
        <v>66</v>
      </c>
      <c r="AC75" s="66" t="str">
        <f>IF(ID!$B$88=AA75,AB75,"")</f>
        <v/>
      </c>
      <c r="AD75" s="66" t="str">
        <f>IFERROR(SMALL($AC$10:$AC$204,ROWS($AC$10:AC75)),"")</f>
        <v/>
      </c>
      <c r="AF75" s="29"/>
    </row>
    <row r="76" spans="2:34" x14ac:dyDescent="0.25">
      <c r="B76" s="58">
        <v>50</v>
      </c>
      <c r="C76" s="72">
        <v>-0.1</v>
      </c>
      <c r="D76" s="1656"/>
      <c r="F76" s="58">
        <v>50</v>
      </c>
      <c r="G76" s="72">
        <v>-0.1</v>
      </c>
      <c r="H76" s="1656"/>
      <c r="I76" s="73"/>
      <c r="J76" s="58">
        <v>50</v>
      </c>
      <c r="K76" s="1186">
        <v>9.9999999999999995E-7</v>
      </c>
      <c r="L76" s="176">
        <v>0.1</v>
      </c>
      <c r="M76" s="1662"/>
      <c r="N76" s="97"/>
      <c r="O76" s="58">
        <f t="shared" si="37"/>
        <v>50</v>
      </c>
      <c r="P76" s="775"/>
      <c r="Q76" s="776"/>
      <c r="R76" s="776"/>
      <c r="S76" s="64"/>
      <c r="T76" s="62"/>
      <c r="U76" s="806">
        <f t="shared" ref="U76:U81" si="38">C76</f>
        <v>-0.1</v>
      </c>
      <c r="V76" s="797">
        <f t="shared" ref="V76:V81" si="39">G76</f>
        <v>-0.1</v>
      </c>
      <c r="W76" s="797">
        <f t="shared" ref="W76:W81" si="40">K76</f>
        <v>9.9999999999999995E-7</v>
      </c>
      <c r="X76" s="64">
        <f t="shared" ref="X76:X81" si="41">0.5*(MAX(U76:W76)-(MIN(U76:W76)))</f>
        <v>5.0000500000000003E-2</v>
      </c>
      <c r="Y76" s="177">
        <f t="shared" ref="Y76:Y81" si="42">L76</f>
        <v>0.1</v>
      </c>
      <c r="Z76" s="3"/>
      <c r="AA76" s="29" t="s">
        <v>842</v>
      </c>
      <c r="AB76" s="66">
        <f>ROWS(AA$10:$AA76)</f>
        <v>67</v>
      </c>
      <c r="AC76" s="66" t="str">
        <f>IF(ID!$B$88=AA76,AB76,"")</f>
        <v/>
      </c>
      <c r="AD76" s="66" t="str">
        <f>IFERROR(SMALL($AC$10:$AC$204,ROWS($AC$10:AC76)),"")</f>
        <v/>
      </c>
    </row>
    <row r="77" spans="2:34" x14ac:dyDescent="0.25">
      <c r="B77" s="58">
        <v>100</v>
      </c>
      <c r="C77" s="72">
        <v>-0.2</v>
      </c>
      <c r="D77" s="1656"/>
      <c r="F77" s="58">
        <v>100</v>
      </c>
      <c r="G77" s="72">
        <v>-0.2</v>
      </c>
      <c r="H77" s="1656"/>
      <c r="I77" s="73"/>
      <c r="J77" s="58">
        <v>100</v>
      </c>
      <c r="K77" s="61">
        <v>0.2</v>
      </c>
      <c r="L77" s="176">
        <v>0.1</v>
      </c>
      <c r="M77" s="1662"/>
      <c r="N77" s="97"/>
      <c r="O77" s="58">
        <f t="shared" si="37"/>
        <v>100</v>
      </c>
      <c r="P77" s="775"/>
      <c r="Q77" s="776"/>
      <c r="R77" s="776"/>
      <c r="S77" s="64"/>
      <c r="T77" s="62"/>
      <c r="U77" s="806">
        <f t="shared" si="38"/>
        <v>-0.2</v>
      </c>
      <c r="V77" s="797">
        <f t="shared" si="39"/>
        <v>-0.2</v>
      </c>
      <c r="W77" s="797">
        <f t="shared" si="40"/>
        <v>0.2</v>
      </c>
      <c r="X77" s="64">
        <f t="shared" si="41"/>
        <v>0.2</v>
      </c>
      <c r="Y77" s="177">
        <f t="shared" si="42"/>
        <v>0.1</v>
      </c>
      <c r="Z77" s="3"/>
      <c r="AA77" s="29" t="s">
        <v>842</v>
      </c>
      <c r="AB77" s="66">
        <f>ROWS(AA$10:$AA77)</f>
        <v>68</v>
      </c>
      <c r="AC77" s="66" t="str">
        <f>IF(ID!$B$88=AA77,AB77,"")</f>
        <v/>
      </c>
      <c r="AD77" s="66" t="str">
        <f>IFERROR(SMALL($AC$10:$AC$204,ROWS($AC$10:AC77)),"")</f>
        <v/>
      </c>
    </row>
    <row r="78" spans="2:34" x14ac:dyDescent="0.25">
      <c r="B78" s="58">
        <v>150</v>
      </c>
      <c r="C78" s="72">
        <v>-0.3</v>
      </c>
      <c r="D78" s="1656"/>
      <c r="F78" s="58">
        <v>150</v>
      </c>
      <c r="G78" s="72">
        <v>-0.3</v>
      </c>
      <c r="H78" s="1656"/>
      <c r="I78" s="73"/>
      <c r="J78" s="58">
        <v>150</v>
      </c>
      <c r="K78" s="61">
        <v>0.4</v>
      </c>
      <c r="L78" s="176">
        <v>0.1</v>
      </c>
      <c r="M78" s="1662"/>
      <c r="N78" s="97"/>
      <c r="O78" s="58">
        <f t="shared" si="37"/>
        <v>150</v>
      </c>
      <c r="P78" s="775"/>
      <c r="Q78" s="776"/>
      <c r="R78" s="776"/>
      <c r="S78" s="64"/>
      <c r="T78" s="62"/>
      <c r="U78" s="806">
        <f t="shared" si="38"/>
        <v>-0.3</v>
      </c>
      <c r="V78" s="797">
        <f t="shared" si="39"/>
        <v>-0.3</v>
      </c>
      <c r="W78" s="797">
        <f t="shared" si="40"/>
        <v>0.4</v>
      </c>
      <c r="X78" s="64">
        <f t="shared" si="41"/>
        <v>0.35</v>
      </c>
      <c r="Y78" s="177">
        <f t="shared" si="42"/>
        <v>0.1</v>
      </c>
      <c r="Z78" s="3"/>
      <c r="AA78" s="29" t="s">
        <v>842</v>
      </c>
      <c r="AB78" s="66">
        <f>ROWS(AA$10:$AA78)</f>
        <v>69</v>
      </c>
      <c r="AC78" s="66" t="str">
        <f>IF(ID!$B$88=AA78,AB78,"")</f>
        <v/>
      </c>
      <c r="AD78" s="66" t="str">
        <f>IFERROR(SMALL($AC$10:$AC$204,ROWS($AC$10:AC78)),"")</f>
        <v/>
      </c>
    </row>
    <row r="79" spans="2:34" x14ac:dyDescent="0.25">
      <c r="B79" s="58">
        <v>200</v>
      </c>
      <c r="C79" s="72">
        <v>-0.4</v>
      </c>
      <c r="D79" s="1656"/>
      <c r="F79" s="58">
        <v>200</v>
      </c>
      <c r="G79" s="72">
        <v>-0.4</v>
      </c>
      <c r="H79" s="1656"/>
      <c r="I79" s="73"/>
      <c r="J79" s="58">
        <v>200</v>
      </c>
      <c r="K79" s="61">
        <v>0.5</v>
      </c>
      <c r="L79" s="176">
        <v>0.1</v>
      </c>
      <c r="M79" s="1662"/>
      <c r="N79" s="97"/>
      <c r="O79" s="58">
        <f t="shared" si="37"/>
        <v>200</v>
      </c>
      <c r="P79" s="775"/>
      <c r="Q79" s="776"/>
      <c r="R79" s="776"/>
      <c r="S79" s="64"/>
      <c r="T79" s="62"/>
      <c r="U79" s="806">
        <f t="shared" si="38"/>
        <v>-0.4</v>
      </c>
      <c r="V79" s="797">
        <f t="shared" si="39"/>
        <v>-0.4</v>
      </c>
      <c r="W79" s="797">
        <f t="shared" si="40"/>
        <v>0.5</v>
      </c>
      <c r="X79" s="64">
        <f t="shared" si="41"/>
        <v>0.45</v>
      </c>
      <c r="Y79" s="177">
        <f t="shared" si="42"/>
        <v>0.1</v>
      </c>
      <c r="Z79" s="3"/>
      <c r="AA79" s="29" t="s">
        <v>842</v>
      </c>
      <c r="AB79" s="66">
        <f>ROWS(AA$10:$AA79)</f>
        <v>70</v>
      </c>
      <c r="AC79" s="66" t="str">
        <f>IF(ID!$B$88=AA79,AB79,"")</f>
        <v/>
      </c>
      <c r="AD79" s="66" t="str">
        <f>IFERROR(SMALL($AC$10:$AC$204,ROWS($AC$10:AC79)),"")</f>
        <v/>
      </c>
    </row>
    <row r="80" spans="2:34" x14ac:dyDescent="0.25">
      <c r="B80" s="58">
        <v>250</v>
      </c>
      <c r="C80" s="72">
        <v>-0.5</v>
      </c>
      <c r="D80" s="1656"/>
      <c r="F80" s="58">
        <v>250</v>
      </c>
      <c r="G80" s="72">
        <v>-0.5</v>
      </c>
      <c r="H80" s="1656"/>
      <c r="I80" s="73"/>
      <c r="J80" s="58">
        <v>250</v>
      </c>
      <c r="K80" s="61">
        <v>0.7</v>
      </c>
      <c r="L80" s="176">
        <v>0.1</v>
      </c>
      <c r="M80" s="1662"/>
      <c r="N80" s="97"/>
      <c r="O80" s="58">
        <f t="shared" si="37"/>
        <v>250</v>
      </c>
      <c r="P80" s="775"/>
      <c r="Q80" s="776"/>
      <c r="R80" s="776"/>
      <c r="S80" s="64"/>
      <c r="T80" s="62"/>
      <c r="U80" s="806">
        <f t="shared" si="38"/>
        <v>-0.5</v>
      </c>
      <c r="V80" s="797">
        <f t="shared" si="39"/>
        <v>-0.5</v>
      </c>
      <c r="W80" s="797">
        <f t="shared" si="40"/>
        <v>0.7</v>
      </c>
      <c r="X80" s="64">
        <f t="shared" si="41"/>
        <v>0.6</v>
      </c>
      <c r="Y80" s="177">
        <f t="shared" si="42"/>
        <v>0.1</v>
      </c>
      <c r="Z80" s="3"/>
      <c r="AA80" s="29" t="s">
        <v>842</v>
      </c>
      <c r="AB80" s="66">
        <f>ROWS(AA$10:$AA80)</f>
        <v>71</v>
      </c>
      <c r="AC80" s="66" t="str">
        <f>IF(ID!$B$88=AA80,AB80,"")</f>
        <v/>
      </c>
      <c r="AD80" s="66" t="str">
        <f>IFERROR(SMALL($AC$10:$AC$204,ROWS($AC$10:AC80)),"")</f>
        <v/>
      </c>
    </row>
    <row r="81" spans="2:34" x14ac:dyDescent="0.25">
      <c r="B81" s="58">
        <v>300</v>
      </c>
      <c r="C81" s="72">
        <v>-0.5</v>
      </c>
      <c r="D81" s="1657"/>
      <c r="F81" s="58">
        <v>300</v>
      </c>
      <c r="G81" s="72">
        <v>-0.5</v>
      </c>
      <c r="H81" s="1657"/>
      <c r="I81" s="73"/>
      <c r="J81" s="58">
        <v>300</v>
      </c>
      <c r="K81" s="61">
        <v>0.9</v>
      </c>
      <c r="L81" s="176">
        <v>0.1</v>
      </c>
      <c r="M81" s="1663"/>
      <c r="N81" s="97"/>
      <c r="O81" s="58">
        <f t="shared" si="37"/>
        <v>300</v>
      </c>
      <c r="P81" s="775"/>
      <c r="Q81" s="776"/>
      <c r="R81" s="776"/>
      <c r="S81" s="64"/>
      <c r="T81" s="62"/>
      <c r="U81" s="806">
        <f t="shared" si="38"/>
        <v>-0.5</v>
      </c>
      <c r="V81" s="797">
        <f t="shared" si="39"/>
        <v>-0.5</v>
      </c>
      <c r="W81" s="797">
        <f t="shared" si="40"/>
        <v>0.9</v>
      </c>
      <c r="X81" s="64">
        <f t="shared" si="41"/>
        <v>0.7</v>
      </c>
      <c r="Y81" s="177">
        <f t="shared" si="42"/>
        <v>0.1</v>
      </c>
      <c r="Z81" s="3"/>
      <c r="AA81" s="29" t="s">
        <v>842</v>
      </c>
      <c r="AB81" s="66">
        <f>ROWS(AA$10:$AA81)</f>
        <v>72</v>
      </c>
      <c r="AC81" s="66" t="str">
        <f>IF(ID!$B$88=AA81,AB81,"")</f>
        <v/>
      </c>
      <c r="AD81" s="66" t="str">
        <f>IFERROR(SMALL($AC$10:$AC$204,ROWS($AC$10:AC81)),"")</f>
        <v/>
      </c>
    </row>
    <row r="82" spans="2:34" x14ac:dyDescent="0.25">
      <c r="O82" s="93"/>
      <c r="P82" s="788"/>
      <c r="Q82" s="790"/>
      <c r="R82" s="790"/>
      <c r="S82" s="98"/>
      <c r="T82" s="81"/>
      <c r="U82" s="799"/>
      <c r="V82" s="799"/>
      <c r="W82" s="799"/>
      <c r="X82" s="82"/>
      <c r="Y82" s="83"/>
      <c r="Z82" s="5"/>
      <c r="AA82" s="29"/>
      <c r="AB82" s="66">
        <f>ROWS(AA$10:$AA82)</f>
        <v>73</v>
      </c>
      <c r="AC82" s="66" t="str">
        <f>IF(ID!$B$88=AA82,AB82,"")</f>
        <v/>
      </c>
      <c r="AD82" s="66" t="str">
        <f>IFERROR(SMALL($AC$10:$AC$204,ROWS($AC$10:AC82)),"")</f>
        <v/>
      </c>
    </row>
    <row r="83" spans="2:34" s="7" customFormat="1" x14ac:dyDescent="0.25">
      <c r="O83" s="93"/>
      <c r="P83" s="788"/>
      <c r="Q83" s="790"/>
      <c r="R83" s="790"/>
      <c r="S83" s="98"/>
      <c r="T83" s="81"/>
      <c r="U83" s="799"/>
      <c r="V83" s="799"/>
      <c r="W83" s="799"/>
      <c r="X83" s="82"/>
      <c r="Y83" s="83"/>
      <c r="Z83" s="5"/>
      <c r="AA83" s="29"/>
      <c r="AB83" s="66">
        <f>ROWS(AA$10:$AA83)</f>
        <v>74</v>
      </c>
      <c r="AC83" s="66" t="str">
        <f>IF(ID!$B$88=AA83,AB83,"")</f>
        <v/>
      </c>
      <c r="AD83" s="66" t="str">
        <f>IFERROR(SMALL($AC$10:$AC$204,ROWS($AC$10:AC83)),"")</f>
        <v/>
      </c>
    </row>
    <row r="84" spans="2:34" x14ac:dyDescent="0.25">
      <c r="O84" s="93"/>
      <c r="P84" s="788"/>
      <c r="Q84" s="790"/>
      <c r="R84" s="790"/>
      <c r="S84" s="98"/>
      <c r="T84" s="81"/>
      <c r="U84" s="799"/>
      <c r="V84" s="799"/>
      <c r="W84" s="799"/>
      <c r="X84" s="82"/>
      <c r="Y84" s="83"/>
      <c r="Z84" s="5"/>
      <c r="AA84" s="29"/>
      <c r="AB84" s="66">
        <f>ROWS(AA$10:$AA84)</f>
        <v>75</v>
      </c>
      <c r="AC84" s="66" t="str">
        <f>IF(ID!$B$88=AA84,AB84,"")</f>
        <v/>
      </c>
      <c r="AD84" s="66" t="str">
        <f>IFERROR(SMALL($AC$10:$AC$204,ROWS($AC$10:AC84)),"")</f>
        <v/>
      </c>
    </row>
    <row r="85" spans="2:34" x14ac:dyDescent="0.25">
      <c r="O85" s="93"/>
      <c r="P85" s="788"/>
      <c r="Q85" s="789"/>
      <c r="R85" s="789"/>
      <c r="S85" s="94"/>
      <c r="T85" s="95"/>
      <c r="U85" s="801"/>
      <c r="V85" s="801"/>
      <c r="W85" s="801"/>
      <c r="X85" s="94"/>
      <c r="Y85" s="95"/>
      <c r="Z85" s="3"/>
      <c r="AA85" s="29"/>
      <c r="AB85" s="66">
        <f>ROWS(AA$10:$AA85)</f>
        <v>76</v>
      </c>
      <c r="AC85" s="66" t="str">
        <f>IF(ID!$B$88=AA85,AB85,"")</f>
        <v/>
      </c>
      <c r="AD85" s="66" t="str">
        <f>IFERROR(SMALL($AC$10:$AC$204,ROWS($AC$10:AC85)),"")</f>
        <v/>
      </c>
    </row>
    <row r="86" spans="2:34" s="7" customFormat="1" x14ac:dyDescent="0.25">
      <c r="O86" s="96"/>
      <c r="P86" s="771"/>
      <c r="Q86" s="772"/>
      <c r="R86" s="772"/>
      <c r="S86" s="44"/>
      <c r="T86" s="4"/>
      <c r="U86" s="792"/>
      <c r="V86" s="792"/>
      <c r="W86" s="792"/>
      <c r="X86" s="44"/>
      <c r="Y86" s="4"/>
      <c r="AB86" s="66">
        <f>ROWS(AA$10:$AA86)</f>
        <v>77</v>
      </c>
      <c r="AC86" s="66" t="str">
        <f>IF(ID!$B$88=AA86,AB86,"")</f>
        <v/>
      </c>
      <c r="AD86" s="66" t="str">
        <f>IFERROR(SMALL($AC$10:$AC$204,ROWS($AC$10:AC86)),"")</f>
        <v/>
      </c>
    </row>
    <row r="87" spans="2:34" s="4" customFormat="1" x14ac:dyDescent="0.25">
      <c r="O87" s="68"/>
      <c r="P87" s="771"/>
      <c r="Q87" s="772"/>
      <c r="R87" s="772"/>
      <c r="S87" s="44"/>
      <c r="U87" s="792"/>
      <c r="V87" s="792"/>
      <c r="W87" s="792"/>
      <c r="X87" s="44"/>
      <c r="AB87" s="66">
        <f>ROWS(AA$10:$AA87)</f>
        <v>78</v>
      </c>
      <c r="AC87" s="66" t="str">
        <f>IF(ID!$B$88=AA87,AB87,"")</f>
        <v/>
      </c>
      <c r="AD87" s="66" t="str">
        <f>IFERROR(SMALL($AC$10:$AC$204,ROWS($AC$10:AC87)),"")</f>
        <v/>
      </c>
    </row>
    <row r="88" spans="2:34" s="4" customFormat="1" x14ac:dyDescent="0.25">
      <c r="O88" s="68"/>
      <c r="P88" s="771"/>
      <c r="Q88" s="772"/>
      <c r="R88" s="772"/>
      <c r="S88" s="44"/>
      <c r="U88" s="792"/>
      <c r="V88" s="792"/>
      <c r="W88" s="792"/>
      <c r="X88" s="44"/>
      <c r="AB88" s="66">
        <f>ROWS(AA$10:$AA88)</f>
        <v>79</v>
      </c>
      <c r="AC88" s="66" t="str">
        <f>IF(ID!$B$88=AA88,AB88,"")</f>
        <v/>
      </c>
      <c r="AD88" s="66" t="str">
        <f>IFERROR(SMALL($AC$10:$AC$204,ROWS($AC$10:AC88)),"")</f>
        <v/>
      </c>
      <c r="AE88" s="1"/>
      <c r="AF88" s="1"/>
      <c r="AG88" s="1"/>
      <c r="AH88" s="1"/>
    </row>
    <row r="89" spans="2:34" x14ac:dyDescent="0.25">
      <c r="O89" s="69"/>
      <c r="P89" s="777"/>
      <c r="Q89" s="778"/>
      <c r="R89" s="779"/>
      <c r="S89" s="71"/>
      <c r="AB89" s="66">
        <f>ROWS(AA$10:$AA89)</f>
        <v>80</v>
      </c>
      <c r="AC89" s="66" t="str">
        <f>IF(ID!$B$88=AA89,AB89,"")</f>
        <v/>
      </c>
      <c r="AD89" s="66" t="str">
        <f>IFERROR(SMALL($AC$10:$AC$204,ROWS($AC$10:AC89)),"")</f>
        <v/>
      </c>
    </row>
    <row r="90" spans="2:34" x14ac:dyDescent="0.25">
      <c r="B90" s="58">
        <v>0</v>
      </c>
      <c r="C90" s="72"/>
      <c r="D90" s="89" t="s">
        <v>425</v>
      </c>
      <c r="F90" s="58">
        <v>0</v>
      </c>
      <c r="G90" s="61" t="s">
        <v>111</v>
      </c>
      <c r="H90" s="89" t="s">
        <v>425</v>
      </c>
      <c r="I90" s="73"/>
      <c r="J90" s="58">
        <v>0</v>
      </c>
      <c r="K90" s="61"/>
      <c r="L90" s="72"/>
      <c r="M90" s="90" t="s">
        <v>426</v>
      </c>
      <c r="N90" s="63"/>
      <c r="O90" s="58">
        <f t="shared" ref="O90:O96" si="43">J90</f>
        <v>0</v>
      </c>
      <c r="P90" s="775"/>
      <c r="Q90" s="776"/>
      <c r="R90" s="776"/>
      <c r="S90" s="64"/>
      <c r="T90" s="72"/>
      <c r="U90" s="796"/>
      <c r="V90" s="797"/>
      <c r="W90" s="797"/>
      <c r="X90" s="99"/>
      <c r="Y90" s="75"/>
      <c r="Z90" s="5"/>
      <c r="AA90" s="29" t="s">
        <v>843</v>
      </c>
      <c r="AB90" s="66">
        <f>ROWS(AA$10:$AA90)</f>
        <v>81</v>
      </c>
      <c r="AC90" s="66" t="str">
        <f>IF(ID!$B$88=AA90,AB90,"")</f>
        <v/>
      </c>
      <c r="AD90" s="66" t="str">
        <f>IFERROR(SMALL($AC$10:$AC$204,ROWS($AC$10:AC90)),"")</f>
        <v/>
      </c>
    </row>
    <row r="91" spans="2:34" x14ac:dyDescent="0.25">
      <c r="B91" s="58">
        <v>50</v>
      </c>
      <c r="C91" s="72"/>
      <c r="D91" s="89" t="s">
        <v>425</v>
      </c>
      <c r="F91" s="58">
        <v>50</v>
      </c>
      <c r="G91" s="61" t="s">
        <v>111</v>
      </c>
      <c r="H91" s="89" t="s">
        <v>425</v>
      </c>
      <c r="I91" s="73"/>
      <c r="J91" s="58">
        <v>50</v>
      </c>
      <c r="K91" s="61"/>
      <c r="L91" s="72"/>
      <c r="M91" s="90" t="s">
        <v>426</v>
      </c>
      <c r="N91" s="63"/>
      <c r="O91" s="58">
        <f t="shared" si="43"/>
        <v>50</v>
      </c>
      <c r="P91" s="775"/>
      <c r="Q91" s="776"/>
      <c r="R91" s="776"/>
      <c r="S91" s="64"/>
      <c r="T91" s="72"/>
      <c r="U91" s="796"/>
      <c r="V91" s="797"/>
      <c r="W91" s="797"/>
      <c r="X91" s="99"/>
      <c r="Y91" s="75"/>
      <c r="Z91" s="5"/>
      <c r="AA91" s="29" t="s">
        <v>843</v>
      </c>
      <c r="AB91" s="66">
        <f>ROWS(AA$10:$AA91)</f>
        <v>82</v>
      </c>
      <c r="AC91" s="66" t="str">
        <f>IF(ID!$B$88=AA91,AB91,"")</f>
        <v/>
      </c>
      <c r="AD91" s="66" t="str">
        <f>IFERROR(SMALL($AC$10:$AC$204,ROWS($AC$10:AC91)),"")</f>
        <v/>
      </c>
    </row>
    <row r="92" spans="2:34" x14ac:dyDescent="0.25">
      <c r="B92" s="58">
        <v>100</v>
      </c>
      <c r="C92" s="72"/>
      <c r="D92" s="89" t="s">
        <v>425</v>
      </c>
      <c r="F92" s="58">
        <v>100</v>
      </c>
      <c r="G92" s="61" t="s">
        <v>111</v>
      </c>
      <c r="H92" s="89" t="s">
        <v>425</v>
      </c>
      <c r="I92" s="73"/>
      <c r="J92" s="58">
        <v>100</v>
      </c>
      <c r="K92" s="61"/>
      <c r="L92" s="72"/>
      <c r="M92" s="90" t="s">
        <v>426</v>
      </c>
      <c r="N92" s="63"/>
      <c r="O92" s="58">
        <f t="shared" si="43"/>
        <v>100</v>
      </c>
      <c r="P92" s="775"/>
      <c r="Q92" s="776"/>
      <c r="R92" s="776"/>
      <c r="S92" s="64"/>
      <c r="T92" s="72"/>
      <c r="U92" s="796"/>
      <c r="V92" s="797"/>
      <c r="W92" s="797"/>
      <c r="X92" s="99"/>
      <c r="Y92" s="75"/>
      <c r="Z92" s="5"/>
      <c r="AA92" s="29" t="s">
        <v>843</v>
      </c>
      <c r="AB92" s="66">
        <f>ROWS(AA$10:$AA92)</f>
        <v>83</v>
      </c>
      <c r="AC92" s="66" t="str">
        <f>IF(ID!$B$88=AA92,AB92,"")</f>
        <v/>
      </c>
      <c r="AD92" s="66" t="str">
        <f>IFERROR(SMALL($AC$10:$AC$204,ROWS($AC$10:AC92)),"")</f>
        <v/>
      </c>
    </row>
    <row r="93" spans="2:34" x14ac:dyDescent="0.25">
      <c r="B93" s="58">
        <v>150</v>
      </c>
      <c r="C93" s="72"/>
      <c r="D93" s="89" t="s">
        <v>425</v>
      </c>
      <c r="F93" s="58">
        <v>150</v>
      </c>
      <c r="G93" s="61" t="s">
        <v>111</v>
      </c>
      <c r="H93" s="89" t="s">
        <v>425</v>
      </c>
      <c r="I93" s="73"/>
      <c r="J93" s="58">
        <v>150</v>
      </c>
      <c r="K93" s="61"/>
      <c r="L93" s="72"/>
      <c r="M93" s="90" t="s">
        <v>426</v>
      </c>
      <c r="N93" s="63"/>
      <c r="O93" s="58">
        <f t="shared" si="43"/>
        <v>150</v>
      </c>
      <c r="P93" s="775"/>
      <c r="Q93" s="776"/>
      <c r="R93" s="776"/>
      <c r="S93" s="64"/>
      <c r="T93" s="72"/>
      <c r="U93" s="796"/>
      <c r="V93" s="797"/>
      <c r="W93" s="797"/>
      <c r="X93" s="99"/>
      <c r="Y93" s="75"/>
      <c r="Z93" s="5"/>
      <c r="AA93" s="29" t="s">
        <v>843</v>
      </c>
      <c r="AB93" s="66">
        <f>ROWS(AA$10:$AA93)</f>
        <v>84</v>
      </c>
      <c r="AC93" s="66" t="str">
        <f>IF(ID!$B$88=AA93,AB93,"")</f>
        <v/>
      </c>
      <c r="AD93" s="66" t="str">
        <f>IFERROR(SMALL($AC$10:$AC$204,ROWS($AC$10:AC93)),"")</f>
        <v/>
      </c>
    </row>
    <row r="94" spans="2:34" x14ac:dyDescent="0.25">
      <c r="B94" s="58">
        <v>200</v>
      </c>
      <c r="C94" s="72"/>
      <c r="D94" s="89" t="s">
        <v>425</v>
      </c>
      <c r="F94" s="58">
        <v>200</v>
      </c>
      <c r="G94" s="61" t="s">
        <v>111</v>
      </c>
      <c r="H94" s="89" t="s">
        <v>425</v>
      </c>
      <c r="I94" s="73"/>
      <c r="J94" s="58">
        <v>200</v>
      </c>
      <c r="K94" s="61"/>
      <c r="L94" s="72"/>
      <c r="M94" s="90" t="s">
        <v>426</v>
      </c>
      <c r="N94" s="63"/>
      <c r="O94" s="58">
        <f t="shared" si="43"/>
        <v>200</v>
      </c>
      <c r="P94" s="775"/>
      <c r="Q94" s="776"/>
      <c r="R94" s="776"/>
      <c r="S94" s="64"/>
      <c r="T94" s="72"/>
      <c r="U94" s="796"/>
      <c r="V94" s="797"/>
      <c r="W94" s="797"/>
      <c r="X94" s="99"/>
      <c r="Y94" s="75"/>
      <c r="Z94" s="5"/>
      <c r="AA94" s="29" t="s">
        <v>843</v>
      </c>
      <c r="AB94" s="66">
        <f>ROWS(AA$10:$AA94)</f>
        <v>85</v>
      </c>
      <c r="AC94" s="66" t="str">
        <f>IF(ID!$B$88=AA94,AB94,"")</f>
        <v/>
      </c>
      <c r="AD94" s="66" t="str">
        <f>IFERROR(SMALL($AC$10:$AC$204,ROWS($AC$10:AC94)),"")</f>
        <v/>
      </c>
    </row>
    <row r="95" spans="2:34" x14ac:dyDescent="0.25">
      <c r="B95" s="58">
        <v>250</v>
      </c>
      <c r="C95" s="72"/>
      <c r="D95" s="89" t="s">
        <v>425</v>
      </c>
      <c r="F95" s="58">
        <v>250</v>
      </c>
      <c r="G95" s="61" t="s">
        <v>111</v>
      </c>
      <c r="H95" s="89" t="s">
        <v>425</v>
      </c>
      <c r="I95" s="73"/>
      <c r="J95" s="58">
        <v>250</v>
      </c>
      <c r="K95" s="61"/>
      <c r="L95" s="72"/>
      <c r="M95" s="90" t="s">
        <v>426</v>
      </c>
      <c r="N95" s="63"/>
      <c r="O95" s="58">
        <f t="shared" si="43"/>
        <v>250</v>
      </c>
      <c r="P95" s="775"/>
      <c r="Q95" s="776"/>
      <c r="R95" s="776"/>
      <c r="S95" s="64"/>
      <c r="T95" s="72"/>
      <c r="U95" s="796"/>
      <c r="V95" s="797"/>
      <c r="W95" s="797"/>
      <c r="X95" s="99"/>
      <c r="Y95" s="75"/>
      <c r="Z95" s="5"/>
      <c r="AA95" s="29" t="s">
        <v>843</v>
      </c>
      <c r="AB95" s="66">
        <f>ROWS(AA$10:$AA95)</f>
        <v>86</v>
      </c>
      <c r="AC95" s="66" t="str">
        <f>IF(ID!$B$88=AA95,AB95,"")</f>
        <v/>
      </c>
      <c r="AD95" s="66" t="str">
        <f>IFERROR(SMALL($AC$10:$AC$204,ROWS($AC$10:AC95)),"")</f>
        <v/>
      </c>
    </row>
    <row r="96" spans="2:34" x14ac:dyDescent="0.25">
      <c r="B96" s="58">
        <v>300</v>
      </c>
      <c r="C96" s="72"/>
      <c r="D96" s="89" t="s">
        <v>425</v>
      </c>
      <c r="F96" s="58">
        <v>300</v>
      </c>
      <c r="G96" s="61" t="s">
        <v>111</v>
      </c>
      <c r="H96" s="89" t="s">
        <v>425</v>
      </c>
      <c r="I96" s="73"/>
      <c r="J96" s="58">
        <v>300</v>
      </c>
      <c r="K96" s="61"/>
      <c r="L96" s="72"/>
      <c r="M96" s="90" t="s">
        <v>426</v>
      </c>
      <c r="N96" s="63"/>
      <c r="O96" s="58">
        <f t="shared" si="43"/>
        <v>300</v>
      </c>
      <c r="P96" s="775"/>
      <c r="Q96" s="776"/>
      <c r="R96" s="776"/>
      <c r="S96" s="64"/>
      <c r="T96" s="72"/>
      <c r="U96" s="796"/>
      <c r="V96" s="797"/>
      <c r="W96" s="797"/>
      <c r="X96" s="99"/>
      <c r="Y96" s="75"/>
      <c r="Z96" s="5"/>
      <c r="AA96" s="29" t="s">
        <v>843</v>
      </c>
      <c r="AB96" s="66">
        <f>ROWS(AA$10:$AA96)</f>
        <v>87</v>
      </c>
      <c r="AC96" s="66" t="str">
        <f>IF(ID!$B$88=AA96,AB96,"")</f>
        <v/>
      </c>
      <c r="AD96" s="66" t="str">
        <f>IFERROR(SMALL($AC$10:$AC$204,ROWS($AC$10:AC96)),"")</f>
        <v/>
      </c>
    </row>
    <row r="97" spans="2:30" x14ac:dyDescent="0.25">
      <c r="O97" s="93"/>
      <c r="P97" s="788"/>
      <c r="Q97" s="787"/>
      <c r="R97" s="787"/>
      <c r="S97" s="91"/>
      <c r="T97" s="81"/>
      <c r="U97" s="799"/>
      <c r="V97" s="799"/>
      <c r="W97" s="799"/>
      <c r="X97" s="82"/>
      <c r="Y97" s="83"/>
      <c r="Z97" s="5"/>
      <c r="AA97" s="29" t="s">
        <v>843</v>
      </c>
      <c r="AB97" s="66">
        <f>ROWS(AA$10:$AA97)</f>
        <v>88</v>
      </c>
      <c r="AC97" s="66" t="str">
        <f>IF(ID!$B$88=AA97,AB97,"")</f>
        <v/>
      </c>
      <c r="AD97" s="66" t="str">
        <f>IFERROR(SMALL($AC$10:$AC$204,ROWS($AC$10:AC97)),"")</f>
        <v/>
      </c>
    </row>
    <row r="98" spans="2:30" s="7" customFormat="1" x14ac:dyDescent="0.25">
      <c r="O98" s="93"/>
      <c r="P98" s="788"/>
      <c r="Q98" s="787"/>
      <c r="R98" s="787"/>
      <c r="S98" s="91"/>
      <c r="T98" s="81"/>
      <c r="U98" s="799"/>
      <c r="V98" s="799"/>
      <c r="W98" s="799"/>
      <c r="X98" s="82"/>
      <c r="Y98" s="83"/>
      <c r="Z98" s="5"/>
      <c r="AA98" s="29" t="s">
        <v>843</v>
      </c>
      <c r="AB98" s="66">
        <f>ROWS(AA$10:$AA98)</f>
        <v>89</v>
      </c>
      <c r="AC98" s="66" t="str">
        <f>IF(ID!$B$88=AA98,AB98,"")</f>
        <v/>
      </c>
      <c r="AD98" s="66" t="str">
        <f>IFERROR(SMALL($AC$10:$AC$204,ROWS($AC$10:AC98)),"")</f>
        <v/>
      </c>
    </row>
    <row r="99" spans="2:30" x14ac:dyDescent="0.25">
      <c r="O99" s="93"/>
      <c r="P99" s="788"/>
      <c r="Q99" s="787"/>
      <c r="R99" s="787"/>
      <c r="S99" s="91"/>
      <c r="T99" s="81"/>
      <c r="U99" s="799"/>
      <c r="V99" s="799"/>
      <c r="W99" s="799"/>
      <c r="X99" s="82"/>
      <c r="Y99" s="83"/>
      <c r="Z99" s="5"/>
      <c r="AA99" s="29" t="s">
        <v>843</v>
      </c>
      <c r="AB99" s="66">
        <f>ROWS(AA$10:$AA99)</f>
        <v>90</v>
      </c>
      <c r="AC99" s="66" t="str">
        <f>IF(ID!$B$88=AA99,AB99,"")</f>
        <v/>
      </c>
      <c r="AD99" s="66" t="str">
        <f>IFERROR(SMALL($AC$10:$AC$204,ROWS($AC$10:AC99)),"")</f>
        <v/>
      </c>
    </row>
    <row r="100" spans="2:30" x14ac:dyDescent="0.25">
      <c r="D100" s="7"/>
      <c r="H100" s="7"/>
      <c r="I100" s="7"/>
      <c r="J100" s="7"/>
      <c r="K100" s="7"/>
      <c r="L100" s="7"/>
      <c r="M100" s="7"/>
      <c r="N100" s="7"/>
      <c r="O100" s="58"/>
      <c r="P100" s="775"/>
      <c r="Q100" s="787"/>
      <c r="R100" s="787"/>
      <c r="S100" s="91"/>
      <c r="T100" s="81"/>
      <c r="U100" s="799"/>
      <c r="V100" s="799"/>
      <c r="W100" s="799"/>
      <c r="X100" s="82"/>
      <c r="Y100" s="83"/>
      <c r="Z100" s="5"/>
      <c r="AA100" s="29"/>
      <c r="AB100" s="66">
        <f>ROWS(AA$10:$AA100)</f>
        <v>91</v>
      </c>
      <c r="AC100" s="66" t="str">
        <f>IF(ID!$B$88=AA100,AB100,"")</f>
        <v/>
      </c>
      <c r="AD100" s="66" t="str">
        <f>IFERROR(SMALL($AC$10:$AC$204,ROWS($AC$10:AC100)),"")</f>
        <v/>
      </c>
    </row>
    <row r="101" spans="2:30" s="7" customFormat="1" x14ac:dyDescent="0.25">
      <c r="O101" s="96"/>
      <c r="P101" s="771"/>
      <c r="Q101" s="772"/>
      <c r="R101" s="772"/>
      <c r="S101" s="44"/>
      <c r="T101" s="4"/>
      <c r="U101" s="792"/>
      <c r="V101" s="792"/>
      <c r="W101" s="792"/>
      <c r="X101" s="44"/>
      <c r="Y101" s="4"/>
      <c r="AB101" s="66">
        <f>ROWS(AA$10:$AA101)</f>
        <v>92</v>
      </c>
      <c r="AC101" s="66" t="str">
        <f>IF(ID!$B$88=AA101,AB101,"")</f>
        <v/>
      </c>
      <c r="AD101" s="66" t="str">
        <f>IFERROR(SMALL($AC$10:$AC$204,ROWS($AC$10:AC101)),"")</f>
        <v/>
      </c>
    </row>
    <row r="102" spans="2:30" s="4" customFormat="1" x14ac:dyDescent="0.25">
      <c r="O102" s="68"/>
      <c r="P102" s="771"/>
      <c r="Q102" s="772"/>
      <c r="R102" s="772"/>
      <c r="S102" s="44"/>
      <c r="U102" s="792"/>
      <c r="V102" s="792"/>
      <c r="W102" s="792"/>
      <c r="X102" s="44"/>
      <c r="AB102" s="66">
        <f>ROWS(AA$10:$AA102)</f>
        <v>93</v>
      </c>
      <c r="AC102" s="66" t="str">
        <f>IF(ID!$B$88=AA102,AB102,"")</f>
        <v/>
      </c>
      <c r="AD102" s="66" t="str">
        <f>IFERROR(SMALL($AC$10:$AC$204,ROWS($AC$10:AC102)),"")</f>
        <v/>
      </c>
    </row>
    <row r="103" spans="2:30" x14ac:dyDescent="0.25">
      <c r="D103" s="4"/>
      <c r="H103" s="4"/>
      <c r="I103" s="4"/>
      <c r="K103" s="4"/>
      <c r="M103" s="4"/>
      <c r="N103" s="4"/>
      <c r="O103" s="68"/>
      <c r="Z103" s="4"/>
      <c r="AA103" s="4"/>
      <c r="AB103" s="66">
        <f>ROWS(AA$10:$AA103)</f>
        <v>94</v>
      </c>
      <c r="AC103" s="66" t="str">
        <f>IF(ID!$B$88=AA103,AB103,"")</f>
        <v/>
      </c>
      <c r="AD103" s="66" t="str">
        <f>IFERROR(SMALL($AC$10:$AC$204,ROWS($AC$10:AC103)),"")</f>
        <v/>
      </c>
    </row>
    <row r="104" spans="2:30" x14ac:dyDescent="0.25">
      <c r="O104" s="69"/>
      <c r="P104" s="777"/>
      <c r="Q104" s="778"/>
      <c r="R104" s="779"/>
      <c r="S104" s="71"/>
      <c r="AB104" s="66">
        <f>ROWS(AA$10:$AA104)</f>
        <v>95</v>
      </c>
      <c r="AC104" s="66" t="str">
        <f>IF(ID!$B$88=AA104,AB104,"")</f>
        <v/>
      </c>
      <c r="AD104" s="66" t="str">
        <f>IFERROR(SMALL($AC$10:$AC$204,ROWS($AC$10:AC104)),"")</f>
        <v/>
      </c>
    </row>
    <row r="105" spans="2:30" x14ac:dyDescent="0.25">
      <c r="B105" s="58">
        <v>0</v>
      </c>
      <c r="C105" s="72">
        <v>-0.1</v>
      </c>
      <c r="D105" s="1655" t="s">
        <v>427</v>
      </c>
      <c r="F105" s="58">
        <v>0</v>
      </c>
      <c r="G105" s="72">
        <v>-0.1</v>
      </c>
      <c r="H105" s="1655" t="s">
        <v>427</v>
      </c>
      <c r="I105" s="73"/>
      <c r="J105" s="58">
        <v>0</v>
      </c>
      <c r="K105" s="61">
        <v>-0.1</v>
      </c>
      <c r="L105" s="62">
        <v>0.1</v>
      </c>
      <c r="M105" s="1658" t="s">
        <v>428</v>
      </c>
      <c r="N105" s="63"/>
      <c r="O105" s="58">
        <f t="shared" ref="O105:O111" si="44">J105</f>
        <v>0</v>
      </c>
      <c r="P105" s="775"/>
      <c r="Q105" s="776"/>
      <c r="R105" s="776"/>
      <c r="S105" s="64"/>
      <c r="T105" s="62"/>
      <c r="U105" s="796"/>
      <c r="V105" s="797">
        <v>-0.1</v>
      </c>
      <c r="W105" s="797">
        <v>-0.1</v>
      </c>
      <c r="X105" s="64">
        <v>0</v>
      </c>
      <c r="Y105" s="65">
        <v>0.1</v>
      </c>
      <c r="Z105" s="3" t="s">
        <v>429</v>
      </c>
      <c r="AA105" s="29"/>
      <c r="AB105" s="66">
        <f>ROWS(AA$10:$AA105)</f>
        <v>96</v>
      </c>
      <c r="AC105" s="66" t="str">
        <f>IF(ID!$B$88=AA105,AB105,"")</f>
        <v/>
      </c>
      <c r="AD105" s="66" t="str">
        <f>IFERROR(SMALL($AC$10:$AC$204,ROWS($AC$10:AC105)),"")</f>
        <v/>
      </c>
    </row>
    <row r="106" spans="2:30" x14ac:dyDescent="0.25">
      <c r="B106" s="58">
        <v>50</v>
      </c>
      <c r="C106" s="72">
        <v>9.9999999999999995E-7</v>
      </c>
      <c r="D106" s="1656"/>
      <c r="F106" s="58">
        <v>50</v>
      </c>
      <c r="G106" s="72">
        <v>9.9999999999999995E-7</v>
      </c>
      <c r="H106" s="1656"/>
      <c r="I106" s="73"/>
      <c r="J106" s="58">
        <v>50</v>
      </c>
      <c r="K106" s="1186">
        <v>9.9999999999999995E-7</v>
      </c>
      <c r="L106" s="62">
        <v>0.2</v>
      </c>
      <c r="M106" s="1659"/>
      <c r="N106" s="63"/>
      <c r="O106" s="58">
        <f t="shared" si="44"/>
        <v>50</v>
      </c>
      <c r="P106" s="775"/>
      <c r="Q106" s="776"/>
      <c r="R106" s="776"/>
      <c r="S106" s="64"/>
      <c r="T106" s="62"/>
      <c r="U106" s="796"/>
      <c r="V106" s="797">
        <v>0</v>
      </c>
      <c r="W106" s="797">
        <v>0</v>
      </c>
      <c r="X106" s="64">
        <v>0</v>
      </c>
      <c r="Y106" s="65">
        <v>0.2</v>
      </c>
      <c r="Z106" s="3"/>
      <c r="AA106" s="29"/>
      <c r="AB106" s="66">
        <f>ROWS(AA$10:$AA106)</f>
        <v>97</v>
      </c>
      <c r="AC106" s="66" t="str">
        <f>IF(ID!$B$88=AA106,AB106,"")</f>
        <v/>
      </c>
      <c r="AD106" s="66" t="str">
        <f>IFERROR(SMALL($AC$10:$AC$204,ROWS($AC$10:AC106)),"")</f>
        <v/>
      </c>
    </row>
    <row r="107" spans="2:30" x14ac:dyDescent="0.25">
      <c r="B107" s="58">
        <v>100</v>
      </c>
      <c r="C107" s="72">
        <v>9.9999999999999995E-7</v>
      </c>
      <c r="D107" s="1656"/>
      <c r="F107" s="58">
        <v>100</v>
      </c>
      <c r="G107" s="72">
        <v>9.9999999999999995E-7</v>
      </c>
      <c r="H107" s="1656"/>
      <c r="I107" s="73"/>
      <c r="J107" s="58">
        <v>100</v>
      </c>
      <c r="K107" s="1186">
        <v>9.9999999999999995E-7</v>
      </c>
      <c r="L107" s="62">
        <v>0.2</v>
      </c>
      <c r="M107" s="1659"/>
      <c r="N107" s="63"/>
      <c r="O107" s="58">
        <f t="shared" si="44"/>
        <v>100</v>
      </c>
      <c r="P107" s="775"/>
      <c r="Q107" s="776"/>
      <c r="R107" s="776"/>
      <c r="S107" s="64"/>
      <c r="T107" s="62"/>
      <c r="U107" s="796"/>
      <c r="V107" s="797">
        <v>0</v>
      </c>
      <c r="W107" s="797">
        <v>0</v>
      </c>
      <c r="X107" s="64">
        <v>0</v>
      </c>
      <c r="Y107" s="65">
        <v>0.2</v>
      </c>
      <c r="Z107" s="3"/>
      <c r="AA107" s="29"/>
      <c r="AB107" s="66">
        <f>ROWS(AA$10:$AA107)</f>
        <v>98</v>
      </c>
      <c r="AC107" s="66" t="str">
        <f>IF(ID!$B$88=AA107,AB107,"")</f>
        <v/>
      </c>
      <c r="AD107" s="66" t="str">
        <f>IFERROR(SMALL($AC$10:$AC$204,ROWS($AC$10:AC107)),"")</f>
        <v/>
      </c>
    </row>
    <row r="108" spans="2:30" x14ac:dyDescent="0.25">
      <c r="B108" s="58">
        <v>150</v>
      </c>
      <c r="C108" s="72">
        <v>9.9999999999999995E-7</v>
      </c>
      <c r="D108" s="1656"/>
      <c r="F108" s="58">
        <v>150</v>
      </c>
      <c r="G108" s="72">
        <v>9.9999999999999995E-7</v>
      </c>
      <c r="H108" s="1656"/>
      <c r="I108" s="73"/>
      <c r="J108" s="58">
        <v>150</v>
      </c>
      <c r="K108" s="1186">
        <v>9.9999999999999995E-7</v>
      </c>
      <c r="L108" s="62">
        <v>0.2</v>
      </c>
      <c r="M108" s="1659"/>
      <c r="N108" s="63"/>
      <c r="O108" s="58">
        <f t="shared" si="44"/>
        <v>150</v>
      </c>
      <c r="P108" s="775"/>
      <c r="Q108" s="776"/>
      <c r="R108" s="776"/>
      <c r="S108" s="64"/>
      <c r="T108" s="62"/>
      <c r="U108" s="796"/>
      <c r="V108" s="797">
        <v>0</v>
      </c>
      <c r="W108" s="797">
        <v>0</v>
      </c>
      <c r="X108" s="64">
        <v>0</v>
      </c>
      <c r="Y108" s="65">
        <v>0.2</v>
      </c>
      <c r="Z108" s="3"/>
      <c r="AA108" s="29"/>
      <c r="AB108" s="66">
        <f>ROWS(AA$10:$AA108)</f>
        <v>99</v>
      </c>
      <c r="AC108" s="66" t="str">
        <f>IF(ID!$B$88=AA108,AB108,"")</f>
        <v/>
      </c>
      <c r="AD108" s="66" t="str">
        <f>IFERROR(SMALL($AC$10:$AC$204,ROWS($AC$10:AC108)),"")</f>
        <v/>
      </c>
    </row>
    <row r="109" spans="2:30" x14ac:dyDescent="0.25">
      <c r="B109" s="58">
        <v>200</v>
      </c>
      <c r="C109" s="72">
        <v>9.9999999999999995E-7</v>
      </c>
      <c r="D109" s="1656"/>
      <c r="F109" s="58">
        <v>200</v>
      </c>
      <c r="G109" s="72">
        <v>9.9999999999999995E-7</v>
      </c>
      <c r="H109" s="1656"/>
      <c r="I109" s="73"/>
      <c r="J109" s="58">
        <v>200</v>
      </c>
      <c r="K109" s="1186">
        <v>9.9999999999999995E-7</v>
      </c>
      <c r="L109" s="62">
        <v>0.2</v>
      </c>
      <c r="M109" s="1659"/>
      <c r="N109" s="63"/>
      <c r="O109" s="58">
        <f t="shared" si="44"/>
        <v>200</v>
      </c>
      <c r="P109" s="775"/>
      <c r="Q109" s="776"/>
      <c r="R109" s="776"/>
      <c r="S109" s="64"/>
      <c r="T109" s="62"/>
      <c r="U109" s="796"/>
      <c r="V109" s="797">
        <v>0</v>
      </c>
      <c r="W109" s="797">
        <v>0</v>
      </c>
      <c r="X109" s="64">
        <v>0</v>
      </c>
      <c r="Y109" s="65">
        <v>0.2</v>
      </c>
      <c r="Z109" s="3"/>
      <c r="AA109" s="29"/>
      <c r="AB109" s="66">
        <f>ROWS(AA$10:$AA109)</f>
        <v>100</v>
      </c>
      <c r="AC109" s="66" t="str">
        <f>IF(ID!$B$88=AA109,AB109,"")</f>
        <v/>
      </c>
      <c r="AD109" s="66" t="str">
        <f>IFERROR(SMALL($AC$10:$AC$204,ROWS($AC$10:AC109)),"")</f>
        <v/>
      </c>
    </row>
    <row r="110" spans="2:30" x14ac:dyDescent="0.25">
      <c r="B110" s="58">
        <v>250</v>
      </c>
      <c r="C110" s="72">
        <v>9.9999999999999995E-7</v>
      </c>
      <c r="D110" s="1656"/>
      <c r="F110" s="58">
        <v>250</v>
      </c>
      <c r="G110" s="72">
        <v>9.9999999999999995E-7</v>
      </c>
      <c r="H110" s="1656"/>
      <c r="I110" s="73"/>
      <c r="J110" s="58">
        <v>250</v>
      </c>
      <c r="K110" s="1186">
        <v>9.9999999999999995E-7</v>
      </c>
      <c r="L110" s="62">
        <v>0.2</v>
      </c>
      <c r="M110" s="1659"/>
      <c r="N110" s="63"/>
      <c r="O110" s="58">
        <f t="shared" si="44"/>
        <v>250</v>
      </c>
      <c r="P110" s="775"/>
      <c r="Q110" s="776"/>
      <c r="R110" s="776"/>
      <c r="S110" s="64"/>
      <c r="T110" s="62"/>
      <c r="U110" s="796"/>
      <c r="V110" s="797">
        <v>0</v>
      </c>
      <c r="W110" s="797">
        <v>0</v>
      </c>
      <c r="X110" s="64">
        <v>0</v>
      </c>
      <c r="Y110" s="65">
        <v>0.2</v>
      </c>
      <c r="Z110" s="3"/>
      <c r="AA110" s="29"/>
      <c r="AB110" s="66">
        <f>ROWS(AA$10:$AA110)</f>
        <v>101</v>
      </c>
      <c r="AC110" s="66" t="str">
        <f>IF(ID!$B$88=AA110,AB110,"")</f>
        <v/>
      </c>
      <c r="AD110" s="66" t="str">
        <f>IFERROR(SMALL($AC$10:$AC$204,ROWS($AC$10:AC110)),"")</f>
        <v/>
      </c>
    </row>
    <row r="111" spans="2:30" x14ac:dyDescent="0.25">
      <c r="B111" s="58">
        <v>300</v>
      </c>
      <c r="C111" s="72">
        <v>9.9999999999999995E-7</v>
      </c>
      <c r="D111" s="1657"/>
      <c r="F111" s="58">
        <v>300</v>
      </c>
      <c r="G111" s="72">
        <v>9.9999999999999995E-7</v>
      </c>
      <c r="H111" s="1657"/>
      <c r="I111" s="73"/>
      <c r="J111" s="58">
        <v>300</v>
      </c>
      <c r="K111" s="1186">
        <v>9.9999999999999995E-7</v>
      </c>
      <c r="L111" s="62">
        <v>0.2</v>
      </c>
      <c r="M111" s="1660"/>
      <c r="N111" s="63"/>
      <c r="O111" s="58">
        <f t="shared" si="44"/>
        <v>300</v>
      </c>
      <c r="P111" s="775"/>
      <c r="Q111" s="776"/>
      <c r="R111" s="776"/>
      <c r="S111" s="64"/>
      <c r="T111" s="62"/>
      <c r="U111" s="796"/>
      <c r="V111" s="797">
        <v>0</v>
      </c>
      <c r="W111" s="797">
        <v>0</v>
      </c>
      <c r="X111" s="64">
        <v>0</v>
      </c>
      <c r="Y111" s="65">
        <v>0.2</v>
      </c>
      <c r="Z111" s="3"/>
      <c r="AA111" s="29"/>
      <c r="AB111" s="66">
        <f>ROWS(AA$10:$AA111)</f>
        <v>102</v>
      </c>
      <c r="AC111" s="66" t="str">
        <f>IF(ID!$B$88=AA111,AB111,"")</f>
        <v/>
      </c>
      <c r="AD111" s="66" t="str">
        <f>IFERROR(SMALL($AC$10:$AC$204,ROWS($AC$10:AC111)),"")</f>
        <v/>
      </c>
    </row>
    <row r="112" spans="2:30" x14ac:dyDescent="0.25">
      <c r="O112" s="93"/>
      <c r="P112" s="788"/>
      <c r="Q112" s="789"/>
      <c r="R112" s="789"/>
      <c r="S112" s="94"/>
      <c r="T112" s="95"/>
      <c r="U112" s="801"/>
      <c r="V112" s="801"/>
      <c r="W112" s="801"/>
      <c r="X112" s="94"/>
      <c r="Y112" s="95"/>
      <c r="Z112" s="5"/>
      <c r="AA112" s="29"/>
      <c r="AB112" s="66">
        <f>ROWS(AA$10:$AA112)</f>
        <v>103</v>
      </c>
      <c r="AC112" s="66" t="str">
        <f>IF(ID!$B$88=AA112,AB112,"")</f>
        <v/>
      </c>
      <c r="AD112" s="66" t="str">
        <f>IFERROR(SMALL($AC$10:$AC$204,ROWS($AC$10:AC112)),"")</f>
        <v/>
      </c>
    </row>
    <row r="113" spans="2:30" x14ac:dyDescent="0.25">
      <c r="D113" s="7"/>
      <c r="H113" s="7"/>
      <c r="I113" s="7"/>
      <c r="K113" s="7"/>
      <c r="M113" s="7"/>
      <c r="N113" s="7"/>
      <c r="O113" s="93"/>
      <c r="P113" s="788"/>
      <c r="Q113" s="789"/>
      <c r="R113" s="789"/>
      <c r="S113" s="94"/>
      <c r="T113" s="95"/>
      <c r="U113" s="801"/>
      <c r="V113" s="801"/>
      <c r="W113" s="801"/>
      <c r="X113" s="94"/>
      <c r="Y113" s="95"/>
      <c r="Z113" s="5"/>
      <c r="AA113" s="29"/>
      <c r="AB113" s="66">
        <f>ROWS(AA$10:$AA113)</f>
        <v>104</v>
      </c>
      <c r="AC113" s="66" t="str">
        <f>IF(ID!$B$88=AA113,AB113,"")</f>
        <v/>
      </c>
      <c r="AD113" s="66" t="str">
        <f>IFERROR(SMALL($AC$10:$AC$204,ROWS($AC$10:AC113)),"")</f>
        <v/>
      </c>
    </row>
    <row r="114" spans="2:30" x14ac:dyDescent="0.25">
      <c r="O114" s="93"/>
      <c r="P114" s="788"/>
      <c r="Q114" s="789"/>
      <c r="R114" s="789"/>
      <c r="S114" s="94"/>
      <c r="T114" s="95"/>
      <c r="U114" s="801"/>
      <c r="V114" s="801"/>
      <c r="W114" s="801"/>
      <c r="X114" s="94"/>
      <c r="Y114" s="95"/>
      <c r="Z114" s="5"/>
      <c r="AA114" s="29"/>
      <c r="AB114" s="66">
        <f>ROWS(AA$10:$AA114)</f>
        <v>105</v>
      </c>
      <c r="AC114" s="66" t="str">
        <f>IF(ID!$B$88=AA114,AB114,"")</f>
        <v/>
      </c>
      <c r="AD114" s="66" t="str">
        <f>IFERROR(SMALL($AC$10:$AC$204,ROWS($AC$10:AC114)),"")</f>
        <v/>
      </c>
    </row>
    <row r="115" spans="2:30" x14ac:dyDescent="0.25">
      <c r="O115" s="93"/>
      <c r="P115" s="788"/>
      <c r="Q115" s="789"/>
      <c r="R115" s="789"/>
      <c r="S115" s="94"/>
      <c r="T115" s="95"/>
      <c r="U115" s="801"/>
      <c r="V115" s="801"/>
      <c r="W115" s="801"/>
      <c r="X115" s="94"/>
      <c r="Y115" s="95"/>
      <c r="Z115" s="5"/>
      <c r="AA115" s="29"/>
      <c r="AB115" s="66">
        <f>ROWS(AA$10:$AA115)</f>
        <v>106</v>
      </c>
      <c r="AC115" s="66" t="str">
        <f>IF(ID!$B$88=AA115,AB115,"")</f>
        <v/>
      </c>
      <c r="AD115" s="66" t="str">
        <f>IFERROR(SMALL($AC$10:$AC$204,ROWS($AC$10:AC115)),"")</f>
        <v/>
      </c>
    </row>
    <row r="116" spans="2:30" x14ac:dyDescent="0.25">
      <c r="D116" s="7"/>
      <c r="H116" s="7"/>
      <c r="I116" s="7"/>
      <c r="K116" s="7"/>
      <c r="M116" s="7"/>
      <c r="N116" s="7"/>
      <c r="O116" s="96"/>
      <c r="Z116" s="7"/>
      <c r="AA116" s="7"/>
      <c r="AB116" s="66">
        <f>ROWS(AA$10:$AA116)</f>
        <v>107</v>
      </c>
      <c r="AC116" s="66" t="str">
        <f>IF(ID!$B$88=AA116,AB116,"")</f>
        <v/>
      </c>
      <c r="AD116" s="66" t="str">
        <f>IFERROR(SMALL($AC$10:$AC$204,ROWS($AC$10:AC116)),"")</f>
        <v/>
      </c>
    </row>
    <row r="117" spans="2:30" x14ac:dyDescent="0.25">
      <c r="D117" s="4"/>
      <c r="H117" s="4"/>
      <c r="I117" s="4"/>
      <c r="K117" s="4"/>
      <c r="M117" s="4"/>
      <c r="N117" s="4"/>
      <c r="O117" s="68"/>
      <c r="Z117" s="4"/>
      <c r="AA117" s="4"/>
      <c r="AB117" s="66">
        <f>ROWS(AA$10:$AA117)</f>
        <v>108</v>
      </c>
      <c r="AC117" s="66" t="str">
        <f>IF(ID!$B$88=AA117,AB117,"")</f>
        <v/>
      </c>
      <c r="AD117" s="66" t="str">
        <f>IFERROR(SMALL($AC$10:$AC$204,ROWS($AC$10:AC117)),"")</f>
        <v/>
      </c>
    </row>
    <row r="118" spans="2:30" x14ac:dyDescent="0.25">
      <c r="D118" s="4"/>
      <c r="H118" s="4"/>
      <c r="I118" s="4"/>
      <c r="K118" s="4"/>
      <c r="M118" s="4"/>
      <c r="N118" s="4"/>
      <c r="O118" s="68"/>
      <c r="Z118" s="4"/>
      <c r="AA118" s="4"/>
      <c r="AB118" s="66">
        <f>ROWS(AA$10:$AA118)</f>
        <v>109</v>
      </c>
      <c r="AC118" s="66" t="str">
        <f>IF(ID!$B$88=AA118,AB118,"")</f>
        <v/>
      </c>
      <c r="AD118" s="66" t="str">
        <f>IFERROR(SMALL($AC$10:$AC$204,ROWS($AC$10:AC118)),"")</f>
        <v/>
      </c>
    </row>
    <row r="119" spans="2:30" x14ac:dyDescent="0.25">
      <c r="O119" s="69"/>
      <c r="P119" s="777"/>
      <c r="Q119" s="778"/>
      <c r="R119" s="779"/>
      <c r="S119" s="71"/>
      <c r="AB119" s="66">
        <f>ROWS(AA$10:$AA119)</f>
        <v>110</v>
      </c>
      <c r="AC119" s="66" t="str">
        <f>IF(ID!$B$88=AA119,AB119,"")</f>
        <v/>
      </c>
      <c r="AD119" s="66" t="str">
        <f>IFERROR(SMALL($AC$10:$AC$204,ROWS($AC$10:AC119)),"")</f>
        <v/>
      </c>
    </row>
    <row r="120" spans="2:30" x14ac:dyDescent="0.25">
      <c r="B120" s="58">
        <v>0</v>
      </c>
      <c r="C120" s="72">
        <v>-0.1</v>
      </c>
      <c r="D120" s="1655" t="s">
        <v>427</v>
      </c>
      <c r="F120" s="58">
        <v>0</v>
      </c>
      <c r="G120" s="72">
        <v>-0.1</v>
      </c>
      <c r="H120" s="1655" t="s">
        <v>427</v>
      </c>
      <c r="I120" s="73"/>
      <c r="J120" s="58">
        <v>0</v>
      </c>
      <c r="K120" s="61">
        <v>-0.1</v>
      </c>
      <c r="L120" s="62">
        <v>0.1</v>
      </c>
      <c r="M120" s="1658" t="s">
        <v>428</v>
      </c>
      <c r="N120" s="63"/>
      <c r="O120" s="58">
        <f t="shared" ref="O120:O126" si="45">J120</f>
        <v>0</v>
      </c>
      <c r="P120" s="775"/>
      <c r="Q120" s="776"/>
      <c r="R120" s="776"/>
      <c r="S120" s="64"/>
      <c r="T120" s="62"/>
      <c r="U120" s="796"/>
      <c r="V120" s="797">
        <v>-0.1</v>
      </c>
      <c r="W120" s="797">
        <v>-0.1</v>
      </c>
      <c r="X120" s="64">
        <v>0</v>
      </c>
      <c r="Y120" s="65">
        <v>0.1</v>
      </c>
      <c r="Z120" s="3" t="s">
        <v>429</v>
      </c>
      <c r="AA120" s="29"/>
      <c r="AB120" s="66">
        <f>ROWS(AA$10:$AA120)</f>
        <v>111</v>
      </c>
      <c r="AC120" s="66" t="str">
        <f>IF(ID!$B$88=AA120,AB120,"")</f>
        <v/>
      </c>
      <c r="AD120" s="66" t="str">
        <f>IFERROR(SMALL($AC$10:$AC$204,ROWS($AC$10:AC120)),"")</f>
        <v/>
      </c>
    </row>
    <row r="121" spans="2:30" x14ac:dyDescent="0.25">
      <c r="B121" s="58">
        <v>50</v>
      </c>
      <c r="C121" s="72">
        <v>9.9999999999999995E-7</v>
      </c>
      <c r="D121" s="1656"/>
      <c r="F121" s="58">
        <v>50</v>
      </c>
      <c r="G121" s="72">
        <v>9.9999999999999995E-7</v>
      </c>
      <c r="H121" s="1656"/>
      <c r="I121" s="73"/>
      <c r="J121" s="58">
        <v>50</v>
      </c>
      <c r="K121" s="1186">
        <v>9.9999999999999995E-7</v>
      </c>
      <c r="L121" s="62">
        <v>0.1</v>
      </c>
      <c r="M121" s="1659"/>
      <c r="N121" s="63"/>
      <c r="O121" s="58">
        <f t="shared" si="45"/>
        <v>50</v>
      </c>
      <c r="P121" s="775"/>
      <c r="Q121" s="776"/>
      <c r="R121" s="776"/>
      <c r="S121" s="64"/>
      <c r="T121" s="62"/>
      <c r="U121" s="796"/>
      <c r="V121" s="797">
        <v>0</v>
      </c>
      <c r="W121" s="797">
        <v>0</v>
      </c>
      <c r="X121" s="64">
        <v>0</v>
      </c>
      <c r="Y121" s="65">
        <v>0.1</v>
      </c>
      <c r="Z121" s="3"/>
      <c r="AA121" s="29"/>
      <c r="AB121" s="66">
        <f>ROWS(AA$10:$AA121)</f>
        <v>112</v>
      </c>
      <c r="AC121" s="66" t="str">
        <f>IF(ID!$B$88=AA121,AB121,"")</f>
        <v/>
      </c>
      <c r="AD121" s="66" t="str">
        <f>IFERROR(SMALL($AC$10:$AC$204,ROWS($AC$10:AC121)),"")</f>
        <v/>
      </c>
    </row>
    <row r="122" spans="2:30" x14ac:dyDescent="0.25">
      <c r="B122" s="58">
        <v>100</v>
      </c>
      <c r="C122" s="72">
        <v>9.9999999999994316E-2</v>
      </c>
      <c r="D122" s="1656"/>
      <c r="F122" s="58">
        <v>100</v>
      </c>
      <c r="G122" s="72">
        <v>9.9999999999994316E-2</v>
      </c>
      <c r="H122" s="1656"/>
      <c r="I122" s="73"/>
      <c r="J122" s="58">
        <v>100</v>
      </c>
      <c r="K122" s="61">
        <v>0.20000000000000284</v>
      </c>
      <c r="L122" s="62">
        <v>0.1</v>
      </c>
      <c r="M122" s="1659"/>
      <c r="N122" s="63"/>
      <c r="O122" s="58">
        <f t="shared" si="45"/>
        <v>100</v>
      </c>
      <c r="P122" s="775"/>
      <c r="Q122" s="776"/>
      <c r="R122" s="776"/>
      <c r="S122" s="64"/>
      <c r="T122" s="62"/>
      <c r="U122" s="796"/>
      <c r="V122" s="797">
        <v>9.9999999999994316E-2</v>
      </c>
      <c r="W122" s="797">
        <v>0.20000000000000284</v>
      </c>
      <c r="X122" s="64">
        <v>5.0000000000004263E-2</v>
      </c>
      <c r="Y122" s="65">
        <v>0.1</v>
      </c>
      <c r="Z122" s="3"/>
      <c r="AA122" s="29"/>
      <c r="AB122" s="66">
        <f>ROWS(AA$10:$AA122)</f>
        <v>113</v>
      </c>
      <c r="AC122" s="66" t="str">
        <f>IF(ID!$B$88=AA122,AB122,"")</f>
        <v/>
      </c>
      <c r="AD122" s="66" t="str">
        <f>IFERROR(SMALL($AC$10:$AC$204,ROWS($AC$10:AC122)),"")</f>
        <v/>
      </c>
    </row>
    <row r="123" spans="2:30" x14ac:dyDescent="0.25">
      <c r="B123" s="58">
        <v>150</v>
      </c>
      <c r="C123" s="72">
        <v>0.19999999999998863</v>
      </c>
      <c r="D123" s="1656"/>
      <c r="F123" s="58">
        <v>150</v>
      </c>
      <c r="G123" s="72">
        <v>0.19999999999998863</v>
      </c>
      <c r="H123" s="1656"/>
      <c r="I123" s="73"/>
      <c r="J123" s="58">
        <v>150</v>
      </c>
      <c r="K123" s="61">
        <v>0.19999999999998863</v>
      </c>
      <c r="L123" s="62">
        <v>0.1</v>
      </c>
      <c r="M123" s="1659"/>
      <c r="N123" s="63"/>
      <c r="O123" s="58">
        <f t="shared" si="45"/>
        <v>150</v>
      </c>
      <c r="P123" s="775"/>
      <c r="Q123" s="776"/>
      <c r="R123" s="776"/>
      <c r="S123" s="64"/>
      <c r="T123" s="62"/>
      <c r="U123" s="796"/>
      <c r="V123" s="797">
        <v>0.19999999999998863</v>
      </c>
      <c r="W123" s="797">
        <v>0.19999999999998863</v>
      </c>
      <c r="X123" s="64">
        <v>0</v>
      </c>
      <c r="Y123" s="65">
        <v>0.1</v>
      </c>
      <c r="Z123" s="3"/>
      <c r="AA123" s="29"/>
      <c r="AB123" s="66">
        <f>ROWS(AA$10:$AA123)</f>
        <v>114</v>
      </c>
      <c r="AC123" s="66" t="str">
        <f>IF(ID!$B$88=AA123,AB123,"")</f>
        <v/>
      </c>
      <c r="AD123" s="66" t="str">
        <f>IFERROR(SMALL($AC$10:$AC$204,ROWS($AC$10:AC123)),"")</f>
        <v/>
      </c>
    </row>
    <row r="124" spans="2:30" x14ac:dyDescent="0.25">
      <c r="B124" s="58">
        <v>200</v>
      </c>
      <c r="C124" s="72">
        <v>0.19999999999998863</v>
      </c>
      <c r="D124" s="1656"/>
      <c r="F124" s="58">
        <v>200</v>
      </c>
      <c r="G124" s="72">
        <v>0.19999999999998863</v>
      </c>
      <c r="H124" s="1656"/>
      <c r="I124" s="73"/>
      <c r="J124" s="58">
        <v>200</v>
      </c>
      <c r="K124" s="61">
        <v>0.19999999999998863</v>
      </c>
      <c r="L124" s="62">
        <v>0.1</v>
      </c>
      <c r="M124" s="1659"/>
      <c r="N124" s="63"/>
      <c r="O124" s="58">
        <f t="shared" si="45"/>
        <v>200</v>
      </c>
      <c r="P124" s="775"/>
      <c r="Q124" s="776"/>
      <c r="R124" s="776"/>
      <c r="S124" s="64"/>
      <c r="T124" s="62"/>
      <c r="U124" s="796"/>
      <c r="V124" s="797">
        <v>0.19999999999998863</v>
      </c>
      <c r="W124" s="797">
        <v>0.19999999999998863</v>
      </c>
      <c r="X124" s="64">
        <v>0</v>
      </c>
      <c r="Y124" s="65">
        <v>0.1</v>
      </c>
      <c r="Z124" s="3"/>
      <c r="AA124" s="29"/>
      <c r="AB124" s="66">
        <f>ROWS(AA$10:$AA124)</f>
        <v>115</v>
      </c>
      <c r="AC124" s="66" t="str">
        <f>IF(ID!$B$88=AA124,AB124,"")</f>
        <v/>
      </c>
      <c r="AD124" s="66" t="str">
        <f>IFERROR(SMALL($AC$10:$AC$204,ROWS($AC$10:AC124)),"")</f>
        <v/>
      </c>
    </row>
    <row r="125" spans="2:30" x14ac:dyDescent="0.25">
      <c r="B125" s="58">
        <v>250</v>
      </c>
      <c r="C125" s="72">
        <v>0.19999999999998863</v>
      </c>
      <c r="D125" s="1656"/>
      <c r="F125" s="58">
        <v>250</v>
      </c>
      <c r="G125" s="72">
        <v>0.19999999999998863</v>
      </c>
      <c r="H125" s="1656"/>
      <c r="I125" s="73"/>
      <c r="J125" s="58">
        <v>250</v>
      </c>
      <c r="K125" s="61">
        <v>0.19999999999998863</v>
      </c>
      <c r="L125" s="62">
        <v>0.1</v>
      </c>
      <c r="M125" s="1659"/>
      <c r="N125" s="63"/>
      <c r="O125" s="58">
        <f t="shared" si="45"/>
        <v>250</v>
      </c>
      <c r="P125" s="775"/>
      <c r="Q125" s="776"/>
      <c r="R125" s="776"/>
      <c r="S125" s="64"/>
      <c r="T125" s="62"/>
      <c r="U125" s="796"/>
      <c r="V125" s="797">
        <v>0.19999999999998863</v>
      </c>
      <c r="W125" s="797">
        <v>0.19999999999998863</v>
      </c>
      <c r="X125" s="64">
        <v>0</v>
      </c>
      <c r="Y125" s="65">
        <v>0.1</v>
      </c>
      <c r="Z125" s="3"/>
      <c r="AA125" s="29"/>
      <c r="AB125" s="66">
        <f>ROWS(AA$10:$AA125)</f>
        <v>116</v>
      </c>
      <c r="AC125" s="66" t="str">
        <f>IF(ID!$B$88=AA125,AB125,"")</f>
        <v/>
      </c>
      <c r="AD125" s="66" t="str">
        <f>IFERROR(SMALL($AC$10:$AC$204,ROWS($AC$10:AC125)),"")</f>
        <v/>
      </c>
    </row>
    <row r="126" spans="2:30" x14ac:dyDescent="0.25">
      <c r="B126" s="58">
        <v>300</v>
      </c>
      <c r="C126" s="72">
        <v>0.19999999999998863</v>
      </c>
      <c r="D126" s="1657"/>
      <c r="F126" s="58">
        <v>300</v>
      </c>
      <c r="G126" s="72">
        <v>0.19999999999998863</v>
      </c>
      <c r="H126" s="1657"/>
      <c r="I126" s="73"/>
      <c r="J126" s="58">
        <v>300</v>
      </c>
      <c r="K126" s="61">
        <v>0.19999999999998863</v>
      </c>
      <c r="L126" s="62">
        <v>0.1</v>
      </c>
      <c r="M126" s="1660"/>
      <c r="N126" s="63"/>
      <c r="O126" s="58">
        <f t="shared" si="45"/>
        <v>300</v>
      </c>
      <c r="P126" s="775"/>
      <c r="Q126" s="776"/>
      <c r="R126" s="776"/>
      <c r="S126" s="64"/>
      <c r="T126" s="62"/>
      <c r="U126" s="796"/>
      <c r="V126" s="797">
        <v>0.19999999999998863</v>
      </c>
      <c r="W126" s="797">
        <v>0.19999999999998863</v>
      </c>
      <c r="X126" s="64">
        <v>0</v>
      </c>
      <c r="Y126" s="65">
        <v>0.1</v>
      </c>
      <c r="Z126" s="3"/>
      <c r="AA126" s="29"/>
      <c r="AB126" s="66">
        <f>ROWS(AA$10:$AA126)</f>
        <v>117</v>
      </c>
      <c r="AC126" s="66" t="str">
        <f>IF(ID!$B$88=AA126,AB126,"")</f>
        <v/>
      </c>
      <c r="AD126" s="66" t="str">
        <f>IFERROR(SMALL($AC$10:$AC$204,ROWS($AC$10:AC126)),"")</f>
        <v/>
      </c>
    </row>
    <row r="127" spans="2:30" x14ac:dyDescent="0.25">
      <c r="O127" s="93"/>
      <c r="P127" s="788"/>
      <c r="Q127" s="789"/>
      <c r="R127" s="789"/>
      <c r="S127" s="94"/>
      <c r="T127" s="95"/>
      <c r="U127" s="801"/>
      <c r="V127" s="801"/>
      <c r="W127" s="801"/>
      <c r="X127" s="94"/>
      <c r="Y127" s="95"/>
      <c r="Z127" s="5"/>
      <c r="AA127" s="29"/>
      <c r="AB127" s="66">
        <f>ROWS(AA$10:$AA127)</f>
        <v>118</v>
      </c>
      <c r="AC127" s="66" t="str">
        <f>IF(ID!$B$88=AA127,AB127,"")</f>
        <v/>
      </c>
      <c r="AD127" s="66" t="str">
        <f>IFERROR(SMALL($AC$10:$AC$204,ROWS($AC$10:AC127)),"")</f>
        <v/>
      </c>
    </row>
    <row r="128" spans="2:30" x14ac:dyDescent="0.25">
      <c r="D128" s="7"/>
      <c r="H128" s="7"/>
      <c r="I128" s="7"/>
      <c r="K128" s="7"/>
      <c r="M128" s="7"/>
      <c r="N128" s="7"/>
      <c r="O128" s="93"/>
      <c r="P128" s="788"/>
      <c r="Q128" s="789"/>
      <c r="R128" s="789"/>
      <c r="S128" s="94"/>
      <c r="T128" s="95"/>
      <c r="U128" s="801"/>
      <c r="V128" s="801"/>
      <c r="W128" s="801"/>
      <c r="X128" s="94"/>
      <c r="Y128" s="95"/>
      <c r="Z128" s="5"/>
      <c r="AA128" s="29"/>
      <c r="AB128" s="66">
        <f>ROWS(AA$10:$AA128)</f>
        <v>119</v>
      </c>
      <c r="AC128" s="66" t="str">
        <f>IF(ID!$B$88=AA128,AB128,"")</f>
        <v/>
      </c>
      <c r="AD128" s="66" t="str">
        <f>IFERROR(SMALL($AC$10:$AC$204,ROWS($AC$10:AC128)),"")</f>
        <v/>
      </c>
    </row>
    <row r="129" spans="2:30" x14ac:dyDescent="0.25">
      <c r="O129" s="93"/>
      <c r="P129" s="788"/>
      <c r="Q129" s="789"/>
      <c r="R129" s="789"/>
      <c r="S129" s="94"/>
      <c r="T129" s="95"/>
      <c r="U129" s="801"/>
      <c r="V129" s="801"/>
      <c r="W129" s="801"/>
      <c r="X129" s="94"/>
      <c r="Y129" s="95"/>
      <c r="Z129" s="5"/>
      <c r="AA129" s="29"/>
      <c r="AB129" s="66">
        <f>ROWS(AA$10:$AA129)</f>
        <v>120</v>
      </c>
      <c r="AC129" s="66" t="str">
        <f>IF(ID!$B$88=AA129,AB129,"")</f>
        <v/>
      </c>
      <c r="AD129" s="66" t="str">
        <f>IFERROR(SMALL($AC$10:$AC$204,ROWS($AC$10:AC129)),"")</f>
        <v/>
      </c>
    </row>
    <row r="130" spans="2:30" x14ac:dyDescent="0.25">
      <c r="O130" s="93"/>
      <c r="P130" s="788"/>
      <c r="Q130" s="789"/>
      <c r="R130" s="789"/>
      <c r="S130" s="94"/>
      <c r="T130" s="95"/>
      <c r="U130" s="801"/>
      <c r="V130" s="801"/>
      <c r="W130" s="801"/>
      <c r="X130" s="94"/>
      <c r="Y130" s="95"/>
      <c r="Z130" s="5"/>
      <c r="AA130" s="29"/>
      <c r="AB130" s="66">
        <f>ROWS(AA$10:$AA130)</f>
        <v>121</v>
      </c>
      <c r="AC130" s="66" t="str">
        <f>IF(ID!$B$88=AA130,AB130,"")</f>
        <v/>
      </c>
      <c r="AD130" s="66" t="str">
        <f>IFERROR(SMALL($AC$10:$AC$204,ROWS($AC$10:AC130)),"")</f>
        <v/>
      </c>
    </row>
    <row r="131" spans="2:30" x14ac:dyDescent="0.25">
      <c r="D131" s="7"/>
      <c r="H131" s="7"/>
      <c r="I131" s="7"/>
      <c r="K131" s="7"/>
      <c r="M131" s="7"/>
      <c r="N131" s="7"/>
      <c r="O131" s="96"/>
      <c r="Z131" s="7"/>
      <c r="AA131" s="7"/>
      <c r="AB131" s="66">
        <f>ROWS(AA$10:$AA131)</f>
        <v>122</v>
      </c>
      <c r="AC131" s="66" t="str">
        <f>IF(ID!$B$88=AA131,AB131,"")</f>
        <v/>
      </c>
      <c r="AD131" s="66" t="str">
        <f>IFERROR(SMALL($AC$10:$AC$204,ROWS($AC$10:AC131)),"")</f>
        <v/>
      </c>
    </row>
    <row r="132" spans="2:30" x14ac:dyDescent="0.25">
      <c r="D132" s="4"/>
      <c r="H132" s="4"/>
      <c r="I132" s="4"/>
      <c r="K132" s="4"/>
      <c r="M132" s="4"/>
      <c r="N132" s="4"/>
      <c r="O132" s="68"/>
      <c r="Z132" s="4"/>
      <c r="AA132" s="4"/>
      <c r="AB132" s="66">
        <f>ROWS(AA$10:$AA132)</f>
        <v>123</v>
      </c>
      <c r="AC132" s="66" t="str">
        <f>IF(ID!$B$88=AA132,AB132,"")</f>
        <v/>
      </c>
      <c r="AD132" s="66" t="str">
        <f>IFERROR(SMALL($AC$10:$AC$204,ROWS($AC$10:AC132)),"")</f>
        <v/>
      </c>
    </row>
    <row r="133" spans="2:30" x14ac:dyDescent="0.25">
      <c r="D133" s="4"/>
      <c r="H133" s="4"/>
      <c r="I133" s="4"/>
      <c r="K133" s="4"/>
      <c r="M133" s="4"/>
      <c r="N133" s="4"/>
      <c r="O133" s="68"/>
      <c r="Z133" s="4"/>
      <c r="AA133" s="4"/>
      <c r="AB133" s="66">
        <f>ROWS(AA$10:$AA133)</f>
        <v>124</v>
      </c>
      <c r="AC133" s="66" t="str">
        <f>IF(ID!$B$88=AA133,AB133,"")</f>
        <v/>
      </c>
      <c r="AD133" s="66" t="str">
        <f>IFERROR(SMALL($AC$10:$AC$204,ROWS($AC$10:AC133)),"")</f>
        <v/>
      </c>
    </row>
    <row r="134" spans="2:30" x14ac:dyDescent="0.25">
      <c r="O134" s="69"/>
      <c r="P134" s="777"/>
      <c r="Q134" s="778"/>
      <c r="R134" s="779"/>
      <c r="S134" s="71"/>
      <c r="AB134" s="66">
        <f>ROWS(AA$10:$AA134)</f>
        <v>125</v>
      </c>
      <c r="AC134" s="66" t="str">
        <f>IF(ID!$B$88=AA134,AB134,"")</f>
        <v/>
      </c>
      <c r="AD134" s="66" t="str">
        <f>IFERROR(SMALL($AC$10:$AC$204,ROWS($AC$10:AC134)),"")</f>
        <v/>
      </c>
    </row>
    <row r="135" spans="2:30" x14ac:dyDescent="0.25">
      <c r="B135" s="58">
        <v>0</v>
      </c>
      <c r="C135" s="61">
        <v>-0.1</v>
      </c>
      <c r="D135" s="1655" t="s">
        <v>428</v>
      </c>
      <c r="F135" s="58">
        <v>0</v>
      </c>
      <c r="G135" s="61">
        <v>-0.1</v>
      </c>
      <c r="H135" s="1655" t="s">
        <v>428</v>
      </c>
      <c r="I135" s="73"/>
      <c r="J135" s="58">
        <v>0</v>
      </c>
      <c r="K135" s="1186">
        <v>9.9999999999999995E-7</v>
      </c>
      <c r="L135" s="62">
        <v>0.1</v>
      </c>
      <c r="M135" s="1658" t="s">
        <v>386</v>
      </c>
      <c r="N135" s="78"/>
      <c r="O135" s="58">
        <f t="shared" ref="O135:O141" si="46">J135</f>
        <v>0</v>
      </c>
      <c r="P135" s="775"/>
      <c r="Q135" s="776"/>
      <c r="R135" s="776"/>
      <c r="S135" s="64"/>
      <c r="T135" s="62"/>
      <c r="U135" s="796"/>
      <c r="V135" s="797">
        <v>-0.1</v>
      </c>
      <c r="W135" s="797">
        <v>0</v>
      </c>
      <c r="X135" s="64">
        <v>0.05</v>
      </c>
      <c r="Y135" s="65">
        <v>0.1</v>
      </c>
      <c r="Z135" s="3" t="s">
        <v>430</v>
      </c>
      <c r="AA135" s="29"/>
      <c r="AB135" s="66">
        <f>ROWS(AA$10:$AA135)</f>
        <v>126</v>
      </c>
      <c r="AC135" s="66" t="str">
        <f>IF(ID!$B$88=AA135,AB135,"")</f>
        <v/>
      </c>
      <c r="AD135" s="66" t="str">
        <f>IFERROR(SMALL($AC$10:$AC$204,ROWS($AC$10:AC135)),"")</f>
        <v/>
      </c>
    </row>
    <row r="136" spans="2:30" x14ac:dyDescent="0.25">
      <c r="B136" s="58">
        <v>50</v>
      </c>
      <c r="C136" s="72">
        <v>9.9999999999999995E-7</v>
      </c>
      <c r="D136" s="1656"/>
      <c r="F136" s="58">
        <v>50</v>
      </c>
      <c r="G136" s="1186">
        <v>9.9999999999999995E-7</v>
      </c>
      <c r="H136" s="1656"/>
      <c r="I136" s="73"/>
      <c r="J136" s="58">
        <v>50</v>
      </c>
      <c r="K136" s="61">
        <v>-0.1</v>
      </c>
      <c r="L136" s="62">
        <v>0.1</v>
      </c>
      <c r="M136" s="1659"/>
      <c r="N136" s="63"/>
      <c r="O136" s="58">
        <f t="shared" si="46"/>
        <v>50</v>
      </c>
      <c r="P136" s="775"/>
      <c r="Q136" s="776"/>
      <c r="R136" s="776"/>
      <c r="S136" s="64"/>
      <c r="T136" s="62"/>
      <c r="U136" s="796"/>
      <c r="V136" s="797">
        <v>0</v>
      </c>
      <c r="W136" s="797">
        <v>-0.1</v>
      </c>
      <c r="X136" s="64">
        <v>0.05</v>
      </c>
      <c r="Y136" s="65">
        <v>0.1</v>
      </c>
      <c r="Z136" s="3"/>
      <c r="AA136" s="29"/>
      <c r="AB136" s="66">
        <f>ROWS(AA$10:$AA136)</f>
        <v>127</v>
      </c>
      <c r="AC136" s="66" t="str">
        <f>IF(ID!$B$88=AA136,AB136,"")</f>
        <v/>
      </c>
      <c r="AD136" s="66" t="str">
        <f>IFERROR(SMALL($AC$10:$AC$204,ROWS($AC$10:AC136)),"")</f>
        <v/>
      </c>
    </row>
    <row r="137" spans="2:30" x14ac:dyDescent="0.25">
      <c r="B137" s="58">
        <v>100</v>
      </c>
      <c r="C137" s="61">
        <v>9.9999999999994316E-2</v>
      </c>
      <c r="D137" s="1656"/>
      <c r="F137" s="58">
        <v>100</v>
      </c>
      <c r="G137" s="61">
        <v>9.9999999999994316E-2</v>
      </c>
      <c r="H137" s="1656"/>
      <c r="I137" s="73"/>
      <c r="J137" s="58">
        <v>100</v>
      </c>
      <c r="K137" s="1186">
        <v>9.9999999999999995E-7</v>
      </c>
      <c r="L137" s="62">
        <v>0.1</v>
      </c>
      <c r="M137" s="1659"/>
      <c r="N137" s="63"/>
      <c r="O137" s="58">
        <f t="shared" si="46"/>
        <v>100</v>
      </c>
      <c r="P137" s="775"/>
      <c r="Q137" s="776"/>
      <c r="R137" s="776"/>
      <c r="S137" s="64"/>
      <c r="T137" s="62"/>
      <c r="U137" s="796"/>
      <c r="V137" s="797">
        <v>9.9999999999994316E-2</v>
      </c>
      <c r="W137" s="797">
        <v>0</v>
      </c>
      <c r="X137" s="64">
        <v>4.9999999999997158E-2</v>
      </c>
      <c r="Y137" s="65">
        <v>0.1</v>
      </c>
      <c r="Z137" s="3"/>
      <c r="AA137" s="29"/>
      <c r="AB137" s="66">
        <f>ROWS(AA$10:$AA137)</f>
        <v>128</v>
      </c>
      <c r="AC137" s="66" t="str">
        <f>IF(ID!$B$88=AA137,AB137,"")</f>
        <v/>
      </c>
      <c r="AD137" s="66" t="str">
        <f>IFERROR(SMALL($AC$10:$AC$204,ROWS($AC$10:AC137)),"")</f>
        <v/>
      </c>
    </row>
    <row r="138" spans="2:30" x14ac:dyDescent="0.25">
      <c r="B138" s="58">
        <v>150</v>
      </c>
      <c r="C138" s="61">
        <v>9.9999999999994316E-2</v>
      </c>
      <c r="D138" s="1656"/>
      <c r="F138" s="58">
        <v>150</v>
      </c>
      <c r="G138" s="61">
        <v>9.9999999999994316E-2</v>
      </c>
      <c r="H138" s="1656"/>
      <c r="I138" s="73"/>
      <c r="J138" s="58">
        <v>150</v>
      </c>
      <c r="K138" s="61">
        <v>0.2</v>
      </c>
      <c r="L138" s="62">
        <v>0.1</v>
      </c>
      <c r="M138" s="1659"/>
      <c r="N138" s="63"/>
      <c r="O138" s="58">
        <f t="shared" si="46"/>
        <v>150</v>
      </c>
      <c r="P138" s="775"/>
      <c r="Q138" s="776"/>
      <c r="R138" s="776"/>
      <c r="S138" s="64"/>
      <c r="T138" s="62"/>
      <c r="U138" s="796"/>
      <c r="V138" s="797">
        <v>9.9999999999994316E-2</v>
      </c>
      <c r="W138" s="797">
        <v>0.2</v>
      </c>
      <c r="X138" s="64">
        <v>5.0000000000002848E-2</v>
      </c>
      <c r="Y138" s="65">
        <v>0.1</v>
      </c>
      <c r="Z138" s="3"/>
      <c r="AA138" s="29"/>
      <c r="AB138" s="66">
        <f>ROWS(AA$10:$AA138)</f>
        <v>129</v>
      </c>
      <c r="AC138" s="66" t="str">
        <f>IF(ID!$B$88=AA138,AB138,"")</f>
        <v/>
      </c>
      <c r="AD138" s="66" t="str">
        <f>IFERROR(SMALL($AC$10:$AC$204,ROWS($AC$10:AC138)),"")</f>
        <v/>
      </c>
    </row>
    <row r="139" spans="2:30" x14ac:dyDescent="0.25">
      <c r="B139" s="58">
        <v>200</v>
      </c>
      <c r="C139" s="61">
        <v>9.9999999999994316E-2</v>
      </c>
      <c r="D139" s="1656"/>
      <c r="F139" s="58">
        <v>200</v>
      </c>
      <c r="G139" s="61">
        <v>9.9999999999994316E-2</v>
      </c>
      <c r="H139" s="1656"/>
      <c r="I139" s="73"/>
      <c r="J139" s="58">
        <v>200</v>
      </c>
      <c r="K139" s="61">
        <v>0.2</v>
      </c>
      <c r="L139" s="62">
        <v>0.1</v>
      </c>
      <c r="M139" s="1659"/>
      <c r="N139" s="63"/>
      <c r="O139" s="58">
        <f t="shared" si="46"/>
        <v>200</v>
      </c>
      <c r="P139" s="775"/>
      <c r="Q139" s="776"/>
      <c r="R139" s="776"/>
      <c r="S139" s="64"/>
      <c r="T139" s="62"/>
      <c r="U139" s="796"/>
      <c r="V139" s="797">
        <v>9.9999999999994316E-2</v>
      </c>
      <c r="W139" s="797">
        <v>0.2</v>
      </c>
      <c r="X139" s="64">
        <v>5.0000000000002848E-2</v>
      </c>
      <c r="Y139" s="65">
        <v>0.1</v>
      </c>
      <c r="Z139" s="3"/>
      <c r="AA139" s="29"/>
      <c r="AB139" s="66">
        <f>ROWS(AA$10:$AA139)</f>
        <v>130</v>
      </c>
      <c r="AC139" s="66" t="str">
        <f>IF(ID!$B$88=AA139,AB139,"")</f>
        <v/>
      </c>
      <c r="AD139" s="66" t="str">
        <f>IFERROR(SMALL($AC$10:$AC$204,ROWS($AC$10:AC139)),"")</f>
        <v/>
      </c>
    </row>
    <row r="140" spans="2:30" x14ac:dyDescent="0.25">
      <c r="B140" s="58">
        <v>250</v>
      </c>
      <c r="C140" s="61">
        <v>9.9999999999994316E-2</v>
      </c>
      <c r="D140" s="1656"/>
      <c r="F140" s="58">
        <v>250</v>
      </c>
      <c r="G140" s="61">
        <v>9.9999999999994316E-2</v>
      </c>
      <c r="H140" s="1656"/>
      <c r="I140" s="73"/>
      <c r="J140" s="58">
        <v>250</v>
      </c>
      <c r="K140" s="61">
        <v>0.2</v>
      </c>
      <c r="L140" s="62">
        <v>0.1</v>
      </c>
      <c r="M140" s="1659"/>
      <c r="N140" s="63"/>
      <c r="O140" s="58">
        <f t="shared" si="46"/>
        <v>250</v>
      </c>
      <c r="P140" s="775"/>
      <c r="Q140" s="776"/>
      <c r="R140" s="776"/>
      <c r="S140" s="64"/>
      <c r="T140" s="62"/>
      <c r="U140" s="796"/>
      <c r="V140" s="797">
        <v>9.9999999999994316E-2</v>
      </c>
      <c r="W140" s="797">
        <v>0.2</v>
      </c>
      <c r="X140" s="64">
        <v>5.0000000000002848E-2</v>
      </c>
      <c r="Y140" s="65">
        <v>0.1</v>
      </c>
      <c r="Z140" s="3"/>
      <c r="AA140" s="29"/>
      <c r="AB140" s="66">
        <f>ROWS(AA$10:$AA140)</f>
        <v>131</v>
      </c>
      <c r="AC140" s="66" t="str">
        <f>IF(ID!$B$88=AA140,AB140,"")</f>
        <v/>
      </c>
      <c r="AD140" s="66" t="str">
        <f>IFERROR(SMALL($AC$10:$AC$204,ROWS($AC$10:AC140)),"")</f>
        <v/>
      </c>
    </row>
    <row r="141" spans="2:30" x14ac:dyDescent="0.25">
      <c r="B141" s="58">
        <v>300</v>
      </c>
      <c r="C141" s="72">
        <v>9.9999999999999995E-7</v>
      </c>
      <c r="D141" s="1657"/>
      <c r="F141" s="58">
        <v>300</v>
      </c>
      <c r="G141" s="1186">
        <v>9.9999999999999995E-7</v>
      </c>
      <c r="H141" s="1657"/>
      <c r="I141" s="73"/>
      <c r="J141" s="58">
        <v>300</v>
      </c>
      <c r="K141" s="61">
        <v>0.1</v>
      </c>
      <c r="L141" s="62">
        <v>0.1</v>
      </c>
      <c r="M141" s="1660"/>
      <c r="N141" s="63"/>
      <c r="O141" s="58">
        <f t="shared" si="46"/>
        <v>300</v>
      </c>
      <c r="P141" s="775"/>
      <c r="Q141" s="776"/>
      <c r="R141" s="776"/>
      <c r="S141" s="64"/>
      <c r="T141" s="62"/>
      <c r="U141" s="796"/>
      <c r="V141" s="797">
        <v>0</v>
      </c>
      <c r="W141" s="797">
        <v>0.1</v>
      </c>
      <c r="X141" s="64">
        <v>0.05</v>
      </c>
      <c r="Y141" s="65">
        <v>0.1</v>
      </c>
      <c r="Z141" s="3"/>
      <c r="AA141" s="29"/>
      <c r="AB141" s="66">
        <f>ROWS(AA$10:$AA141)</f>
        <v>132</v>
      </c>
      <c r="AC141" s="66" t="str">
        <f>IF(ID!$B$88=AA141,AB141,"")</f>
        <v/>
      </c>
      <c r="AD141" s="66" t="str">
        <f>IFERROR(SMALL($AC$10:$AC$204,ROWS($AC$10:AC141)),"")</f>
        <v/>
      </c>
    </row>
    <row r="142" spans="2:30" x14ac:dyDescent="0.25">
      <c r="K142" s="100"/>
      <c r="O142" s="93"/>
      <c r="P142" s="788"/>
      <c r="Q142" s="789"/>
      <c r="R142" s="789"/>
      <c r="S142" s="94"/>
      <c r="T142" s="95"/>
      <c r="U142" s="801"/>
      <c r="V142" s="801"/>
      <c r="W142" s="801"/>
      <c r="X142" s="94"/>
      <c r="Y142" s="95"/>
      <c r="Z142" s="5"/>
      <c r="AA142" s="29"/>
      <c r="AB142" s="66">
        <f>ROWS(AA$10:$AA142)</f>
        <v>133</v>
      </c>
      <c r="AC142" s="66" t="str">
        <f>IF(ID!$B$88=AA142,AB142,"")</f>
        <v/>
      </c>
      <c r="AD142" s="66" t="str">
        <f>IFERROR(SMALL($AC$10:$AC$204,ROWS($AC$10:AC142)),"")</f>
        <v/>
      </c>
    </row>
    <row r="143" spans="2:30" x14ac:dyDescent="0.25">
      <c r="D143" s="7"/>
      <c r="H143" s="7"/>
      <c r="I143" s="7"/>
      <c r="K143" s="7"/>
      <c r="M143" s="7"/>
      <c r="N143" s="7"/>
      <c r="O143" s="93"/>
      <c r="P143" s="788"/>
      <c r="Q143" s="789"/>
      <c r="R143" s="789"/>
      <c r="S143" s="94"/>
      <c r="T143" s="95"/>
      <c r="U143" s="801"/>
      <c r="V143" s="801"/>
      <c r="W143" s="801"/>
      <c r="X143" s="94"/>
      <c r="Y143" s="95"/>
      <c r="Z143" s="5"/>
      <c r="AA143" s="29"/>
      <c r="AB143" s="66">
        <f>ROWS(AA$10:$AA143)</f>
        <v>134</v>
      </c>
      <c r="AC143" s="66" t="str">
        <f>IF(ID!$B$88=AA143,AB143,"")</f>
        <v/>
      </c>
      <c r="AD143" s="66" t="str">
        <f>IFERROR(SMALL($AC$10:$AC$204,ROWS($AC$10:AC143)),"")</f>
        <v/>
      </c>
    </row>
    <row r="144" spans="2:30" x14ac:dyDescent="0.25">
      <c r="O144" s="93"/>
      <c r="P144" s="788"/>
      <c r="Q144" s="789"/>
      <c r="R144" s="789"/>
      <c r="S144" s="94"/>
      <c r="T144" s="95"/>
      <c r="U144" s="801"/>
      <c r="V144" s="801"/>
      <c r="W144" s="801"/>
      <c r="X144" s="94"/>
      <c r="Y144" s="95"/>
      <c r="Z144" s="5"/>
      <c r="AA144" s="29"/>
      <c r="AB144" s="66">
        <f>ROWS(AA$10:$AA144)</f>
        <v>135</v>
      </c>
      <c r="AC144" s="66" t="str">
        <f>IF(ID!$B$88=AA144,AB144,"")</f>
        <v/>
      </c>
      <c r="AD144" s="66" t="str">
        <f>IFERROR(SMALL($AC$10:$AC$204,ROWS($AC$10:AC144)),"")</f>
        <v/>
      </c>
    </row>
    <row r="145" spans="2:30" x14ac:dyDescent="0.25">
      <c r="O145" s="93"/>
      <c r="P145" s="788"/>
      <c r="Q145" s="789"/>
      <c r="R145" s="789"/>
      <c r="S145" s="94"/>
      <c r="T145" s="95"/>
      <c r="U145" s="801"/>
      <c r="V145" s="801"/>
      <c r="W145" s="801"/>
      <c r="X145" s="94"/>
      <c r="Y145" s="95"/>
      <c r="Z145" s="5"/>
      <c r="AA145" s="29"/>
      <c r="AB145" s="66">
        <f>ROWS(AA$10:$AA145)</f>
        <v>136</v>
      </c>
      <c r="AC145" s="66" t="str">
        <f>IF(ID!$B$88=AA145,AB145,"")</f>
        <v/>
      </c>
      <c r="AD145" s="66" t="str">
        <f>IFERROR(SMALL($AC$10:$AC$204,ROWS($AC$10:AC145)),"")</f>
        <v/>
      </c>
    </row>
    <row r="146" spans="2:30" x14ac:dyDescent="0.25">
      <c r="D146" s="7"/>
      <c r="H146" s="7"/>
      <c r="I146" s="7"/>
      <c r="K146" s="7"/>
      <c r="M146" s="7"/>
      <c r="N146" s="7"/>
      <c r="O146" s="96"/>
      <c r="Z146" s="7"/>
      <c r="AA146" s="7"/>
      <c r="AB146" s="66">
        <f>ROWS(AA$10:$AA146)</f>
        <v>137</v>
      </c>
      <c r="AC146" s="66" t="str">
        <f>IF(ID!$B$88=AA146,AB146,"")</f>
        <v/>
      </c>
      <c r="AD146" s="66" t="str">
        <f>IFERROR(SMALL($AC$10:$AC$204,ROWS($AC$10:AC146)),"")</f>
        <v/>
      </c>
    </row>
    <row r="147" spans="2:30" x14ac:dyDescent="0.25">
      <c r="D147" s="4"/>
      <c r="H147" s="4"/>
      <c r="I147" s="4"/>
      <c r="K147" s="4"/>
      <c r="M147" s="4"/>
      <c r="N147" s="4"/>
      <c r="O147" s="68"/>
      <c r="Z147" s="4"/>
      <c r="AA147" s="4"/>
      <c r="AB147" s="66">
        <f>ROWS(AA$10:$AA147)</f>
        <v>138</v>
      </c>
      <c r="AC147" s="66" t="str">
        <f>IF(ID!$B$88=AA147,AB147,"")</f>
        <v/>
      </c>
      <c r="AD147" s="66" t="str">
        <f>IFERROR(SMALL($AC$10:$AC$204,ROWS($AC$10:AC147)),"")</f>
        <v/>
      </c>
    </row>
    <row r="148" spans="2:30" x14ac:dyDescent="0.25">
      <c r="D148" s="4"/>
      <c r="H148" s="4"/>
      <c r="I148" s="4"/>
      <c r="K148" s="4"/>
      <c r="M148" s="4"/>
      <c r="N148" s="4"/>
      <c r="O148" s="68"/>
      <c r="Z148" s="4"/>
      <c r="AA148" s="4"/>
      <c r="AB148" s="66">
        <f>ROWS(AA$10:$AA148)</f>
        <v>139</v>
      </c>
      <c r="AC148" s="66" t="str">
        <f>IF(ID!$B$88=AA148,AB148,"")</f>
        <v/>
      </c>
      <c r="AD148" s="66" t="str">
        <f>IFERROR(SMALL($AC$10:$AC$204,ROWS($AC$10:AC148)),"")</f>
        <v/>
      </c>
    </row>
    <row r="149" spans="2:30" x14ac:dyDescent="0.25">
      <c r="O149" s="69"/>
      <c r="P149" s="777"/>
      <c r="Q149" s="778"/>
      <c r="R149" s="779"/>
      <c r="S149" s="71"/>
      <c r="AB149" s="66">
        <f>ROWS(AA$10:$AA149)</f>
        <v>140</v>
      </c>
      <c r="AC149" s="66" t="str">
        <f>IF(ID!$B$88=AA149,AB149,"")</f>
        <v/>
      </c>
      <c r="AD149" s="66" t="str">
        <f>IFERROR(SMALL($AC$10:$AC$204,ROWS($AC$10:AC149)),"")</f>
        <v/>
      </c>
    </row>
    <row r="150" spans="2:30" x14ac:dyDescent="0.25">
      <c r="B150" s="58">
        <v>0</v>
      </c>
      <c r="C150" s="72">
        <v>9.9999999999999995E-7</v>
      </c>
      <c r="D150" s="1655" t="s">
        <v>428</v>
      </c>
      <c r="F150" s="58">
        <v>0</v>
      </c>
      <c r="G150" s="1186">
        <v>9.9999999999999995E-7</v>
      </c>
      <c r="H150" s="1655" t="s">
        <v>428</v>
      </c>
      <c r="I150" s="73"/>
      <c r="J150" s="58">
        <v>0</v>
      </c>
      <c r="K150" s="61"/>
      <c r="L150" s="62"/>
      <c r="M150" s="1658" t="s">
        <v>386</v>
      </c>
      <c r="N150" s="78"/>
      <c r="O150" s="58">
        <f t="shared" ref="O150:O156" si="47">J150</f>
        <v>0</v>
      </c>
      <c r="P150" s="775"/>
      <c r="Q150" s="776"/>
      <c r="R150" s="776"/>
      <c r="S150" s="64"/>
      <c r="T150" s="62"/>
      <c r="U150" s="796"/>
      <c r="V150" s="797">
        <v>0</v>
      </c>
      <c r="W150" s="797">
        <v>0</v>
      </c>
      <c r="X150" s="64">
        <v>0</v>
      </c>
      <c r="Y150" s="62">
        <v>0.1</v>
      </c>
      <c r="Z150" s="3" t="s">
        <v>430</v>
      </c>
      <c r="AA150" s="29"/>
      <c r="AB150" s="66">
        <f>ROWS(AA$10:$AA150)</f>
        <v>141</v>
      </c>
      <c r="AC150" s="66" t="str">
        <f>IF(ID!$B$88=AA150,AB150,"")</f>
        <v/>
      </c>
      <c r="AD150" s="66" t="str">
        <f>IFERROR(SMALL($AC$10:$AC$204,ROWS($AC$10:AC150)),"")</f>
        <v/>
      </c>
    </row>
    <row r="151" spans="2:30" x14ac:dyDescent="0.25">
      <c r="B151" s="58">
        <v>50</v>
      </c>
      <c r="C151" s="61">
        <v>-0.10000000000000142</v>
      </c>
      <c r="D151" s="1656"/>
      <c r="F151" s="58">
        <v>50</v>
      </c>
      <c r="G151" s="61">
        <v>-0.10000000000000142</v>
      </c>
      <c r="H151" s="1656"/>
      <c r="I151" s="73"/>
      <c r="J151" s="58">
        <v>50</v>
      </c>
      <c r="K151" s="61"/>
      <c r="L151" s="62"/>
      <c r="M151" s="1659"/>
      <c r="N151" s="63"/>
      <c r="O151" s="58">
        <f t="shared" si="47"/>
        <v>50</v>
      </c>
      <c r="P151" s="775"/>
      <c r="Q151" s="776"/>
      <c r="R151" s="776"/>
      <c r="S151" s="64"/>
      <c r="T151" s="62"/>
      <c r="U151" s="796"/>
      <c r="V151" s="797">
        <v>-0.10000000000000142</v>
      </c>
      <c r="W151" s="797">
        <v>-0.1</v>
      </c>
      <c r="X151" s="64">
        <v>7.0776717819853729E-16</v>
      </c>
      <c r="Y151" s="62">
        <v>0.1</v>
      </c>
      <c r="Z151" s="3"/>
      <c r="AA151" s="29"/>
      <c r="AB151" s="66">
        <f>ROWS(AA$10:$AA151)</f>
        <v>142</v>
      </c>
      <c r="AC151" s="66" t="str">
        <f>IF(ID!$B$88=AA151,AB151,"")</f>
        <v/>
      </c>
      <c r="AD151" s="66" t="str">
        <f>IFERROR(SMALL($AC$10:$AC$204,ROWS($AC$10:AC151)),"")</f>
        <v/>
      </c>
    </row>
    <row r="152" spans="2:30" x14ac:dyDescent="0.25">
      <c r="B152" s="58">
        <v>100</v>
      </c>
      <c r="C152" s="61">
        <v>-0.20000000000000284</v>
      </c>
      <c r="D152" s="1656"/>
      <c r="F152" s="58">
        <v>100</v>
      </c>
      <c r="G152" s="61">
        <v>-0.20000000000000284</v>
      </c>
      <c r="H152" s="1656"/>
      <c r="I152" s="73"/>
      <c r="J152" s="58">
        <v>100</v>
      </c>
      <c r="K152" s="61"/>
      <c r="L152" s="62"/>
      <c r="M152" s="1659"/>
      <c r="N152" s="63"/>
      <c r="O152" s="58">
        <f t="shared" si="47"/>
        <v>100</v>
      </c>
      <c r="P152" s="775"/>
      <c r="Q152" s="776"/>
      <c r="R152" s="776"/>
      <c r="S152" s="64"/>
      <c r="T152" s="62"/>
      <c r="U152" s="796"/>
      <c r="V152" s="797">
        <v>-0.20000000000000284</v>
      </c>
      <c r="W152" s="797">
        <v>-0.1</v>
      </c>
      <c r="X152" s="64">
        <v>5.0000000000001418E-2</v>
      </c>
      <c r="Y152" s="62">
        <v>0.1</v>
      </c>
      <c r="Z152" s="3"/>
      <c r="AA152" s="29"/>
      <c r="AB152" s="66">
        <f>ROWS(AA$10:$AA152)</f>
        <v>143</v>
      </c>
      <c r="AC152" s="66" t="str">
        <f>IF(ID!$B$88=AA152,AB152,"")</f>
        <v/>
      </c>
      <c r="AD152" s="66" t="str">
        <f>IFERROR(SMALL($AC$10:$AC$204,ROWS($AC$10:AC152)),"")</f>
        <v/>
      </c>
    </row>
    <row r="153" spans="2:30" x14ac:dyDescent="0.25">
      <c r="B153" s="58">
        <v>150</v>
      </c>
      <c r="C153" s="61">
        <v>-0.19999999999998863</v>
      </c>
      <c r="D153" s="1656"/>
      <c r="F153" s="58">
        <v>150</v>
      </c>
      <c r="G153" s="61">
        <v>-0.19999999999998863</v>
      </c>
      <c r="H153" s="1656"/>
      <c r="I153" s="73"/>
      <c r="J153" s="58">
        <v>150</v>
      </c>
      <c r="K153" s="61"/>
      <c r="L153" s="62"/>
      <c r="M153" s="1659"/>
      <c r="N153" s="63"/>
      <c r="O153" s="58">
        <f t="shared" si="47"/>
        <v>150</v>
      </c>
      <c r="P153" s="775"/>
      <c r="Q153" s="776"/>
      <c r="R153" s="776"/>
      <c r="S153" s="64"/>
      <c r="T153" s="62"/>
      <c r="U153" s="796"/>
      <c r="V153" s="797">
        <v>-0.19999999999998863</v>
      </c>
      <c r="W153" s="797">
        <v>0</v>
      </c>
      <c r="X153" s="64">
        <v>9.9999999999994316E-2</v>
      </c>
      <c r="Y153" s="62">
        <v>0.1</v>
      </c>
      <c r="Z153" s="3"/>
      <c r="AA153" s="29"/>
      <c r="AB153" s="66">
        <f>ROWS(AA$10:$AA153)</f>
        <v>144</v>
      </c>
      <c r="AC153" s="66" t="str">
        <f>IF(ID!$B$88=AA153,AB153,"")</f>
        <v/>
      </c>
      <c r="AD153" s="66" t="str">
        <f>IFERROR(SMALL($AC$10:$AC$204,ROWS($AC$10:AC153)),"")</f>
        <v/>
      </c>
    </row>
    <row r="154" spans="2:30" x14ac:dyDescent="0.25">
      <c r="B154" s="58">
        <v>200</v>
      </c>
      <c r="C154" s="61">
        <v>-0.19999999999998863</v>
      </c>
      <c r="D154" s="1656"/>
      <c r="F154" s="58">
        <v>200</v>
      </c>
      <c r="G154" s="61">
        <v>-0.19999999999998863</v>
      </c>
      <c r="H154" s="1656"/>
      <c r="I154" s="73"/>
      <c r="J154" s="58">
        <v>200</v>
      </c>
      <c r="K154" s="61"/>
      <c r="L154" s="62"/>
      <c r="M154" s="1659"/>
      <c r="N154" s="63"/>
      <c r="O154" s="58">
        <f t="shared" si="47"/>
        <v>200</v>
      </c>
      <c r="P154" s="775"/>
      <c r="Q154" s="776"/>
      <c r="R154" s="776"/>
      <c r="S154" s="64"/>
      <c r="T154" s="62"/>
      <c r="U154" s="796"/>
      <c r="V154" s="797">
        <v>-0.19999999999998863</v>
      </c>
      <c r="W154" s="797">
        <v>-0.2</v>
      </c>
      <c r="X154" s="64">
        <v>5.6898930012039273E-15</v>
      </c>
      <c r="Y154" s="62">
        <v>0.1</v>
      </c>
      <c r="Z154" s="3"/>
      <c r="AA154" s="29"/>
      <c r="AB154" s="66">
        <f>ROWS(AA$10:$AA154)</f>
        <v>145</v>
      </c>
      <c r="AC154" s="66" t="str">
        <f>IF(ID!$B$88=AA154,AB154,"")</f>
        <v/>
      </c>
      <c r="AD154" s="66" t="str">
        <f>IFERROR(SMALL($AC$10:$AC$204,ROWS($AC$10:AC154)),"")</f>
        <v/>
      </c>
    </row>
    <row r="155" spans="2:30" x14ac:dyDescent="0.25">
      <c r="B155" s="58">
        <v>250</v>
      </c>
      <c r="C155" s="61">
        <v>-0.19999999999998863</v>
      </c>
      <c r="D155" s="1656"/>
      <c r="F155" s="58">
        <v>250</v>
      </c>
      <c r="G155" s="61">
        <v>-0.19999999999998863</v>
      </c>
      <c r="H155" s="1656"/>
      <c r="I155" s="73"/>
      <c r="J155" s="58">
        <v>250</v>
      </c>
      <c r="K155" s="61"/>
      <c r="L155" s="62"/>
      <c r="M155" s="1659"/>
      <c r="N155" s="63"/>
      <c r="O155" s="58">
        <f t="shared" si="47"/>
        <v>250</v>
      </c>
      <c r="P155" s="775"/>
      <c r="Q155" s="776"/>
      <c r="R155" s="776"/>
      <c r="S155" s="64"/>
      <c r="T155" s="62"/>
      <c r="U155" s="796"/>
      <c r="V155" s="797">
        <v>-0.19999999999998863</v>
      </c>
      <c r="W155" s="797">
        <v>0</v>
      </c>
      <c r="X155" s="64">
        <v>9.9999999999994316E-2</v>
      </c>
      <c r="Y155" s="62">
        <v>0.1</v>
      </c>
      <c r="Z155" s="3"/>
      <c r="AA155" s="29"/>
      <c r="AB155" s="66">
        <f>ROWS(AA$10:$AA155)</f>
        <v>146</v>
      </c>
      <c r="AC155" s="66" t="str">
        <f>IF(ID!$B$88=AA155,AB155,"")</f>
        <v/>
      </c>
      <c r="AD155" s="66" t="str">
        <f>IFERROR(SMALL($AC$10:$AC$204,ROWS($AC$10:AC155)),"")</f>
        <v/>
      </c>
    </row>
    <row r="156" spans="2:30" x14ac:dyDescent="0.25">
      <c r="B156" s="58">
        <v>300</v>
      </c>
      <c r="C156" s="61">
        <v>-0.19999999999998863</v>
      </c>
      <c r="D156" s="1657"/>
      <c r="F156" s="58">
        <v>300</v>
      </c>
      <c r="G156" s="61">
        <v>-0.19999999999998863</v>
      </c>
      <c r="H156" s="1657"/>
      <c r="I156" s="73"/>
      <c r="J156" s="58">
        <v>300</v>
      </c>
      <c r="K156" s="61"/>
      <c r="L156" s="62"/>
      <c r="M156" s="1660"/>
      <c r="N156" s="63"/>
      <c r="O156" s="58">
        <f t="shared" si="47"/>
        <v>300</v>
      </c>
      <c r="P156" s="775"/>
      <c r="Q156" s="776"/>
      <c r="R156" s="776"/>
      <c r="S156" s="64"/>
      <c r="T156" s="62"/>
      <c r="U156" s="796"/>
      <c r="V156" s="797">
        <v>-0.19999999999998863</v>
      </c>
      <c r="W156" s="797">
        <v>0</v>
      </c>
      <c r="X156" s="64">
        <v>9.9999999999994316E-2</v>
      </c>
      <c r="Y156" s="62">
        <v>0.1</v>
      </c>
      <c r="Z156" s="3"/>
      <c r="AA156" s="29"/>
      <c r="AB156" s="66">
        <f>ROWS(AA$10:$AA156)</f>
        <v>147</v>
      </c>
      <c r="AC156" s="66" t="str">
        <f>IF(ID!$B$88=AA156,AB156,"")</f>
        <v/>
      </c>
      <c r="AD156" s="66" t="str">
        <f>IFERROR(SMALL($AC$10:$AC$204,ROWS($AC$10:AC156)),"")</f>
        <v/>
      </c>
    </row>
    <row r="157" spans="2:30" x14ac:dyDescent="0.25">
      <c r="O157" s="93"/>
      <c r="P157" s="788"/>
      <c r="Q157" s="789"/>
      <c r="R157" s="789"/>
      <c r="S157" s="94"/>
      <c r="T157" s="95"/>
      <c r="U157" s="801"/>
      <c r="V157" s="801"/>
      <c r="W157" s="801"/>
      <c r="X157" s="94"/>
      <c r="Y157" s="95"/>
      <c r="Z157" s="5"/>
      <c r="AA157" s="29"/>
      <c r="AB157" s="66">
        <f>ROWS(AA$10:$AA157)</f>
        <v>148</v>
      </c>
      <c r="AC157" s="66" t="str">
        <f>IF(ID!$B$88=AA157,AB157,"")</f>
        <v/>
      </c>
      <c r="AD157" s="66" t="str">
        <f>IFERROR(SMALL($AC$10:$AC$204,ROWS($AC$10:AC157)),"")</f>
        <v/>
      </c>
    </row>
    <row r="158" spans="2:30" x14ac:dyDescent="0.25">
      <c r="D158" s="7"/>
      <c r="H158" s="7"/>
      <c r="I158" s="7"/>
      <c r="K158" s="7"/>
      <c r="M158" s="7"/>
      <c r="N158" s="7"/>
      <c r="O158" s="93"/>
      <c r="P158" s="788"/>
      <c r="Q158" s="789"/>
      <c r="R158" s="789"/>
      <c r="S158" s="94"/>
      <c r="T158" s="95"/>
      <c r="U158" s="801"/>
      <c r="V158" s="801"/>
      <c r="W158" s="801"/>
      <c r="X158" s="94"/>
      <c r="Y158" s="95"/>
      <c r="Z158" s="5"/>
      <c r="AA158" s="29"/>
      <c r="AB158" s="66">
        <f>ROWS(AA$10:$AA158)</f>
        <v>149</v>
      </c>
      <c r="AC158" s="66" t="str">
        <f>IF(ID!$B$88=AA158,AB158,"")</f>
        <v/>
      </c>
      <c r="AD158" s="66" t="str">
        <f>IFERROR(SMALL($AC$10:$AC$204,ROWS($AC$10:AC158)),"")</f>
        <v/>
      </c>
    </row>
    <row r="159" spans="2:30" x14ac:dyDescent="0.25">
      <c r="O159" s="93"/>
      <c r="P159" s="788"/>
      <c r="Q159" s="789"/>
      <c r="R159" s="789"/>
      <c r="S159" s="94"/>
      <c r="T159" s="95"/>
      <c r="U159" s="801"/>
      <c r="V159" s="801"/>
      <c r="W159" s="801"/>
      <c r="X159" s="94"/>
      <c r="Y159" s="95"/>
      <c r="Z159" s="5"/>
      <c r="AA159" s="29"/>
      <c r="AB159" s="66">
        <f>ROWS(AA$10:$AA159)</f>
        <v>150</v>
      </c>
      <c r="AC159" s="66" t="str">
        <f>IF(ID!$B$88=AA159,AB159,"")</f>
        <v/>
      </c>
      <c r="AD159" s="66" t="str">
        <f>IFERROR(SMALL($AC$10:$AC$204,ROWS($AC$10:AC159)),"")</f>
        <v/>
      </c>
    </row>
    <row r="160" spans="2:30" x14ac:dyDescent="0.25">
      <c r="O160" s="93"/>
      <c r="P160" s="788"/>
      <c r="Q160" s="789"/>
      <c r="R160" s="789"/>
      <c r="S160" s="94"/>
      <c r="T160" s="95"/>
      <c r="U160" s="801"/>
      <c r="V160" s="801"/>
      <c r="W160" s="801"/>
      <c r="X160" s="94"/>
      <c r="Y160" s="95"/>
      <c r="Z160" s="5"/>
      <c r="AA160" s="29"/>
      <c r="AB160" s="66">
        <f>ROWS(AA$10:$AA160)</f>
        <v>151</v>
      </c>
      <c r="AC160" s="66" t="str">
        <f>IF(ID!$B$88=AA160,AB160,"")</f>
        <v/>
      </c>
      <c r="AD160" s="66" t="str">
        <f>IFERROR(SMALL($AC$10:$AC$204,ROWS($AC$10:AC160)),"")</f>
        <v/>
      </c>
    </row>
    <row r="161" spans="2:30" x14ac:dyDescent="0.25">
      <c r="D161" s="7"/>
      <c r="H161" s="7"/>
      <c r="I161" s="7"/>
      <c r="K161" s="7"/>
      <c r="M161" s="7"/>
      <c r="N161" s="7"/>
      <c r="O161" s="96"/>
      <c r="Z161" s="7"/>
      <c r="AA161" s="7"/>
      <c r="AB161" s="66">
        <f>ROWS(AA$10:$AA161)</f>
        <v>152</v>
      </c>
      <c r="AC161" s="66" t="str">
        <f>IF(ID!$B$88=AA161,AB161,"")</f>
        <v/>
      </c>
      <c r="AD161" s="66" t="str">
        <f>IFERROR(SMALL($AC$10:$AC$204,ROWS($AC$10:AC161)),"")</f>
        <v/>
      </c>
    </row>
    <row r="162" spans="2:30" x14ac:dyDescent="0.25">
      <c r="D162" s="4"/>
      <c r="H162" s="4"/>
      <c r="I162" s="4"/>
      <c r="K162" s="4"/>
      <c r="M162" s="4"/>
      <c r="N162" s="4"/>
      <c r="O162" s="68"/>
      <c r="Z162" s="4"/>
      <c r="AA162" s="4"/>
      <c r="AB162" s="66">
        <f>ROWS(AA$10:$AA162)</f>
        <v>153</v>
      </c>
      <c r="AC162" s="66" t="str">
        <f>IF(ID!$B$88=AA162,AB162,"")</f>
        <v/>
      </c>
      <c r="AD162" s="66" t="str">
        <f>IFERROR(SMALL($AC$10:$AC$204,ROWS($AC$10:AC162)),"")</f>
        <v/>
      </c>
    </row>
    <row r="163" spans="2:30" x14ac:dyDescent="0.25">
      <c r="O163" s="69"/>
      <c r="P163" s="777"/>
      <c r="Q163" s="778"/>
      <c r="R163" s="779"/>
      <c r="S163" s="88"/>
      <c r="AB163" s="66">
        <f>ROWS(AA$10:$AA163)</f>
        <v>154</v>
      </c>
      <c r="AC163" s="66" t="str">
        <f>IF(ID!$B$88=AA163,AB163,"")</f>
        <v/>
      </c>
      <c r="AD163" s="66" t="str">
        <f>IFERROR(SMALL($AC$10:$AC$204,ROWS($AC$10:AC163)),"")</f>
        <v/>
      </c>
    </row>
    <row r="164" spans="2:30" x14ac:dyDescent="0.25">
      <c r="B164" s="58">
        <v>0</v>
      </c>
      <c r="C164" s="72">
        <v>9.9999999999999995E-7</v>
      </c>
      <c r="D164" s="1655">
        <v>2017</v>
      </c>
      <c r="F164" s="58">
        <v>0</v>
      </c>
      <c r="G164" s="72">
        <v>9.9999999999999995E-7</v>
      </c>
      <c r="H164" s="1655">
        <v>2017</v>
      </c>
      <c r="I164" s="73"/>
      <c r="J164" s="58">
        <v>0</v>
      </c>
      <c r="K164" s="1186">
        <v>9.9999999999999995E-7</v>
      </c>
      <c r="L164" s="6">
        <v>0.1</v>
      </c>
      <c r="M164" s="1658" t="s">
        <v>431</v>
      </c>
      <c r="N164" s="63"/>
      <c r="O164" s="58">
        <f t="shared" ref="O164:O170" si="48">J164</f>
        <v>0</v>
      </c>
      <c r="P164" s="775"/>
      <c r="Q164" s="776"/>
      <c r="R164" s="776"/>
      <c r="S164" s="101"/>
      <c r="T164" s="62"/>
      <c r="U164" s="796"/>
      <c r="V164" s="797">
        <v>0</v>
      </c>
      <c r="W164" s="796">
        <v>0</v>
      </c>
      <c r="X164" s="101">
        <v>3.3333333333333333E-2</v>
      </c>
      <c r="Y164" s="6">
        <v>0.1</v>
      </c>
      <c r="Z164" s="3" t="s">
        <v>423</v>
      </c>
      <c r="AA164" s="29"/>
      <c r="AB164" s="66">
        <f>ROWS(AA$10:$AA164)</f>
        <v>155</v>
      </c>
      <c r="AC164" s="66" t="str">
        <f>IF(ID!$B$88=AA164,AB164,"")</f>
        <v/>
      </c>
      <c r="AD164" s="66" t="str">
        <f>IFERROR(SMALL($AC$10:$AC$204,ROWS($AC$10:AC164)),"")</f>
        <v/>
      </c>
    </row>
    <row r="165" spans="2:30" x14ac:dyDescent="0.25">
      <c r="B165" s="58">
        <v>50</v>
      </c>
      <c r="C165" s="72">
        <v>9.9999999999999995E-7</v>
      </c>
      <c r="D165" s="1656"/>
      <c r="F165" s="58">
        <v>50</v>
      </c>
      <c r="G165" s="72">
        <v>9.9999999999999995E-7</v>
      </c>
      <c r="H165" s="1656"/>
      <c r="I165" s="73"/>
      <c r="J165" s="58">
        <v>50</v>
      </c>
      <c r="K165" s="1186">
        <v>9.9999999999999995E-7</v>
      </c>
      <c r="L165" s="6">
        <v>0.1</v>
      </c>
      <c r="M165" s="1659"/>
      <c r="N165" s="63"/>
      <c r="O165" s="58">
        <f t="shared" si="48"/>
        <v>50</v>
      </c>
      <c r="P165" s="775"/>
      <c r="Q165" s="776"/>
      <c r="R165" s="776"/>
      <c r="S165" s="101"/>
      <c r="T165" s="62"/>
      <c r="U165" s="796"/>
      <c r="V165" s="797">
        <v>0</v>
      </c>
      <c r="W165" s="796">
        <v>0.3</v>
      </c>
      <c r="X165" s="101">
        <v>3.3333333333333333E-2</v>
      </c>
      <c r="Y165" s="6">
        <v>0.1</v>
      </c>
      <c r="Z165" s="3"/>
      <c r="AA165" s="29"/>
      <c r="AB165" s="66">
        <f>ROWS(AA$10:$AA165)</f>
        <v>156</v>
      </c>
      <c r="AC165" s="66" t="str">
        <f>IF(ID!$B$88=AA165,AB165,"")</f>
        <v/>
      </c>
      <c r="AD165" s="66" t="str">
        <f>IFERROR(SMALL($AC$10:$AC$204,ROWS($AC$10:AC165)),"")</f>
        <v/>
      </c>
    </row>
    <row r="166" spans="2:30" x14ac:dyDescent="0.25">
      <c r="B166" s="58">
        <v>100</v>
      </c>
      <c r="C166" s="72">
        <v>9.9999999999999995E-7</v>
      </c>
      <c r="D166" s="1656"/>
      <c r="F166" s="58">
        <v>100</v>
      </c>
      <c r="G166" s="72">
        <v>9.9999999999999995E-7</v>
      </c>
      <c r="H166" s="1656"/>
      <c r="I166" s="73"/>
      <c r="J166" s="58">
        <v>100</v>
      </c>
      <c r="K166" s="1186">
        <v>9.9999999999999995E-7</v>
      </c>
      <c r="L166" s="6">
        <v>0.1</v>
      </c>
      <c r="M166" s="1659"/>
      <c r="N166" s="63"/>
      <c r="O166" s="58">
        <f t="shared" si="48"/>
        <v>100</v>
      </c>
      <c r="P166" s="775"/>
      <c r="Q166" s="776"/>
      <c r="R166" s="776"/>
      <c r="S166" s="101"/>
      <c r="T166" s="62"/>
      <c r="U166" s="796"/>
      <c r="V166" s="797">
        <v>0</v>
      </c>
      <c r="W166" s="796">
        <v>0.1</v>
      </c>
      <c r="X166" s="101">
        <v>3.3333333333333333E-2</v>
      </c>
      <c r="Y166" s="6">
        <v>0.1</v>
      </c>
      <c r="Z166" s="3"/>
      <c r="AA166" s="29"/>
      <c r="AB166" s="66">
        <f>ROWS(AA$10:$AA166)</f>
        <v>157</v>
      </c>
      <c r="AC166" s="66" t="str">
        <f>IF(ID!$B$88=AA166,AB166,"")</f>
        <v/>
      </c>
      <c r="AD166" s="66" t="str">
        <f>IFERROR(SMALL($AC$10:$AC$204,ROWS($AC$10:AC166)),"")</f>
        <v/>
      </c>
    </row>
    <row r="167" spans="2:30" x14ac:dyDescent="0.25">
      <c r="B167" s="58">
        <v>150</v>
      </c>
      <c r="C167" s="72">
        <v>9.9999999999999995E-7</v>
      </c>
      <c r="D167" s="1656"/>
      <c r="F167" s="58">
        <v>150</v>
      </c>
      <c r="G167" s="72">
        <v>9.9999999999999995E-7</v>
      </c>
      <c r="H167" s="1656"/>
      <c r="I167" s="73"/>
      <c r="J167" s="58">
        <v>150</v>
      </c>
      <c r="K167" s="61">
        <v>-0.1</v>
      </c>
      <c r="L167" s="6">
        <v>0.1</v>
      </c>
      <c r="M167" s="1659"/>
      <c r="N167" s="63"/>
      <c r="O167" s="58">
        <f t="shared" si="48"/>
        <v>150</v>
      </c>
      <c r="P167" s="775"/>
      <c r="Q167" s="776"/>
      <c r="R167" s="776"/>
      <c r="S167" s="101"/>
      <c r="T167" s="62"/>
      <c r="U167" s="796"/>
      <c r="V167" s="797">
        <v>0</v>
      </c>
      <c r="W167" s="796">
        <v>0</v>
      </c>
      <c r="X167" s="101">
        <v>3.3333333333333333E-2</v>
      </c>
      <c r="Y167" s="6">
        <v>0.1</v>
      </c>
      <c r="Z167" s="3"/>
      <c r="AA167" s="29"/>
      <c r="AB167" s="66">
        <f>ROWS(AA$10:$AA167)</f>
        <v>158</v>
      </c>
      <c r="AC167" s="66" t="str">
        <f>IF(ID!$B$88=AA167,AB167,"")</f>
        <v/>
      </c>
      <c r="AD167" s="66" t="str">
        <f>IFERROR(SMALL($AC$10:$AC$204,ROWS($AC$10:AC167)),"")</f>
        <v/>
      </c>
    </row>
    <row r="168" spans="2:30" x14ac:dyDescent="0.25">
      <c r="B168" s="58">
        <v>200</v>
      </c>
      <c r="C168" s="72">
        <v>9.9999999999999995E-7</v>
      </c>
      <c r="D168" s="1656"/>
      <c r="F168" s="58">
        <v>200</v>
      </c>
      <c r="G168" s="72">
        <v>9.9999999999999995E-7</v>
      </c>
      <c r="H168" s="1656"/>
      <c r="I168" s="73"/>
      <c r="J168" s="58">
        <v>200</v>
      </c>
      <c r="K168" s="61">
        <v>-0.1</v>
      </c>
      <c r="L168" s="6">
        <v>0.1</v>
      </c>
      <c r="M168" s="1659"/>
      <c r="N168" s="63"/>
      <c r="O168" s="58">
        <f t="shared" si="48"/>
        <v>200</v>
      </c>
      <c r="P168" s="775"/>
      <c r="Q168" s="776"/>
      <c r="R168" s="776"/>
      <c r="S168" s="101"/>
      <c r="T168" s="62"/>
      <c r="U168" s="796"/>
      <c r="V168" s="797">
        <v>0</v>
      </c>
      <c r="W168" s="796">
        <v>-0.1</v>
      </c>
      <c r="X168" s="101">
        <v>3.3333333333333333E-2</v>
      </c>
      <c r="Y168" s="6">
        <v>0.1</v>
      </c>
      <c r="Z168" s="3"/>
      <c r="AA168" s="29"/>
      <c r="AB168" s="66">
        <f>ROWS(AA$10:$AA168)</f>
        <v>159</v>
      </c>
      <c r="AC168" s="66" t="str">
        <f>IF(ID!$B$88=AA168,AB168,"")</f>
        <v/>
      </c>
      <c r="AD168" s="66" t="str">
        <f>IFERROR(SMALL($AC$10:$AC$204,ROWS($AC$10:AC168)),"")</f>
        <v/>
      </c>
    </row>
    <row r="169" spans="2:30" x14ac:dyDescent="0.25">
      <c r="B169" s="58">
        <v>250</v>
      </c>
      <c r="C169" s="72">
        <v>9.9999999999999995E-7</v>
      </c>
      <c r="D169" s="1656"/>
      <c r="F169" s="58">
        <v>250</v>
      </c>
      <c r="G169" s="72">
        <v>9.9999999999999995E-7</v>
      </c>
      <c r="H169" s="1656"/>
      <c r="I169" s="73"/>
      <c r="J169" s="58">
        <v>250</v>
      </c>
      <c r="K169" s="61">
        <v>-0.4</v>
      </c>
      <c r="L169" s="6">
        <v>0.1</v>
      </c>
      <c r="M169" s="1659"/>
      <c r="N169" s="63"/>
      <c r="O169" s="58">
        <f t="shared" si="48"/>
        <v>250</v>
      </c>
      <c r="P169" s="775"/>
      <c r="Q169" s="776"/>
      <c r="R169" s="776"/>
      <c r="S169" s="101"/>
      <c r="T169" s="62"/>
      <c r="U169" s="796"/>
      <c r="V169" s="797">
        <v>0</v>
      </c>
      <c r="W169" s="796">
        <v>-0.4</v>
      </c>
      <c r="X169" s="101">
        <v>3.3333333333333333E-2</v>
      </c>
      <c r="Y169" s="6">
        <v>0.1</v>
      </c>
      <c r="Z169" s="3"/>
      <c r="AA169" s="29"/>
      <c r="AB169" s="66">
        <f>ROWS(AA$10:$AA169)</f>
        <v>160</v>
      </c>
      <c r="AC169" s="66" t="str">
        <f>IF(ID!$B$88=AA169,AB169,"")</f>
        <v/>
      </c>
      <c r="AD169" s="66" t="str">
        <f>IFERROR(SMALL($AC$10:$AC$204,ROWS($AC$10:AC169)),"")</f>
        <v/>
      </c>
    </row>
    <row r="170" spans="2:30" x14ac:dyDescent="0.25">
      <c r="B170" s="58">
        <v>300</v>
      </c>
      <c r="C170" s="72">
        <v>9.9999999999999995E-7</v>
      </c>
      <c r="D170" s="1657"/>
      <c r="F170" s="58">
        <v>300</v>
      </c>
      <c r="G170" s="72">
        <v>9.9999999999999995E-7</v>
      </c>
      <c r="H170" s="1657"/>
      <c r="I170" s="73"/>
      <c r="J170" s="58">
        <v>300</v>
      </c>
      <c r="K170" s="61">
        <v>-0.7</v>
      </c>
      <c r="L170" s="6">
        <v>0.1</v>
      </c>
      <c r="M170" s="1660"/>
      <c r="N170" s="63"/>
      <c r="O170" s="58">
        <f t="shared" si="48"/>
        <v>300</v>
      </c>
      <c r="P170" s="775"/>
      <c r="Q170" s="776"/>
      <c r="R170" s="776"/>
      <c r="S170" s="101"/>
      <c r="T170" s="62"/>
      <c r="U170" s="796"/>
      <c r="V170" s="797">
        <v>0</v>
      </c>
      <c r="W170" s="796">
        <v>-0.6</v>
      </c>
      <c r="X170" s="101">
        <v>3.3333333333333333E-2</v>
      </c>
      <c r="Y170" s="6">
        <v>0.1</v>
      </c>
      <c r="Z170" s="3"/>
      <c r="AA170" s="29"/>
      <c r="AB170" s="66">
        <f>ROWS(AA$10:$AA170)</f>
        <v>161</v>
      </c>
      <c r="AC170" s="66" t="str">
        <f>IF(ID!$B$88=AA170,AB170,"")</f>
        <v/>
      </c>
      <c r="AD170" s="66" t="str">
        <f>IFERROR(SMALL($AC$10:$AC$204,ROWS($AC$10:AC170)),"")</f>
        <v/>
      </c>
    </row>
    <row r="171" spans="2:30" x14ac:dyDescent="0.25">
      <c r="O171" s="93"/>
      <c r="P171" s="788"/>
      <c r="Q171" s="789"/>
      <c r="R171" s="789"/>
      <c r="S171" s="94"/>
      <c r="T171" s="95"/>
      <c r="U171" s="801"/>
      <c r="V171" s="801"/>
      <c r="W171" s="801"/>
      <c r="X171" s="94"/>
      <c r="Y171" s="95"/>
      <c r="Z171" s="26"/>
      <c r="AA171" s="29"/>
      <c r="AB171" s="66">
        <f>ROWS(AA$10:$AA171)</f>
        <v>162</v>
      </c>
      <c r="AC171" s="66" t="str">
        <f>IF(ID!$B$88=AA171,AB171,"")</f>
        <v/>
      </c>
      <c r="AD171" s="66" t="str">
        <f>IFERROR(SMALL($AC$10:$AC$204,ROWS($AC$10:AC171)),"")</f>
        <v/>
      </c>
    </row>
    <row r="172" spans="2:30" x14ac:dyDescent="0.25">
      <c r="D172" s="7"/>
      <c r="H172" s="7"/>
      <c r="I172" s="7"/>
      <c r="K172" s="7"/>
      <c r="M172" s="7"/>
      <c r="N172" s="7"/>
      <c r="O172" s="93"/>
      <c r="P172" s="788"/>
      <c r="Q172" s="789"/>
      <c r="R172" s="789"/>
      <c r="S172" s="94"/>
      <c r="T172" s="95"/>
      <c r="U172" s="801"/>
      <c r="V172" s="801"/>
      <c r="W172" s="801"/>
      <c r="X172" s="94"/>
      <c r="Y172" s="95"/>
      <c r="Z172" s="26"/>
      <c r="AA172" s="29"/>
      <c r="AB172" s="66">
        <f>ROWS(AA$10:$AA172)</f>
        <v>163</v>
      </c>
      <c r="AC172" s="66" t="str">
        <f>IF(ID!$B$88=AA172,AB172,"")</f>
        <v/>
      </c>
      <c r="AD172" s="66" t="str">
        <f>IFERROR(SMALL($AC$10:$AC$204,ROWS($AC$10:AC172)),"")</f>
        <v/>
      </c>
    </row>
    <row r="173" spans="2:30" x14ac:dyDescent="0.25">
      <c r="O173" s="93"/>
      <c r="P173" s="788"/>
      <c r="Q173" s="789"/>
      <c r="R173" s="789"/>
      <c r="S173" s="94"/>
      <c r="T173" s="95"/>
      <c r="U173" s="801"/>
      <c r="V173" s="801"/>
      <c r="W173" s="801"/>
      <c r="X173" s="94"/>
      <c r="Y173" s="95"/>
      <c r="Z173" s="26"/>
      <c r="AA173" s="29"/>
      <c r="AB173" s="66">
        <f>ROWS(AA$10:$AA173)</f>
        <v>164</v>
      </c>
      <c r="AC173" s="66" t="str">
        <f>IF(ID!$B$88=AA173,AB173,"")</f>
        <v/>
      </c>
      <c r="AD173" s="66" t="str">
        <f>IFERROR(SMALL($AC$10:$AC$204,ROWS($AC$10:AC173)),"")</f>
        <v/>
      </c>
    </row>
    <row r="174" spans="2:30" x14ac:dyDescent="0.25">
      <c r="O174" s="93"/>
      <c r="P174" s="788"/>
      <c r="Q174" s="789"/>
      <c r="R174" s="789"/>
      <c r="S174" s="94"/>
      <c r="T174" s="95"/>
      <c r="U174" s="801"/>
      <c r="V174" s="801"/>
      <c r="W174" s="801"/>
      <c r="X174" s="94"/>
      <c r="Y174" s="95"/>
      <c r="Z174" s="26"/>
      <c r="AA174" s="29"/>
      <c r="AB174" s="66">
        <f>ROWS(AA$10:$AA174)</f>
        <v>165</v>
      </c>
      <c r="AC174" s="66" t="str">
        <f>IF(ID!$B$88=AA174,AB174,"")</f>
        <v/>
      </c>
      <c r="AD174" s="66" t="str">
        <f>IFERROR(SMALL($AC$10:$AC$204,ROWS($AC$10:AC174)),"")</f>
        <v/>
      </c>
    </row>
    <row r="175" spans="2:30" x14ac:dyDescent="0.25">
      <c r="D175" s="7"/>
      <c r="H175" s="7"/>
      <c r="I175" s="7"/>
      <c r="K175" s="7"/>
      <c r="M175" s="7"/>
      <c r="N175" s="7"/>
      <c r="O175" s="96"/>
      <c r="Z175" s="7"/>
      <c r="AA175" s="7"/>
      <c r="AB175" s="66">
        <f>ROWS(AA$10:$AA175)</f>
        <v>166</v>
      </c>
      <c r="AC175" s="66" t="str">
        <f>IF(ID!$B$88=AA175,AB175,"")</f>
        <v/>
      </c>
      <c r="AD175" s="66" t="str">
        <f>IFERROR(SMALL($AC$10:$AC$204,ROWS($AC$10:AC175)),"")</f>
        <v/>
      </c>
    </row>
    <row r="176" spans="2:30" x14ac:dyDescent="0.25">
      <c r="D176" s="4"/>
      <c r="H176" s="4"/>
      <c r="I176" s="4"/>
      <c r="K176" s="4"/>
      <c r="M176" s="4"/>
      <c r="N176" s="4"/>
      <c r="O176" s="68"/>
      <c r="Z176" s="4"/>
      <c r="AA176" s="4"/>
      <c r="AB176" s="66">
        <f>ROWS(AA$10:$AA176)</f>
        <v>167</v>
      </c>
      <c r="AC176" s="66" t="str">
        <f>IF(ID!$B$88=AA176,AB176,"")</f>
        <v/>
      </c>
      <c r="AD176" s="66" t="str">
        <f>IFERROR(SMALL($AC$10:$AC$204,ROWS($AC$10:AC176)),"")</f>
        <v/>
      </c>
    </row>
    <row r="177" spans="2:30" x14ac:dyDescent="0.25">
      <c r="D177" s="4"/>
      <c r="H177" s="4"/>
      <c r="I177" s="4"/>
      <c r="K177" s="4"/>
      <c r="M177" s="4"/>
      <c r="N177" s="4"/>
      <c r="O177" s="68"/>
      <c r="Z177" s="4"/>
      <c r="AA177" s="4"/>
      <c r="AB177" s="66">
        <f>ROWS(AA$10:$AA177)</f>
        <v>168</v>
      </c>
      <c r="AC177" s="66" t="str">
        <f>IF(ID!$B$88=AA177,AB177,"")</f>
        <v/>
      </c>
      <c r="AD177" s="66" t="str">
        <f>IFERROR(SMALL($AC$10:$AC$204,ROWS($AC$10:AC177)),"")</f>
        <v/>
      </c>
    </row>
    <row r="178" spans="2:30" x14ac:dyDescent="0.25">
      <c r="O178" s="69"/>
      <c r="P178" s="777"/>
      <c r="Q178" s="778"/>
      <c r="R178" s="779"/>
      <c r="S178" s="88"/>
      <c r="X178" s="88"/>
      <c r="AB178" s="66">
        <f>ROWS(AA$10:$AA178)</f>
        <v>169</v>
      </c>
      <c r="AC178" s="66" t="str">
        <f>IF(ID!$B$88=AA178,AB178,"")</f>
        <v/>
      </c>
      <c r="AD178" s="66" t="str">
        <f>IFERROR(SMALL($AC$10:$AC$204,ROWS($AC$10:AC178)),"")</f>
        <v/>
      </c>
    </row>
    <row r="179" spans="2:30" x14ac:dyDescent="0.25">
      <c r="B179" s="58">
        <v>0</v>
      </c>
      <c r="C179" s="61">
        <v>-0.1</v>
      </c>
      <c r="D179" s="1655" t="s">
        <v>428</v>
      </c>
      <c r="F179" s="58">
        <v>0</v>
      </c>
      <c r="G179" s="61">
        <v>-0.1</v>
      </c>
      <c r="H179" s="1655" t="s">
        <v>428</v>
      </c>
      <c r="I179" s="73"/>
      <c r="J179" s="58">
        <v>0</v>
      </c>
      <c r="K179" s="1186">
        <v>9.9999999999999995E-7</v>
      </c>
      <c r="L179" s="62">
        <v>0.1</v>
      </c>
      <c r="M179" s="1658" t="s">
        <v>432</v>
      </c>
      <c r="N179" s="78"/>
      <c r="O179" s="58">
        <f t="shared" ref="O179:O185" si="49">J179</f>
        <v>0</v>
      </c>
      <c r="P179" s="775"/>
      <c r="Q179" s="776"/>
      <c r="R179" s="776"/>
      <c r="S179" s="64"/>
      <c r="T179" s="62"/>
      <c r="U179" s="796"/>
      <c r="V179" s="797">
        <v>-0.1</v>
      </c>
      <c r="W179" s="797">
        <v>0</v>
      </c>
      <c r="X179" s="64">
        <v>0.05</v>
      </c>
      <c r="Y179" s="65">
        <v>0.1</v>
      </c>
      <c r="Z179" s="3" t="s">
        <v>430</v>
      </c>
      <c r="AA179" s="29"/>
      <c r="AB179" s="66">
        <f>ROWS(AA$10:$AA179)</f>
        <v>170</v>
      </c>
      <c r="AC179" s="66" t="str">
        <f>IF(ID!$B$88=AA179,AB179,"")</f>
        <v/>
      </c>
      <c r="AD179" s="66" t="str">
        <f>IFERROR(SMALL($AC$10:$AC$204,ROWS($AC$10:AC179)),"")</f>
        <v/>
      </c>
    </row>
    <row r="180" spans="2:30" x14ac:dyDescent="0.25">
      <c r="B180" s="58">
        <v>50</v>
      </c>
      <c r="C180" s="61">
        <v>0.10000000000000142</v>
      </c>
      <c r="D180" s="1656"/>
      <c r="F180" s="58">
        <v>50</v>
      </c>
      <c r="G180" s="61">
        <v>0.10000000000000142</v>
      </c>
      <c r="H180" s="1656"/>
      <c r="I180" s="73"/>
      <c r="J180" s="58">
        <v>50</v>
      </c>
      <c r="K180" s="61">
        <v>0.1</v>
      </c>
      <c r="L180" s="62">
        <v>0.1</v>
      </c>
      <c r="M180" s="1659"/>
      <c r="N180" s="63"/>
      <c r="O180" s="58">
        <f t="shared" si="49"/>
        <v>50</v>
      </c>
      <c r="P180" s="775"/>
      <c r="Q180" s="776"/>
      <c r="R180" s="776"/>
      <c r="S180" s="64"/>
      <c r="T180" s="62"/>
      <c r="U180" s="796"/>
      <c r="V180" s="797">
        <v>0.10000000000000142</v>
      </c>
      <c r="W180" s="797">
        <v>0.1</v>
      </c>
      <c r="X180" s="64">
        <v>7.0776717819853729E-16</v>
      </c>
      <c r="Y180" s="65">
        <v>0.1</v>
      </c>
      <c r="Z180" s="3"/>
      <c r="AA180" s="29"/>
      <c r="AB180" s="66">
        <f>ROWS(AA$10:$AA180)</f>
        <v>171</v>
      </c>
      <c r="AC180" s="66" t="str">
        <f>IF(ID!$B$88=AA180,AB180,"")</f>
        <v/>
      </c>
      <c r="AD180" s="66" t="str">
        <f>IFERROR(SMALL($AC$10:$AC$204,ROWS($AC$10:AC180)),"")</f>
        <v/>
      </c>
    </row>
    <row r="181" spans="2:30" x14ac:dyDescent="0.25">
      <c r="B181" s="58">
        <v>100</v>
      </c>
      <c r="C181" s="61">
        <v>0.20000000000000284</v>
      </c>
      <c r="D181" s="1656"/>
      <c r="F181" s="58">
        <v>100</v>
      </c>
      <c r="G181" s="61">
        <v>0.20000000000000284</v>
      </c>
      <c r="H181" s="1656"/>
      <c r="I181" s="73"/>
      <c r="J181" s="58">
        <v>100</v>
      </c>
      <c r="K181" s="61">
        <v>0.1</v>
      </c>
      <c r="L181" s="62">
        <v>0.1</v>
      </c>
      <c r="M181" s="1659"/>
      <c r="N181" s="63"/>
      <c r="O181" s="58">
        <f t="shared" si="49"/>
        <v>100</v>
      </c>
      <c r="P181" s="775"/>
      <c r="Q181" s="776"/>
      <c r="R181" s="776"/>
      <c r="S181" s="64"/>
      <c r="T181" s="62"/>
      <c r="U181" s="796"/>
      <c r="V181" s="797">
        <v>0.20000000000000284</v>
      </c>
      <c r="W181" s="797">
        <v>0.1</v>
      </c>
      <c r="X181" s="64">
        <v>5.0000000000001418E-2</v>
      </c>
      <c r="Y181" s="65">
        <v>0.1</v>
      </c>
      <c r="Z181" s="3"/>
      <c r="AA181" s="29"/>
      <c r="AB181" s="66">
        <f>ROWS(AA$10:$AA181)</f>
        <v>172</v>
      </c>
      <c r="AC181" s="66" t="str">
        <f>IF(ID!$B$88=AA181,AB181,"")</f>
        <v/>
      </c>
      <c r="AD181" s="66" t="str">
        <f>IFERROR(SMALL($AC$10:$AC$204,ROWS($AC$10:AC181)),"")</f>
        <v/>
      </c>
    </row>
    <row r="182" spans="2:30" x14ac:dyDescent="0.25">
      <c r="B182" s="58">
        <v>150</v>
      </c>
      <c r="C182" s="61">
        <v>0.30000000000001137</v>
      </c>
      <c r="D182" s="1656"/>
      <c r="F182" s="58">
        <v>150</v>
      </c>
      <c r="G182" s="61">
        <v>0.30000000000001137</v>
      </c>
      <c r="H182" s="1656"/>
      <c r="I182" s="73"/>
      <c r="J182" s="58">
        <v>150</v>
      </c>
      <c r="K182" s="61">
        <v>0.3</v>
      </c>
      <c r="L182" s="62">
        <v>0.1</v>
      </c>
      <c r="M182" s="1659"/>
      <c r="N182" s="63"/>
      <c r="O182" s="58">
        <f t="shared" si="49"/>
        <v>150</v>
      </c>
      <c r="P182" s="775"/>
      <c r="Q182" s="776"/>
      <c r="R182" s="776"/>
      <c r="S182" s="64"/>
      <c r="T182" s="62"/>
      <c r="U182" s="796"/>
      <c r="V182" s="797">
        <v>0.30000000000001137</v>
      </c>
      <c r="W182" s="797">
        <v>0.3</v>
      </c>
      <c r="X182" s="64">
        <v>5.6898930012039273E-15</v>
      </c>
      <c r="Y182" s="65">
        <v>0.1</v>
      </c>
      <c r="Z182" s="3"/>
      <c r="AA182" s="29"/>
      <c r="AB182" s="66">
        <f>ROWS(AA$10:$AA182)</f>
        <v>173</v>
      </c>
      <c r="AC182" s="66" t="str">
        <f>IF(ID!$B$88=AA182,AB182,"")</f>
        <v/>
      </c>
      <c r="AD182" s="66" t="str">
        <f>IFERROR(SMALL($AC$10:$AC$204,ROWS($AC$10:AC182)),"")</f>
        <v/>
      </c>
    </row>
    <row r="183" spans="2:30" x14ac:dyDescent="0.25">
      <c r="B183" s="58">
        <v>200</v>
      </c>
      <c r="C183" s="61">
        <v>0.40000000000000568</v>
      </c>
      <c r="D183" s="1656"/>
      <c r="F183" s="58">
        <v>200</v>
      </c>
      <c r="G183" s="61">
        <v>0.40000000000000568</v>
      </c>
      <c r="H183" s="1656"/>
      <c r="I183" s="73"/>
      <c r="J183" s="58">
        <v>200</v>
      </c>
      <c r="K183" s="61">
        <v>0.60000000000002274</v>
      </c>
      <c r="L183" s="62">
        <v>0.1</v>
      </c>
      <c r="M183" s="1659"/>
      <c r="N183" s="63"/>
      <c r="O183" s="58">
        <f t="shared" si="49"/>
        <v>200</v>
      </c>
      <c r="P183" s="775"/>
      <c r="Q183" s="776"/>
      <c r="R183" s="776"/>
      <c r="S183" s="64"/>
      <c r="T183" s="62"/>
      <c r="U183" s="796"/>
      <c r="V183" s="797">
        <v>0.40000000000000568</v>
      </c>
      <c r="W183" s="797">
        <v>0.60000000000002274</v>
      </c>
      <c r="X183" s="64">
        <v>0.10000000000000853</v>
      </c>
      <c r="Y183" s="65">
        <v>0.1</v>
      </c>
      <c r="Z183" s="3"/>
      <c r="AA183" s="29"/>
      <c r="AB183" s="66">
        <f>ROWS(AA$10:$AA183)</f>
        <v>174</v>
      </c>
      <c r="AC183" s="66" t="str">
        <f>IF(ID!$B$88=AA183,AB183,"")</f>
        <v/>
      </c>
      <c r="AD183" s="66" t="str">
        <f>IFERROR(SMALL($AC$10:$AC$204,ROWS($AC$10:AC183)),"")</f>
        <v/>
      </c>
    </row>
    <row r="184" spans="2:30" x14ac:dyDescent="0.25">
      <c r="B184" s="58">
        <v>250</v>
      </c>
      <c r="C184" s="61">
        <v>0.5</v>
      </c>
      <c r="D184" s="1656"/>
      <c r="F184" s="58">
        <v>250</v>
      </c>
      <c r="G184" s="61">
        <v>0.5</v>
      </c>
      <c r="H184" s="1656"/>
      <c r="I184" s="73"/>
      <c r="J184" s="58">
        <v>250</v>
      </c>
      <c r="K184" s="61">
        <v>0.60000000000002274</v>
      </c>
      <c r="L184" s="62">
        <v>0.1</v>
      </c>
      <c r="M184" s="1659"/>
      <c r="N184" s="63"/>
      <c r="O184" s="58">
        <f t="shared" si="49"/>
        <v>250</v>
      </c>
      <c r="P184" s="775"/>
      <c r="Q184" s="776"/>
      <c r="R184" s="776"/>
      <c r="S184" s="64"/>
      <c r="T184" s="62"/>
      <c r="U184" s="796"/>
      <c r="V184" s="797">
        <v>0.5</v>
      </c>
      <c r="W184" s="797">
        <v>0.60000000000002274</v>
      </c>
      <c r="X184" s="64">
        <v>5.0000000000011369E-2</v>
      </c>
      <c r="Y184" s="65">
        <v>0.1</v>
      </c>
      <c r="Z184" s="3"/>
      <c r="AA184" s="29"/>
      <c r="AB184" s="66">
        <f>ROWS(AA$10:$AA184)</f>
        <v>175</v>
      </c>
      <c r="AC184" s="66" t="str">
        <f>IF(ID!$B$88=AA184,AB184,"")</f>
        <v/>
      </c>
      <c r="AD184" s="66" t="str">
        <f>IFERROR(SMALL($AC$10:$AC$204,ROWS($AC$10:AC184)),"")</f>
        <v/>
      </c>
    </row>
    <row r="185" spans="2:30" x14ac:dyDescent="0.25">
      <c r="B185" s="58">
        <v>300</v>
      </c>
      <c r="C185" s="61">
        <v>0.60000000000002274</v>
      </c>
      <c r="D185" s="1657"/>
      <c r="F185" s="58">
        <v>300</v>
      </c>
      <c r="G185" s="61">
        <v>0.60000000000002274</v>
      </c>
      <c r="H185" s="1657"/>
      <c r="I185" s="73"/>
      <c r="J185" s="58">
        <v>300</v>
      </c>
      <c r="K185" s="61">
        <v>0.60000000000002274</v>
      </c>
      <c r="L185" s="62">
        <v>0.1</v>
      </c>
      <c r="M185" s="1660"/>
      <c r="N185" s="63"/>
      <c r="O185" s="58">
        <f t="shared" si="49"/>
        <v>300</v>
      </c>
      <c r="P185" s="775"/>
      <c r="Q185" s="776"/>
      <c r="R185" s="776"/>
      <c r="S185" s="64"/>
      <c r="T185" s="62"/>
      <c r="U185" s="796"/>
      <c r="V185" s="797">
        <v>0.60000000000002274</v>
      </c>
      <c r="W185" s="797">
        <v>0.60000000000002274</v>
      </c>
      <c r="X185" s="64">
        <v>0</v>
      </c>
      <c r="Y185" s="65">
        <v>0.1</v>
      </c>
      <c r="Z185" s="3"/>
      <c r="AA185" s="29"/>
      <c r="AB185" s="66">
        <f>ROWS(AA$10:$AA185)</f>
        <v>176</v>
      </c>
      <c r="AC185" s="66" t="str">
        <f>IF(ID!$B$88=AA185,AB185,"")</f>
        <v/>
      </c>
      <c r="AD185" s="66" t="str">
        <f>IFERROR(SMALL($AC$10:$AC$204,ROWS($AC$10:AC185)),"")</f>
        <v/>
      </c>
    </row>
    <row r="186" spans="2:30" x14ac:dyDescent="0.25">
      <c r="O186" s="93"/>
      <c r="P186" s="788"/>
      <c r="Q186" s="789"/>
      <c r="R186" s="789"/>
      <c r="S186" s="94"/>
      <c r="T186" s="95"/>
      <c r="U186" s="801"/>
      <c r="V186" s="801"/>
      <c r="W186" s="801"/>
      <c r="X186" s="94"/>
      <c r="Y186" s="95"/>
      <c r="Z186" s="26"/>
      <c r="AA186" s="29"/>
      <c r="AB186" s="66">
        <f>ROWS(AA$10:$AA186)</f>
        <v>177</v>
      </c>
      <c r="AC186" s="66" t="str">
        <f>IF(ID!$B$88=AA186,AB186,"")</f>
        <v/>
      </c>
      <c r="AD186" s="66" t="str">
        <f>IFERROR(SMALL($AC$10:$AC$204,ROWS($AC$10:AC186)),"")</f>
        <v/>
      </c>
    </row>
    <row r="187" spans="2:30" x14ac:dyDescent="0.25">
      <c r="D187" s="7"/>
      <c r="H187" s="7"/>
      <c r="I187" s="7"/>
      <c r="K187" s="7"/>
      <c r="M187" s="7"/>
      <c r="N187" s="7"/>
      <c r="O187" s="93"/>
      <c r="P187" s="788"/>
      <c r="Q187" s="789"/>
      <c r="R187" s="789"/>
      <c r="S187" s="94"/>
      <c r="T187" s="95"/>
      <c r="U187" s="801"/>
      <c r="V187" s="801"/>
      <c r="W187" s="801"/>
      <c r="X187" s="94"/>
      <c r="Y187" s="95"/>
      <c r="Z187" s="26"/>
      <c r="AA187" s="29"/>
      <c r="AB187" s="66">
        <f>ROWS(AA$10:$AA187)</f>
        <v>178</v>
      </c>
      <c r="AC187" s="66" t="str">
        <f>IF(ID!$B$88=AA187,AB187,"")</f>
        <v/>
      </c>
      <c r="AD187" s="66" t="str">
        <f>IFERROR(SMALL($AC$10:$AC$204,ROWS($AC$10:AC187)),"")</f>
        <v/>
      </c>
    </row>
    <row r="188" spans="2:30" x14ac:dyDescent="0.25">
      <c r="O188" s="93"/>
      <c r="P188" s="788"/>
      <c r="Q188" s="789"/>
      <c r="R188" s="789"/>
      <c r="S188" s="94"/>
      <c r="T188" s="95"/>
      <c r="U188" s="801"/>
      <c r="V188" s="801"/>
      <c r="W188" s="801"/>
      <c r="X188" s="94"/>
      <c r="Y188" s="95"/>
      <c r="Z188" s="26"/>
      <c r="AA188" s="29"/>
      <c r="AB188" s="66">
        <f>ROWS(AA$10:$AA188)</f>
        <v>179</v>
      </c>
      <c r="AC188" s="66" t="str">
        <f>IF(ID!$B$88=AA188,AB188,"")</f>
        <v/>
      </c>
      <c r="AD188" s="66" t="str">
        <f>IFERROR(SMALL($AC$10:$AC$204,ROWS($AC$10:AC188)),"")</f>
        <v/>
      </c>
    </row>
    <row r="189" spans="2:30" x14ac:dyDescent="0.25">
      <c r="O189" s="93"/>
      <c r="P189" s="788"/>
      <c r="Q189" s="789"/>
      <c r="R189" s="789"/>
      <c r="S189" s="94"/>
      <c r="T189" s="95"/>
      <c r="U189" s="801"/>
      <c r="V189" s="801"/>
      <c r="W189" s="801"/>
      <c r="X189" s="94"/>
      <c r="Y189" s="95"/>
      <c r="Z189" s="26"/>
      <c r="AA189" s="29"/>
      <c r="AB189" s="66">
        <f>ROWS(AA$10:$AA189)</f>
        <v>180</v>
      </c>
      <c r="AC189" s="66" t="str">
        <f>IF(ID!$B$88=AA189,AB189,"")</f>
        <v/>
      </c>
      <c r="AD189" s="66" t="str">
        <f>IFERROR(SMALL($AC$10:$AC$204,ROWS($AC$10:AC189)),"")</f>
        <v/>
      </c>
    </row>
    <row r="190" spans="2:30" x14ac:dyDescent="0.25">
      <c r="D190" s="7"/>
      <c r="H190" s="7"/>
      <c r="I190" s="7"/>
      <c r="K190" s="7"/>
      <c r="M190" s="7"/>
      <c r="N190" s="7"/>
      <c r="O190" s="96"/>
      <c r="Z190" s="7"/>
      <c r="AA190" s="7"/>
      <c r="AB190" s="66">
        <f>ROWS(AA$10:$AA190)</f>
        <v>181</v>
      </c>
      <c r="AC190" s="66" t="str">
        <f>IF(ID!$B$88=AA190,AB190,"")</f>
        <v/>
      </c>
      <c r="AD190" s="66" t="str">
        <f>IFERROR(SMALL($AC$10:$AC$204,ROWS($AC$10:AC190)),"")</f>
        <v/>
      </c>
    </row>
    <row r="191" spans="2:30" x14ac:dyDescent="0.25">
      <c r="D191" s="4"/>
      <c r="H191" s="4"/>
      <c r="I191" s="4"/>
      <c r="K191" s="4"/>
      <c r="M191" s="4"/>
      <c r="N191" s="4"/>
      <c r="O191" s="68"/>
      <c r="Z191" s="4"/>
      <c r="AA191" s="4"/>
      <c r="AB191" s="66">
        <f>ROWS(AA$10:$AA191)</f>
        <v>182</v>
      </c>
      <c r="AC191" s="66" t="str">
        <f>IF(ID!$B$88=AA191,AB191,"")</f>
        <v/>
      </c>
      <c r="AD191" s="66" t="str">
        <f>IFERROR(SMALL($AC$10:$AC$204,ROWS($AC$10:AC191)),"")</f>
        <v/>
      </c>
    </row>
    <row r="192" spans="2:30" x14ac:dyDescent="0.25">
      <c r="D192" s="4"/>
      <c r="H192" s="4"/>
      <c r="I192" s="4"/>
      <c r="K192" s="4"/>
      <c r="M192" s="4"/>
      <c r="N192" s="4"/>
      <c r="O192" s="68"/>
      <c r="Z192" s="4"/>
      <c r="AA192" s="4"/>
      <c r="AB192" s="66">
        <f>ROWS(AA$10:$AA192)</f>
        <v>183</v>
      </c>
      <c r="AC192" s="66" t="str">
        <f>IF(ID!$B$88=AA192,AB192,"")</f>
        <v/>
      </c>
      <c r="AD192" s="66" t="str">
        <f>IFERROR(SMALL($AC$10:$AC$204,ROWS($AC$10:AC192)),"")</f>
        <v/>
      </c>
    </row>
    <row r="193" spans="2:30" x14ac:dyDescent="0.25">
      <c r="N193" s="102"/>
      <c r="O193" s="69"/>
      <c r="P193" s="777"/>
      <c r="Q193" s="778"/>
      <c r="R193" s="779"/>
      <c r="S193" s="88"/>
      <c r="W193" s="802" t="s">
        <v>433</v>
      </c>
      <c r="X193" s="88" t="s">
        <v>417</v>
      </c>
      <c r="Y193" s="70" t="s">
        <v>433</v>
      </c>
      <c r="AB193" s="66">
        <f>ROWS(AA$10:$AA193)</f>
        <v>184</v>
      </c>
      <c r="AC193" s="66" t="str">
        <f>IF(ID!$B$88=AA193,AB193,"")</f>
        <v/>
      </c>
      <c r="AD193" s="66" t="str">
        <f>IFERROR(SMALL($AC$10:$AC$204,ROWS($AC$10:AC193)),"")</f>
        <v/>
      </c>
    </row>
    <row r="194" spans="2:30" x14ac:dyDescent="0.25">
      <c r="B194" s="58">
        <v>0</v>
      </c>
      <c r="C194" s="72"/>
      <c r="D194" s="1655"/>
      <c r="F194" s="58">
        <v>0</v>
      </c>
      <c r="G194" s="61" t="s">
        <v>111</v>
      </c>
      <c r="H194" s="1655"/>
      <c r="I194" s="73"/>
      <c r="J194" s="58"/>
      <c r="K194" s="61"/>
      <c r="L194" s="62"/>
      <c r="M194" s="1658"/>
      <c r="N194" s="78"/>
      <c r="O194" s="58">
        <f t="shared" ref="O194:O200" si="50">J194</f>
        <v>0</v>
      </c>
      <c r="P194" s="775"/>
      <c r="Q194" s="776"/>
      <c r="R194" s="776"/>
      <c r="S194" s="101"/>
      <c r="T194" s="62"/>
      <c r="U194" s="796"/>
      <c r="V194" s="797"/>
      <c r="W194" s="797">
        <v>0</v>
      </c>
      <c r="X194" s="101">
        <v>3.3333333333333333E-2</v>
      </c>
      <c r="Y194" s="65">
        <v>0.1</v>
      </c>
      <c r="Z194" s="3" t="s">
        <v>430</v>
      </c>
      <c r="AA194" s="29"/>
      <c r="AB194" s="66">
        <f>ROWS(AA$10:$AA194)</f>
        <v>185</v>
      </c>
      <c r="AC194" s="66" t="str">
        <f>IF(ID!$B$88=AA194,AB194,"")</f>
        <v/>
      </c>
      <c r="AD194" s="66" t="str">
        <f>IFERROR(SMALL($AC$10:$AC$204,ROWS($AC$10:AC194)),"")</f>
        <v/>
      </c>
    </row>
    <row r="195" spans="2:30" x14ac:dyDescent="0.25">
      <c r="B195" s="58">
        <v>50</v>
      </c>
      <c r="C195" s="72"/>
      <c r="D195" s="1656"/>
      <c r="F195" s="58">
        <v>50</v>
      </c>
      <c r="G195" s="61" t="s">
        <v>111</v>
      </c>
      <c r="H195" s="1656"/>
      <c r="I195" s="73"/>
      <c r="J195" s="58"/>
      <c r="K195" s="61"/>
      <c r="L195" s="62"/>
      <c r="M195" s="1659"/>
      <c r="N195" s="63"/>
      <c r="O195" s="58">
        <f t="shared" si="50"/>
        <v>0</v>
      </c>
      <c r="P195" s="775"/>
      <c r="Q195" s="776"/>
      <c r="R195" s="776"/>
      <c r="S195" s="101"/>
      <c r="T195" s="62"/>
      <c r="U195" s="796"/>
      <c r="V195" s="797"/>
      <c r="W195" s="797">
        <v>-0.1</v>
      </c>
      <c r="X195" s="101">
        <v>3.3333333333333333E-2</v>
      </c>
      <c r="Y195" s="65">
        <v>0.1</v>
      </c>
      <c r="Z195" s="3"/>
      <c r="AA195" s="29"/>
      <c r="AB195" s="66">
        <f>ROWS(AA$10:$AA195)</f>
        <v>186</v>
      </c>
      <c r="AC195" s="66" t="str">
        <f>IF(ID!$B$88=AA195,AB195,"")</f>
        <v/>
      </c>
      <c r="AD195" s="66" t="str">
        <f>IFERROR(SMALL($AC$10:$AC$204,ROWS($AC$10:AC195)),"")</f>
        <v/>
      </c>
    </row>
    <row r="196" spans="2:30" x14ac:dyDescent="0.25">
      <c r="B196" s="58">
        <v>100</v>
      </c>
      <c r="C196" s="72"/>
      <c r="D196" s="1656"/>
      <c r="F196" s="58">
        <v>100</v>
      </c>
      <c r="G196" s="61" t="s">
        <v>111</v>
      </c>
      <c r="H196" s="1656"/>
      <c r="I196" s="73"/>
      <c r="J196" s="58"/>
      <c r="K196" s="61"/>
      <c r="L196" s="62"/>
      <c r="M196" s="1659"/>
      <c r="N196" s="63"/>
      <c r="O196" s="58">
        <f t="shared" si="50"/>
        <v>0</v>
      </c>
      <c r="P196" s="775"/>
      <c r="Q196" s="776"/>
      <c r="R196" s="776"/>
      <c r="S196" s="101"/>
      <c r="T196" s="62"/>
      <c r="U196" s="796"/>
      <c r="V196" s="797"/>
      <c r="W196" s="797">
        <v>-0.2</v>
      </c>
      <c r="X196" s="101">
        <v>3.3333333333333333E-2</v>
      </c>
      <c r="Y196" s="65">
        <v>0.1</v>
      </c>
      <c r="Z196" s="3"/>
      <c r="AA196" s="29"/>
      <c r="AB196" s="66">
        <f>ROWS(AA$10:$AA196)</f>
        <v>187</v>
      </c>
      <c r="AC196" s="66" t="str">
        <f>IF(ID!$B$88=AA196,AB196,"")</f>
        <v/>
      </c>
      <c r="AD196" s="66" t="str">
        <f>IFERROR(SMALL($AC$10:$AC$204,ROWS($AC$10:AC196)),"")</f>
        <v/>
      </c>
    </row>
    <row r="197" spans="2:30" x14ac:dyDescent="0.25">
      <c r="B197" s="58">
        <v>150</v>
      </c>
      <c r="C197" s="72"/>
      <c r="D197" s="1656"/>
      <c r="F197" s="58">
        <v>150</v>
      </c>
      <c r="G197" s="61" t="s">
        <v>111</v>
      </c>
      <c r="H197" s="1656"/>
      <c r="I197" s="73"/>
      <c r="J197" s="58"/>
      <c r="K197" s="61"/>
      <c r="L197" s="62"/>
      <c r="M197" s="1659"/>
      <c r="N197" s="63"/>
      <c r="O197" s="58">
        <f t="shared" si="50"/>
        <v>0</v>
      </c>
      <c r="P197" s="775"/>
      <c r="Q197" s="776"/>
      <c r="R197" s="776"/>
      <c r="S197" s="101"/>
      <c r="T197" s="62"/>
      <c r="U197" s="796"/>
      <c r="V197" s="797"/>
      <c r="W197" s="797">
        <v>-0.2</v>
      </c>
      <c r="X197" s="101">
        <v>3.3333333333333333E-2</v>
      </c>
      <c r="Y197" s="65">
        <v>0.1</v>
      </c>
      <c r="Z197" s="3"/>
      <c r="AA197" s="29"/>
      <c r="AB197" s="66">
        <f>ROWS(AA$10:$AA197)</f>
        <v>188</v>
      </c>
      <c r="AC197" s="66" t="str">
        <f>IF(ID!$B$88=AA197,AB197,"")</f>
        <v/>
      </c>
      <c r="AD197" s="66" t="str">
        <f>IFERROR(SMALL($AC$10:$AC$204,ROWS($AC$10:AC197)),"")</f>
        <v/>
      </c>
    </row>
    <row r="198" spans="2:30" x14ac:dyDescent="0.25">
      <c r="B198" s="58">
        <v>200</v>
      </c>
      <c r="C198" s="72"/>
      <c r="D198" s="1656"/>
      <c r="F198" s="58">
        <v>200</v>
      </c>
      <c r="G198" s="61" t="s">
        <v>111</v>
      </c>
      <c r="H198" s="1656"/>
      <c r="I198" s="73"/>
      <c r="J198" s="58"/>
      <c r="K198" s="61"/>
      <c r="L198" s="62"/>
      <c r="M198" s="1659"/>
      <c r="N198" s="63"/>
      <c r="O198" s="58">
        <f t="shared" si="50"/>
        <v>0</v>
      </c>
      <c r="P198" s="775"/>
      <c r="Q198" s="776"/>
      <c r="R198" s="776"/>
      <c r="S198" s="101"/>
      <c r="T198" s="62"/>
      <c r="U198" s="796"/>
      <c r="V198" s="797"/>
      <c r="W198" s="797">
        <v>-0.2</v>
      </c>
      <c r="X198" s="101">
        <v>3.3333333333333333E-2</v>
      </c>
      <c r="Y198" s="65">
        <v>0.1</v>
      </c>
      <c r="Z198" s="3"/>
      <c r="AA198" s="29"/>
      <c r="AB198" s="66">
        <f>ROWS(AA$10:$AA198)</f>
        <v>189</v>
      </c>
      <c r="AC198" s="66" t="str">
        <f>IF(ID!$B$88=AA198,AB198,"")</f>
        <v/>
      </c>
      <c r="AD198" s="66" t="str">
        <f>IFERROR(SMALL($AC$10:$AC$204,ROWS($AC$10:AC198)),"")</f>
        <v/>
      </c>
    </row>
    <row r="199" spans="2:30" x14ac:dyDescent="0.25">
      <c r="B199" s="58">
        <v>250</v>
      </c>
      <c r="C199" s="72"/>
      <c r="D199" s="1656"/>
      <c r="F199" s="58">
        <v>250</v>
      </c>
      <c r="G199" s="61" t="s">
        <v>111</v>
      </c>
      <c r="H199" s="1656"/>
      <c r="I199" s="73"/>
      <c r="J199" s="58"/>
      <c r="K199" s="61"/>
      <c r="L199" s="62"/>
      <c r="M199" s="1659"/>
      <c r="N199" s="63"/>
      <c r="O199" s="58">
        <f t="shared" si="50"/>
        <v>0</v>
      </c>
      <c r="P199" s="775"/>
      <c r="Q199" s="776"/>
      <c r="R199" s="776"/>
      <c r="S199" s="101"/>
      <c r="T199" s="62"/>
      <c r="U199" s="796"/>
      <c r="V199" s="797"/>
      <c r="W199" s="797">
        <v>-0.2</v>
      </c>
      <c r="X199" s="101">
        <v>3.3333333333333333E-2</v>
      </c>
      <c r="Y199" s="65">
        <v>0.1</v>
      </c>
      <c r="Z199" s="3"/>
      <c r="AA199" s="29"/>
      <c r="AB199" s="66">
        <f>ROWS(AA$10:$AA199)</f>
        <v>190</v>
      </c>
      <c r="AC199" s="66" t="str">
        <f>IF(ID!$B$88=AA199,AB199,"")</f>
        <v/>
      </c>
      <c r="AD199" s="66" t="str">
        <f>IFERROR(SMALL($AC$10:$AC$204,ROWS($AC$10:AC199)),"")</f>
        <v/>
      </c>
    </row>
    <row r="200" spans="2:30" x14ac:dyDescent="0.25">
      <c r="B200" s="58">
        <v>300</v>
      </c>
      <c r="C200" s="72"/>
      <c r="D200" s="1657"/>
      <c r="F200" s="58">
        <v>300</v>
      </c>
      <c r="G200" s="61" t="s">
        <v>111</v>
      </c>
      <c r="H200" s="1657"/>
      <c r="I200" s="73"/>
      <c r="J200" s="58"/>
      <c r="K200" s="61"/>
      <c r="L200" s="62"/>
      <c r="M200" s="1660"/>
      <c r="N200" s="63"/>
      <c r="O200" s="58">
        <f t="shared" si="50"/>
        <v>0</v>
      </c>
      <c r="P200" s="775"/>
      <c r="Q200" s="776"/>
      <c r="R200" s="776"/>
      <c r="S200" s="101"/>
      <c r="T200" s="62"/>
      <c r="U200" s="796"/>
      <c r="V200" s="797"/>
      <c r="W200" s="797">
        <v>-0.2</v>
      </c>
      <c r="X200" s="101">
        <v>3.3333333333333333E-2</v>
      </c>
      <c r="Y200" s="65">
        <v>0.1</v>
      </c>
      <c r="Z200" s="3"/>
      <c r="AA200" s="29"/>
      <c r="AB200" s="66">
        <f>ROWS(AA$10:$AA200)</f>
        <v>191</v>
      </c>
      <c r="AC200" s="66" t="str">
        <f>IF(ID!$B$88=AA200,AB200,"")</f>
        <v/>
      </c>
      <c r="AD200" s="66" t="str">
        <f>IFERROR(SMALL($AC$10:$AC$204,ROWS($AC$10:AC200)),"")</f>
        <v/>
      </c>
    </row>
    <row r="201" spans="2:30" x14ac:dyDescent="0.25">
      <c r="O201" s="93"/>
      <c r="P201" s="788"/>
      <c r="Q201" s="789"/>
      <c r="R201" s="789"/>
      <c r="S201" s="94"/>
      <c r="T201" s="95"/>
      <c r="U201" s="801"/>
      <c r="V201" s="801"/>
      <c r="W201" s="801"/>
      <c r="X201" s="94"/>
      <c r="Y201" s="95"/>
      <c r="Z201" s="26"/>
      <c r="AA201" s="29"/>
      <c r="AB201" s="66">
        <f>ROWS(AA$10:$AA201)</f>
        <v>192</v>
      </c>
      <c r="AC201" s="66" t="str">
        <f>IF(ID!$B$88=AA201,AB201,"")</f>
        <v/>
      </c>
      <c r="AD201" s="66" t="str">
        <f>IFERROR(SMALL($AC$10:$AC$204,ROWS($AC$10:AC201)),"")</f>
        <v/>
      </c>
    </row>
    <row r="202" spans="2:30" x14ac:dyDescent="0.25">
      <c r="D202" s="7"/>
      <c r="H202" s="7"/>
      <c r="I202" s="7"/>
      <c r="K202" s="7"/>
      <c r="M202" s="7"/>
      <c r="N202" s="7"/>
      <c r="O202" s="93"/>
      <c r="P202" s="788"/>
      <c r="Q202" s="789"/>
      <c r="R202" s="789"/>
      <c r="S202" s="94"/>
      <c r="T202" s="95"/>
      <c r="U202" s="801"/>
      <c r="V202" s="801"/>
      <c r="W202" s="801"/>
      <c r="X202" s="94"/>
      <c r="Y202" s="95"/>
      <c r="Z202" s="26"/>
      <c r="AA202" s="29"/>
      <c r="AB202" s="66">
        <f>ROWS(AA$10:$AA202)</f>
        <v>193</v>
      </c>
      <c r="AC202" s="66" t="str">
        <f>IF(ID!$B$88=AA202,AB202,"")</f>
        <v/>
      </c>
      <c r="AD202" s="66" t="str">
        <f>IFERROR(SMALL($AC$10:$AC$204,ROWS($AC$10:AC202)),"")</f>
        <v/>
      </c>
    </row>
    <row r="203" spans="2:30" x14ac:dyDescent="0.25">
      <c r="O203" s="93"/>
      <c r="P203" s="788"/>
      <c r="Q203" s="789"/>
      <c r="R203" s="789"/>
      <c r="S203" s="94"/>
      <c r="T203" s="95"/>
      <c r="U203" s="801"/>
      <c r="V203" s="801"/>
      <c r="W203" s="801"/>
      <c r="X203" s="94"/>
      <c r="Y203" s="95"/>
      <c r="Z203" s="26"/>
      <c r="AA203" s="29"/>
      <c r="AB203" s="66">
        <f>ROWS(AA$10:$AA203)</f>
        <v>194</v>
      </c>
      <c r="AC203" s="66" t="str">
        <f>IF(ID!$B$88=AA203,AB203,"")</f>
        <v/>
      </c>
      <c r="AD203" s="66" t="str">
        <f>IFERROR(SMALL($AC$10:$AC$204,ROWS($AC$10:AC203)),"")</f>
        <v/>
      </c>
    </row>
    <row r="204" spans="2:30" x14ac:dyDescent="0.25">
      <c r="O204" s="93"/>
      <c r="P204" s="788"/>
      <c r="Q204" s="789"/>
      <c r="R204" s="789"/>
      <c r="S204" s="94"/>
      <c r="T204" s="95"/>
      <c r="U204" s="801"/>
      <c r="V204" s="801"/>
      <c r="W204" s="801"/>
      <c r="X204" s="94"/>
      <c r="Y204" s="95"/>
      <c r="Z204" s="26"/>
      <c r="AA204" s="29"/>
      <c r="AB204" s="66">
        <f>ROWS(AA$10:$AA204)</f>
        <v>195</v>
      </c>
      <c r="AC204" s="66" t="str">
        <f>IF(ID!$B$88=AA204,AB204,"")</f>
        <v/>
      </c>
      <c r="AD204" s="66" t="str">
        <f>IFERROR(SMALL($AC$10:$AC$204,ROWS($AC$10:AC204)),"")</f>
        <v/>
      </c>
    </row>
  </sheetData>
  <mergeCells count="45">
    <mergeCell ref="D150:D156"/>
    <mergeCell ref="D164:D170"/>
    <mergeCell ref="D179:D185"/>
    <mergeCell ref="D194:D200"/>
    <mergeCell ref="D60:D66"/>
    <mergeCell ref="D75:D81"/>
    <mergeCell ref="D105:D111"/>
    <mergeCell ref="D120:D126"/>
    <mergeCell ref="D135:D141"/>
    <mergeCell ref="B7:D7"/>
    <mergeCell ref="D9:D16"/>
    <mergeCell ref="D20:D26"/>
    <mergeCell ref="D30:D36"/>
    <mergeCell ref="D45:D51"/>
    <mergeCell ref="H9:H16"/>
    <mergeCell ref="M9:M16"/>
    <mergeCell ref="O6:AD7"/>
    <mergeCell ref="F7:H7"/>
    <mergeCell ref="J7:M7"/>
    <mergeCell ref="O8:T8"/>
    <mergeCell ref="V8:Y8"/>
    <mergeCell ref="H20:H26"/>
    <mergeCell ref="M20:M26"/>
    <mergeCell ref="H30:H36"/>
    <mergeCell ref="M30:M36"/>
    <mergeCell ref="H75:H81"/>
    <mergeCell ref="M75:M81"/>
    <mergeCell ref="H45:H51"/>
    <mergeCell ref="M45:M51"/>
    <mergeCell ref="H60:H66"/>
    <mergeCell ref="M60:M66"/>
    <mergeCell ref="H105:H111"/>
    <mergeCell ref="M105:M111"/>
    <mergeCell ref="H120:H126"/>
    <mergeCell ref="M120:M126"/>
    <mergeCell ref="H135:H141"/>
    <mergeCell ref="M135:M141"/>
    <mergeCell ref="H194:H200"/>
    <mergeCell ref="M194:M200"/>
    <mergeCell ref="H150:H156"/>
    <mergeCell ref="M150:M156"/>
    <mergeCell ref="H164:H170"/>
    <mergeCell ref="M164:M170"/>
    <mergeCell ref="H179:H185"/>
    <mergeCell ref="M179:M185"/>
  </mergeCells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E7:R29"/>
  <sheetViews>
    <sheetView topLeftCell="Q10" zoomScale="130" zoomScaleNormal="130" workbookViewId="0">
      <selection activeCell="R7" sqref="R7"/>
    </sheetView>
  </sheetViews>
  <sheetFormatPr defaultColWidth="9.109375" defaultRowHeight="13.2" x14ac:dyDescent="0.25"/>
  <cols>
    <col min="1" max="4" width="9.109375" style="412"/>
    <col min="5" max="5" width="58.44140625" style="412" customWidth="1"/>
    <col min="6" max="8" width="2.33203125" style="412" customWidth="1"/>
    <col min="9" max="16384" width="9.109375" style="412"/>
  </cols>
  <sheetData>
    <row r="7" spans="5:18" x14ac:dyDescent="0.25">
      <c r="R7" s="413" t="s">
        <v>279</v>
      </c>
    </row>
    <row r="8" spans="5:18" x14ac:dyDescent="0.25">
      <c r="E8" s="29" t="s">
        <v>280</v>
      </c>
      <c r="I8" s="414" t="s">
        <v>842</v>
      </c>
      <c r="R8" s="413" t="s">
        <v>281</v>
      </c>
    </row>
    <row r="9" spans="5:18" x14ac:dyDescent="0.25">
      <c r="E9" s="29" t="s">
        <v>282</v>
      </c>
      <c r="I9" s="414" t="s">
        <v>841</v>
      </c>
      <c r="R9" s="413" t="s">
        <v>283</v>
      </c>
    </row>
    <row r="10" spans="5:18" x14ac:dyDescent="0.25">
      <c r="E10" s="29" t="s">
        <v>284</v>
      </c>
      <c r="I10" s="414" t="s">
        <v>287</v>
      </c>
      <c r="R10" s="413" t="s">
        <v>286</v>
      </c>
    </row>
    <row r="11" spans="5:18" x14ac:dyDescent="0.25">
      <c r="E11" s="29" t="s">
        <v>164</v>
      </c>
      <c r="I11" s="414" t="s">
        <v>162</v>
      </c>
      <c r="O11" s="414" t="s">
        <v>285</v>
      </c>
      <c r="R11" s="413" t="s">
        <v>288</v>
      </c>
    </row>
    <row r="12" spans="5:18" x14ac:dyDescent="0.25">
      <c r="E12" s="29" t="s">
        <v>289</v>
      </c>
      <c r="O12" s="414" t="s">
        <v>290</v>
      </c>
      <c r="R12" s="31" t="s">
        <v>291</v>
      </c>
    </row>
    <row r="13" spans="5:18" x14ac:dyDescent="0.25">
      <c r="E13" s="29" t="s">
        <v>292</v>
      </c>
      <c r="R13" s="413" t="s">
        <v>163</v>
      </c>
    </row>
    <row r="14" spans="5:18" x14ac:dyDescent="0.25">
      <c r="E14" s="29" t="s">
        <v>293</v>
      </c>
      <c r="R14" s="413" t="s">
        <v>294</v>
      </c>
    </row>
    <row r="15" spans="5:18" x14ac:dyDescent="0.25">
      <c r="E15" s="29" t="s">
        <v>475</v>
      </c>
      <c r="R15" s="413" t="s">
        <v>295</v>
      </c>
    </row>
    <row r="16" spans="5:18" x14ac:dyDescent="0.25">
      <c r="E16" s="29" t="s">
        <v>476</v>
      </c>
      <c r="I16" s="415"/>
      <c r="L16" s="416"/>
      <c r="R16" s="413" t="s">
        <v>296</v>
      </c>
    </row>
    <row r="17" spans="5:18" x14ac:dyDescent="0.25">
      <c r="E17" s="812"/>
      <c r="I17" s="415"/>
      <c r="R17" s="413" t="s">
        <v>297</v>
      </c>
    </row>
    <row r="18" spans="5:18" x14ac:dyDescent="0.25">
      <c r="R18" s="413" t="s">
        <v>298</v>
      </c>
    </row>
    <row r="19" spans="5:18" x14ac:dyDescent="0.25">
      <c r="R19" s="413" t="s">
        <v>299</v>
      </c>
    </row>
    <row r="20" spans="5:18" x14ac:dyDescent="0.25">
      <c r="I20" s="417"/>
      <c r="R20" s="413" t="s">
        <v>300</v>
      </c>
    </row>
    <row r="21" spans="5:18" x14ac:dyDescent="0.25">
      <c r="E21" s="415"/>
      <c r="I21" s="417"/>
      <c r="R21" s="413" t="s">
        <v>301</v>
      </c>
    </row>
    <row r="22" spans="5:18" x14ac:dyDescent="0.25">
      <c r="E22" s="418"/>
      <c r="I22" s="417"/>
      <c r="R22" s="413" t="s">
        <v>302</v>
      </c>
    </row>
    <row r="23" spans="5:18" x14ac:dyDescent="0.25">
      <c r="E23" s="418"/>
      <c r="I23" s="419"/>
      <c r="R23" s="413" t="s">
        <v>303</v>
      </c>
    </row>
    <row r="24" spans="5:18" x14ac:dyDescent="0.25">
      <c r="E24" s="418"/>
      <c r="I24" s="419"/>
      <c r="R24" s="769" t="s">
        <v>435</v>
      </c>
    </row>
    <row r="25" spans="5:18" x14ac:dyDescent="0.25">
      <c r="E25" s="418"/>
      <c r="I25" s="419"/>
      <c r="R25" s="769" t="s">
        <v>436</v>
      </c>
    </row>
    <row r="26" spans="5:18" x14ac:dyDescent="0.25">
      <c r="I26" s="417"/>
      <c r="R26" s="769" t="s">
        <v>437</v>
      </c>
    </row>
    <row r="27" spans="5:18" x14ac:dyDescent="0.25">
      <c r="I27" s="417"/>
      <c r="R27" s="769" t="s">
        <v>439</v>
      </c>
    </row>
    <row r="28" spans="5:18" x14ac:dyDescent="0.25">
      <c r="I28" s="413"/>
      <c r="R28" s="769" t="s">
        <v>441</v>
      </c>
    </row>
    <row r="29" spans="5:18" x14ac:dyDescent="0.25">
      <c r="I29" s="413"/>
    </row>
  </sheetData>
  <sheetProtection algorithmName="SHA-512" hashValue="YLOUm3za/W/taRxGz6pKlWxqKVdm2t3O20roKOfHb4GGrfc/NNFbVcD//vb6Z3FVu48YLh5MoSRjzhZEHuT/yA==" saltValue="XQbSkn6zXJYQcuL4Rk117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2:AE111"/>
  <sheetViews>
    <sheetView view="pageBreakPreview" zoomScaleNormal="100" zoomScaleSheetLayoutView="100" workbookViewId="0">
      <pane ySplit="4" topLeftCell="A67" activePane="bottomLeft" state="frozen"/>
      <selection pane="bottomLeft" activeCell="E13" sqref="E13"/>
    </sheetView>
  </sheetViews>
  <sheetFormatPr defaultColWidth="9.109375" defaultRowHeight="15" x14ac:dyDescent="0.25"/>
  <cols>
    <col min="1" max="1" width="3.6640625" style="109" customWidth="1"/>
    <col min="2" max="2" width="19.33203125" style="109" customWidth="1"/>
    <col min="3" max="3" width="10.6640625" style="109" customWidth="1"/>
    <col min="4" max="4" width="19.6640625" style="109" customWidth="1"/>
    <col min="5" max="6" width="6.6640625" style="109" customWidth="1"/>
    <col min="7" max="10" width="7" style="109" customWidth="1"/>
    <col min="11" max="15" width="8.6640625" style="109" customWidth="1"/>
    <col min="16" max="16" width="10.44140625" style="109" customWidth="1"/>
    <col min="17" max="17" width="1.109375" style="109" customWidth="1"/>
    <col min="18" max="18" width="4.109375" style="109" customWidth="1"/>
    <col min="19" max="19" width="3" style="109" customWidth="1"/>
    <col min="20" max="20" width="11.88671875" style="109" customWidth="1"/>
    <col min="21" max="21" width="13.33203125" style="109" customWidth="1"/>
    <col min="22" max="22" width="7.6640625" style="109" customWidth="1"/>
    <col min="23" max="23" width="9.109375" style="109" customWidth="1"/>
    <col min="24" max="24" width="11.109375" style="109" customWidth="1"/>
    <col min="25" max="239" width="9.109375" style="109" customWidth="1"/>
    <col min="240" max="240" width="7.6640625" style="109" customWidth="1"/>
    <col min="241" max="244" width="8.6640625" style="109" customWidth="1"/>
    <col min="245" max="245" width="0.33203125" style="109" customWidth="1"/>
    <col min="246" max="246" width="8.5546875" style="109" customWidth="1"/>
    <col min="247" max="252" width="8.6640625" style="109" customWidth="1"/>
    <col min="253" max="16384" width="9.109375" style="109"/>
  </cols>
  <sheetData>
    <row r="2" spans="1:31" ht="17.399999999999999" x14ac:dyDescent="0.25">
      <c r="A2" s="598"/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1270" t="s">
        <v>809</v>
      </c>
      <c r="N2" s="1271"/>
      <c r="O2" s="1271"/>
      <c r="P2" s="1271"/>
      <c r="Q2" s="1271"/>
      <c r="R2" s="1271"/>
      <c r="S2" s="1271"/>
      <c r="T2" s="145"/>
      <c r="U2" s="146"/>
      <c r="V2" s="146"/>
      <c r="Z2" s="110" t="s">
        <v>1</v>
      </c>
      <c r="AB2" s="147" t="s">
        <v>2</v>
      </c>
    </row>
    <row r="3" spans="1:31" ht="17.399999999999999" x14ac:dyDescent="0.25">
      <c r="A3" s="1269" t="s">
        <v>3</v>
      </c>
      <c r="B3" s="1269"/>
      <c r="C3" s="1269"/>
      <c r="D3" s="1269"/>
      <c r="E3" s="1269"/>
      <c r="F3" s="1269"/>
      <c r="G3" s="1269"/>
      <c r="H3" s="1269"/>
      <c r="I3" s="1269"/>
      <c r="J3" s="1269"/>
      <c r="K3" s="1269"/>
      <c r="L3" s="1269"/>
      <c r="M3" s="1269"/>
      <c r="N3" s="1269"/>
      <c r="O3" s="1269"/>
      <c r="P3" s="1269"/>
      <c r="Q3" s="1269"/>
      <c r="R3" s="1269"/>
      <c r="S3" s="1269"/>
      <c r="T3" s="145"/>
      <c r="U3" s="146"/>
      <c r="V3" s="146"/>
      <c r="Z3" s="110"/>
      <c r="AB3" s="147"/>
    </row>
    <row r="4" spans="1:31" s="195" customFormat="1" ht="25.5" customHeight="1" x14ac:dyDescent="0.35">
      <c r="A4" s="1280" t="s">
        <v>4</v>
      </c>
      <c r="B4" s="1280"/>
      <c r="C4" s="1280"/>
      <c r="D4" s="1280"/>
      <c r="E4" s="1280"/>
      <c r="F4" s="1280"/>
      <c r="G4" s="1280"/>
      <c r="H4" s="1280"/>
      <c r="I4" s="1280"/>
      <c r="J4" s="1280"/>
      <c r="K4" s="1280"/>
      <c r="L4" s="1280"/>
      <c r="M4" s="1280"/>
      <c r="N4" s="1280"/>
      <c r="O4" s="1280"/>
      <c r="P4" s="1280"/>
      <c r="Q4" s="1280"/>
      <c r="R4" s="1280"/>
      <c r="S4" s="1280"/>
      <c r="T4" s="194"/>
      <c r="U4" s="194"/>
      <c r="V4" s="194"/>
      <c r="Z4" s="196" t="s">
        <v>5</v>
      </c>
      <c r="AA4" s="197"/>
      <c r="AC4" s="197"/>
      <c r="AD4" s="197"/>
      <c r="AE4" s="197"/>
    </row>
    <row r="5" spans="1:31" ht="2.25" customHeight="1" x14ac:dyDescent="0.25">
      <c r="A5" s="211"/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148"/>
      <c r="U5" s="148"/>
      <c r="V5" s="148"/>
      <c r="Z5" s="110"/>
      <c r="AA5" s="149"/>
      <c r="AC5" s="149"/>
      <c r="AD5" s="149"/>
      <c r="AE5" s="149"/>
    </row>
    <row r="6" spans="1:31" ht="2.25" customHeight="1" x14ac:dyDescent="0.25">
      <c r="A6" s="211"/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148"/>
      <c r="U6" s="148"/>
      <c r="V6" s="148"/>
      <c r="Z6" s="110"/>
      <c r="AA6" s="149"/>
      <c r="AC6" s="149"/>
      <c r="AD6" s="149"/>
      <c r="AE6" s="149"/>
    </row>
    <row r="7" spans="1:31" x14ac:dyDescent="0.25">
      <c r="A7" s="211"/>
      <c r="B7" s="213" t="s">
        <v>6</v>
      </c>
      <c r="C7" s="214" t="s">
        <v>7</v>
      </c>
      <c r="D7" s="215"/>
      <c r="E7" s="216"/>
      <c r="F7" s="216"/>
      <c r="G7" s="216"/>
      <c r="H7" s="216"/>
      <c r="I7" s="217"/>
      <c r="J7" s="217"/>
      <c r="K7" s="211"/>
      <c r="L7" s="211"/>
      <c r="M7" s="211"/>
      <c r="N7" s="211"/>
      <c r="O7" s="211"/>
      <c r="P7" s="211"/>
      <c r="Q7" s="211"/>
      <c r="R7" s="211"/>
      <c r="S7" s="211"/>
      <c r="Y7" s="149"/>
      <c r="Z7" s="149"/>
      <c r="AA7" s="149"/>
      <c r="AB7" s="149"/>
      <c r="AD7" s="149"/>
      <c r="AE7" s="149"/>
    </row>
    <row r="8" spans="1:31" x14ac:dyDescent="0.25">
      <c r="A8" s="211"/>
      <c r="B8" s="213" t="s">
        <v>8</v>
      </c>
      <c r="C8" s="214" t="s">
        <v>7</v>
      </c>
      <c r="D8" s="218"/>
      <c r="E8" s="219"/>
      <c r="F8" s="219"/>
      <c r="G8" s="219"/>
      <c r="H8" s="219"/>
      <c r="I8" s="217"/>
      <c r="J8" s="217"/>
      <c r="K8" s="211"/>
      <c r="L8" s="211"/>
      <c r="M8" s="211"/>
      <c r="N8" s="211"/>
      <c r="O8" s="211"/>
      <c r="P8" s="211"/>
      <c r="Q8" s="211"/>
      <c r="R8" s="211"/>
      <c r="S8" s="211"/>
      <c r="U8" s="115"/>
      <c r="V8" s="115"/>
    </row>
    <row r="9" spans="1:31" x14ac:dyDescent="0.25">
      <c r="A9" s="211"/>
      <c r="B9" s="213" t="s">
        <v>9</v>
      </c>
      <c r="C9" s="214" t="s">
        <v>7</v>
      </c>
      <c r="D9" s="220"/>
      <c r="E9" s="219"/>
      <c r="F9" s="219"/>
      <c r="G9" s="219"/>
      <c r="H9" s="219"/>
      <c r="I9" s="217"/>
      <c r="J9" s="217"/>
      <c r="K9" s="221"/>
      <c r="L9" s="211"/>
      <c r="M9" s="211"/>
      <c r="N9" s="211"/>
      <c r="O9" s="211"/>
      <c r="P9" s="211"/>
      <c r="Q9" s="211"/>
      <c r="R9" s="211"/>
      <c r="S9" s="211"/>
      <c r="U9" s="115"/>
    </row>
    <row r="10" spans="1:31" x14ac:dyDescent="0.25">
      <c r="A10" s="211"/>
      <c r="B10" s="213" t="s">
        <v>10</v>
      </c>
      <c r="C10" s="214" t="s">
        <v>7</v>
      </c>
      <c r="D10" s="220"/>
      <c r="E10" s="219"/>
      <c r="F10" s="219"/>
      <c r="G10" s="219"/>
      <c r="H10" s="219"/>
      <c r="I10" s="217" t="s">
        <v>11</v>
      </c>
      <c r="J10" s="217"/>
      <c r="K10" s="221"/>
      <c r="L10" s="211"/>
      <c r="M10" s="211"/>
      <c r="N10" s="211"/>
      <c r="O10" s="211"/>
      <c r="P10" s="211"/>
      <c r="Q10" s="211"/>
      <c r="R10" s="211"/>
      <c r="S10" s="211"/>
      <c r="U10" s="115"/>
    </row>
    <row r="11" spans="1:31" x14ac:dyDescent="0.25">
      <c r="A11" s="211"/>
      <c r="B11" s="213" t="s">
        <v>10</v>
      </c>
      <c r="C11" s="214" t="s">
        <v>7</v>
      </c>
      <c r="D11" s="220"/>
      <c r="E11" s="219"/>
      <c r="F11" s="219"/>
      <c r="G11" s="219"/>
      <c r="H11" s="219"/>
      <c r="I11" s="217" t="s">
        <v>12</v>
      </c>
      <c r="J11" s="217"/>
      <c r="K11" s="221"/>
      <c r="L11" s="211"/>
      <c r="M11" s="211"/>
      <c r="N11" s="211"/>
      <c r="O11" s="211"/>
      <c r="P11" s="211"/>
      <c r="Q11" s="211"/>
      <c r="R11" s="211"/>
      <c r="S11" s="211"/>
      <c r="U11" s="115"/>
    </row>
    <row r="12" spans="1:31" x14ac:dyDescent="0.25">
      <c r="A12" s="211"/>
      <c r="B12" s="213" t="s">
        <v>445</v>
      </c>
      <c r="C12" s="214"/>
      <c r="D12" s="220"/>
      <c r="E12" s="219"/>
      <c r="F12" s="219"/>
      <c r="G12" s="219"/>
      <c r="H12" s="219"/>
      <c r="I12" s="217"/>
      <c r="J12" s="217"/>
      <c r="K12" s="221"/>
      <c r="L12" s="211"/>
      <c r="M12" s="211"/>
      <c r="N12" s="211"/>
      <c r="O12" s="211"/>
      <c r="P12" s="211"/>
      <c r="Q12" s="211"/>
      <c r="R12" s="211"/>
      <c r="S12" s="211"/>
      <c r="U12" s="115"/>
    </row>
    <row r="13" spans="1:31" x14ac:dyDescent="0.25">
      <c r="A13" s="211"/>
      <c r="B13" s="222" t="s">
        <v>13</v>
      </c>
      <c r="C13" s="214" t="s">
        <v>7</v>
      </c>
      <c r="D13" s="220"/>
      <c r="E13" s="219"/>
      <c r="F13" s="219"/>
      <c r="G13" s="219"/>
      <c r="H13" s="219"/>
      <c r="I13" s="217"/>
      <c r="J13" s="217"/>
      <c r="K13" s="211"/>
      <c r="L13" s="211"/>
      <c r="M13" s="211"/>
      <c r="N13" s="211"/>
      <c r="O13" s="211"/>
      <c r="P13" s="211"/>
      <c r="Q13" s="211"/>
      <c r="R13" s="211"/>
      <c r="S13" s="211"/>
      <c r="U13" s="115"/>
    </row>
    <row r="14" spans="1:31" x14ac:dyDescent="0.25">
      <c r="A14" s="211"/>
      <c r="B14" s="222" t="s">
        <v>14</v>
      </c>
      <c r="C14" s="214" t="s">
        <v>7</v>
      </c>
      <c r="D14" s="218"/>
      <c r="E14" s="219"/>
      <c r="F14" s="219"/>
      <c r="G14" s="219"/>
      <c r="H14" s="219"/>
      <c r="I14" s="217"/>
      <c r="J14" s="217"/>
      <c r="K14" s="211"/>
      <c r="L14" s="211"/>
      <c r="M14" s="211"/>
      <c r="N14" s="211"/>
      <c r="O14" s="211"/>
      <c r="P14" s="211"/>
      <c r="Q14" s="211"/>
      <c r="R14" s="211"/>
      <c r="S14" s="211"/>
      <c r="U14" s="115"/>
    </row>
    <row r="15" spans="1:31" x14ac:dyDescent="0.25">
      <c r="A15" s="211"/>
      <c r="B15" s="213" t="s">
        <v>15</v>
      </c>
      <c r="C15" s="214" t="s">
        <v>7</v>
      </c>
      <c r="D15" s="218"/>
      <c r="E15" s="219"/>
      <c r="F15" s="219"/>
      <c r="G15" s="219"/>
      <c r="H15" s="219"/>
      <c r="I15" s="217"/>
      <c r="J15" s="217"/>
      <c r="K15" s="221"/>
      <c r="L15" s="211"/>
      <c r="M15" s="211"/>
      <c r="N15" s="211"/>
      <c r="O15" s="211"/>
      <c r="P15" s="211"/>
      <c r="Q15" s="211"/>
      <c r="R15" s="211"/>
      <c r="S15" s="211"/>
    </row>
    <row r="16" spans="1:31" x14ac:dyDescent="0.25">
      <c r="A16" s="211"/>
      <c r="B16" s="221" t="s">
        <v>16</v>
      </c>
      <c r="C16" s="214" t="s">
        <v>7</v>
      </c>
      <c r="D16" s="1281"/>
      <c r="E16" s="1281"/>
      <c r="F16" s="1281"/>
      <c r="G16" s="1281"/>
      <c r="H16" s="1281"/>
      <c r="I16" s="223"/>
      <c r="J16" s="223"/>
      <c r="K16" s="211"/>
      <c r="L16" s="221"/>
      <c r="M16" s="221"/>
      <c r="N16" s="221"/>
      <c r="O16" s="221"/>
      <c r="P16" s="221"/>
      <c r="Q16" s="221"/>
      <c r="R16" s="221"/>
      <c r="S16" s="211"/>
      <c r="Y16" s="115"/>
    </row>
    <row r="17" spans="1:25" hidden="1" x14ac:dyDescent="0.25">
      <c r="A17" s="211"/>
      <c r="B17" s="211" t="s">
        <v>17</v>
      </c>
      <c r="C17" s="214" t="s">
        <v>7</v>
      </c>
      <c r="D17" s="1282" t="s">
        <v>18</v>
      </c>
      <c r="E17" s="1282"/>
      <c r="F17" s="1282"/>
      <c r="G17" s="1282"/>
      <c r="H17" s="1282"/>
      <c r="I17" s="638"/>
      <c r="J17" s="638"/>
      <c r="K17" s="211"/>
      <c r="L17" s="221"/>
      <c r="M17" s="221"/>
      <c r="N17" s="221"/>
      <c r="O17" s="221"/>
      <c r="P17" s="221"/>
      <c r="Q17" s="221"/>
      <c r="R17" s="221"/>
      <c r="S17" s="211"/>
      <c r="Y17" s="115"/>
    </row>
    <row r="18" spans="1:25" hidden="1" x14ac:dyDescent="0.25">
      <c r="A18" s="211"/>
      <c r="B18" s="211" t="s">
        <v>19</v>
      </c>
      <c r="C18" s="214" t="s">
        <v>7</v>
      </c>
      <c r="D18" s="1282" t="s">
        <v>18</v>
      </c>
      <c r="E18" s="1282"/>
      <c r="F18" s="1282"/>
      <c r="G18" s="1282"/>
      <c r="H18" s="1282"/>
      <c r="I18" s="638"/>
      <c r="J18" s="638"/>
      <c r="K18" s="211"/>
      <c r="L18" s="221"/>
      <c r="M18" s="221"/>
      <c r="N18" s="221"/>
      <c r="O18" s="221"/>
      <c r="P18" s="221"/>
      <c r="Q18" s="221"/>
      <c r="R18" s="221"/>
      <c r="S18" s="211"/>
      <c r="Y18" s="115"/>
    </row>
    <row r="19" spans="1:25" x14ac:dyDescent="0.25">
      <c r="A19" s="211"/>
      <c r="B19" s="221" t="s">
        <v>20</v>
      </c>
      <c r="C19" s="214" t="s">
        <v>7</v>
      </c>
      <c r="D19" s="224" t="s">
        <v>21</v>
      </c>
      <c r="E19" s="224"/>
      <c r="F19" s="224"/>
      <c r="G19" s="224"/>
      <c r="H19" s="225"/>
      <c r="I19" s="225"/>
      <c r="J19" s="225"/>
      <c r="K19" s="211"/>
      <c r="L19" s="221"/>
      <c r="M19" s="221"/>
      <c r="N19" s="221"/>
      <c r="O19" s="221"/>
      <c r="P19" s="221"/>
      <c r="Q19" s="221"/>
      <c r="R19" s="221"/>
      <c r="S19" s="211"/>
      <c r="T19" s="110"/>
      <c r="Y19" s="115"/>
    </row>
    <row r="20" spans="1:25" ht="5.25" customHeight="1" x14ac:dyDescent="0.25">
      <c r="A20" s="211"/>
      <c r="B20" s="221"/>
      <c r="C20" s="226"/>
      <c r="D20" s="227"/>
      <c r="E20" s="211"/>
      <c r="F20" s="211"/>
      <c r="G20" s="211"/>
      <c r="H20" s="225"/>
      <c r="I20" s="225"/>
      <c r="J20" s="225"/>
      <c r="K20" s="211"/>
      <c r="L20" s="221"/>
      <c r="M20" s="221"/>
      <c r="N20" s="221"/>
      <c r="O20" s="221"/>
      <c r="P20" s="221"/>
      <c r="Q20" s="221"/>
      <c r="R20" s="221"/>
      <c r="S20" s="211"/>
      <c r="T20" s="110"/>
      <c r="Y20" s="115"/>
    </row>
    <row r="21" spans="1:25" x14ac:dyDescent="0.25">
      <c r="A21" s="211" t="s">
        <v>22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7"/>
      <c r="N21" s="217"/>
      <c r="O21" s="217"/>
      <c r="P21" s="217"/>
      <c r="Q21" s="217"/>
      <c r="R21" s="217"/>
      <c r="S21" s="217"/>
      <c r="T21" s="150"/>
      <c r="U21" s="151"/>
      <c r="V21" s="151"/>
    </row>
    <row r="22" spans="1:25" ht="15.75" customHeight="1" x14ac:dyDescent="0.25">
      <c r="A22" s="211"/>
      <c r="B22" s="1266" t="s">
        <v>23</v>
      </c>
      <c r="C22" s="1268" t="s">
        <v>24</v>
      </c>
      <c r="D22" s="1268"/>
      <c r="E22" s="1268" t="s">
        <v>24</v>
      </c>
      <c r="F22" s="1268"/>
      <c r="G22" s="1268"/>
      <c r="H22" s="1279"/>
      <c r="I22" s="637"/>
      <c r="J22" s="637"/>
      <c r="K22" s="1279"/>
      <c r="L22" s="1279"/>
      <c r="M22" s="217"/>
      <c r="N22" s="217"/>
      <c r="O22" s="217"/>
      <c r="P22" s="217"/>
      <c r="Q22" s="217"/>
      <c r="R22" s="211"/>
      <c r="S22" s="211"/>
      <c r="U22" s="151"/>
      <c r="V22" s="151"/>
    </row>
    <row r="23" spans="1:25" x14ac:dyDescent="0.25">
      <c r="A23" s="211"/>
      <c r="B23" s="1278"/>
      <c r="C23" s="1297"/>
      <c r="D23" s="1297"/>
      <c r="E23" s="1297"/>
      <c r="F23" s="1297"/>
      <c r="G23" s="1297"/>
      <c r="H23" s="1279"/>
      <c r="I23" s="637"/>
      <c r="J23" s="637"/>
      <c r="K23" s="1279"/>
      <c r="L23" s="1279"/>
      <c r="M23" s="217"/>
      <c r="N23" s="217"/>
      <c r="O23" s="217"/>
      <c r="P23" s="217"/>
      <c r="Q23" s="217"/>
      <c r="R23" s="211"/>
      <c r="S23" s="211"/>
      <c r="U23" s="151"/>
      <c r="V23" s="151"/>
    </row>
    <row r="24" spans="1:25" x14ac:dyDescent="0.25">
      <c r="A24" s="211"/>
      <c r="B24" s="228"/>
      <c r="C24" s="1267" t="s">
        <v>25</v>
      </c>
      <c r="D24" s="1267"/>
      <c r="E24" s="1267" t="s">
        <v>26</v>
      </c>
      <c r="F24" s="1267"/>
      <c r="G24" s="1267"/>
      <c r="H24" s="229"/>
      <c r="I24" s="229"/>
      <c r="J24" s="229"/>
      <c r="K24" s="229"/>
      <c r="L24" s="229"/>
      <c r="M24" s="217"/>
      <c r="N24" s="217"/>
      <c r="O24" s="217"/>
      <c r="P24" s="217"/>
      <c r="Q24" s="217"/>
      <c r="R24" s="211"/>
      <c r="S24" s="211"/>
      <c r="U24" s="151"/>
      <c r="V24" s="151"/>
    </row>
    <row r="25" spans="1:25" x14ac:dyDescent="0.25">
      <c r="A25" s="211"/>
      <c r="B25" s="230" t="s">
        <v>27</v>
      </c>
      <c r="C25" s="1275"/>
      <c r="D25" s="1275"/>
      <c r="E25" s="1275"/>
      <c r="F25" s="1275"/>
      <c r="G25" s="1275"/>
      <c r="H25" s="217" t="s">
        <v>28</v>
      </c>
      <c r="I25" s="111"/>
      <c r="J25" s="111"/>
      <c r="K25" s="111"/>
      <c r="L25" s="111"/>
      <c r="M25" s="679"/>
      <c r="N25" s="679"/>
      <c r="O25" s="679"/>
      <c r="P25" s="679"/>
      <c r="Q25" s="679"/>
      <c r="R25" s="211"/>
      <c r="S25" s="211"/>
      <c r="U25" s="151"/>
      <c r="V25" s="151"/>
    </row>
    <row r="26" spans="1:25" x14ac:dyDescent="0.25">
      <c r="A26" s="211"/>
      <c r="B26" s="230" t="s">
        <v>29</v>
      </c>
      <c r="C26" s="1275"/>
      <c r="D26" s="1275"/>
      <c r="E26" s="1275"/>
      <c r="F26" s="1275"/>
      <c r="G26" s="1275"/>
      <c r="H26" s="217" t="s">
        <v>30</v>
      </c>
      <c r="I26" s="111"/>
      <c r="J26" s="111"/>
      <c r="K26" s="111"/>
      <c r="L26" s="111"/>
      <c r="M26" s="679"/>
      <c r="N26" s="679"/>
      <c r="O26" s="679"/>
      <c r="P26" s="679"/>
      <c r="Q26" s="679"/>
      <c r="R26" s="211"/>
      <c r="S26" s="211"/>
      <c r="U26" s="151"/>
      <c r="V26" s="151"/>
    </row>
    <row r="27" spans="1:25" ht="16.5" customHeight="1" x14ac:dyDescent="0.25">
      <c r="A27" s="211"/>
      <c r="B27" s="472" t="s">
        <v>31</v>
      </c>
      <c r="C27" s="473"/>
      <c r="D27" s="474"/>
      <c r="E27" s="231" t="s">
        <v>32</v>
      </c>
      <c r="F27" s="231"/>
      <c r="G27" s="231"/>
      <c r="H27" s="231"/>
      <c r="I27" s="231"/>
      <c r="J27" s="231"/>
      <c r="K27" s="231"/>
      <c r="L27" s="231"/>
      <c r="M27" s="679"/>
      <c r="N27" s="679"/>
      <c r="O27" s="679"/>
      <c r="P27" s="679"/>
      <c r="Q27" s="679"/>
      <c r="R27" s="646"/>
      <c r="S27" s="231"/>
      <c r="T27" s="152"/>
      <c r="U27" s="151"/>
      <c r="V27" s="151"/>
    </row>
    <row r="28" spans="1:25" ht="18.75" customHeight="1" x14ac:dyDescent="0.25">
      <c r="A28" s="221" t="s">
        <v>33</v>
      </c>
      <c r="B28" s="211" t="s">
        <v>34</v>
      </c>
      <c r="C28" s="211"/>
      <c r="D28" s="211"/>
      <c r="E28" s="211"/>
      <c r="F28" s="211"/>
      <c r="G28" s="211"/>
      <c r="H28" s="211"/>
      <c r="I28" s="211"/>
      <c r="J28" s="211"/>
      <c r="K28" s="231"/>
      <c r="L28" s="231"/>
      <c r="M28" s="679"/>
      <c r="N28" s="679"/>
      <c r="O28" s="679"/>
      <c r="P28" s="679"/>
      <c r="Q28" s="679"/>
      <c r="R28" s="232"/>
      <c r="S28" s="237" t="s">
        <v>35</v>
      </c>
      <c r="T28" s="152"/>
      <c r="U28" s="151"/>
      <c r="V28" s="151"/>
    </row>
    <row r="29" spans="1:25" x14ac:dyDescent="0.25">
      <c r="A29" s="221"/>
      <c r="B29" s="211" t="s">
        <v>36</v>
      </c>
      <c r="C29" s="211"/>
      <c r="D29" s="211"/>
      <c r="E29" s="211"/>
      <c r="F29" s="211"/>
      <c r="G29" s="211"/>
      <c r="H29" s="221"/>
      <c r="I29" s="221"/>
      <c r="J29" s="221"/>
      <c r="K29" s="231"/>
      <c r="L29" s="231"/>
      <c r="M29" s="679"/>
      <c r="N29" s="679"/>
      <c r="O29" s="679"/>
      <c r="P29" s="679"/>
      <c r="Q29" s="679"/>
      <c r="R29" s="234">
        <v>5</v>
      </c>
      <c r="S29" s="1324">
        <v>10</v>
      </c>
      <c r="T29" s="152"/>
      <c r="U29" s="151"/>
      <c r="V29" s="151"/>
    </row>
    <row r="30" spans="1:25" x14ac:dyDescent="0.25">
      <c r="A30" s="221"/>
      <c r="B30" s="211" t="s">
        <v>37</v>
      </c>
      <c r="C30" s="211"/>
      <c r="D30" s="211"/>
      <c r="E30" s="211"/>
      <c r="F30" s="211"/>
      <c r="G30" s="211"/>
      <c r="H30" s="221"/>
      <c r="I30" s="221"/>
      <c r="J30" s="221"/>
      <c r="K30" s="231"/>
      <c r="L30" s="231"/>
      <c r="M30" s="679"/>
      <c r="N30" s="679"/>
      <c r="O30" s="679"/>
      <c r="P30" s="679"/>
      <c r="Q30" s="679"/>
      <c r="R30" s="234">
        <v>5</v>
      </c>
      <c r="S30" s="1325"/>
      <c r="T30" s="152"/>
      <c r="U30" s="151"/>
      <c r="V30" s="151"/>
    </row>
    <row r="31" spans="1:25" ht="16.5" hidden="1" customHeight="1" x14ac:dyDescent="0.25">
      <c r="A31" s="211"/>
      <c r="B31" s="211"/>
      <c r="C31" s="217"/>
      <c r="D31" s="231"/>
      <c r="E31" s="231"/>
      <c r="F31" s="231"/>
      <c r="G31" s="231"/>
      <c r="H31" s="231"/>
      <c r="I31" s="231"/>
      <c r="J31" s="231"/>
      <c r="K31" s="231"/>
      <c r="L31" s="231"/>
      <c r="M31" s="679"/>
      <c r="N31" s="679"/>
      <c r="O31" s="679"/>
      <c r="P31" s="679"/>
      <c r="Q31" s="679"/>
      <c r="R31" s="646"/>
      <c r="S31" s="235"/>
      <c r="T31" s="152"/>
      <c r="U31" s="151"/>
      <c r="V31" s="151"/>
    </row>
    <row r="32" spans="1:25" ht="5.25" customHeight="1" x14ac:dyDescent="0.25">
      <c r="A32" s="211"/>
      <c r="B32" s="211"/>
      <c r="C32" s="217"/>
      <c r="D32" s="231"/>
      <c r="E32" s="231"/>
      <c r="F32" s="231"/>
      <c r="G32" s="231"/>
      <c r="H32" s="231"/>
      <c r="I32" s="231"/>
      <c r="J32" s="231"/>
      <c r="K32" s="231"/>
      <c r="L32" s="231"/>
      <c r="M32" s="679"/>
      <c r="N32" s="679"/>
      <c r="O32" s="679"/>
      <c r="P32" s="679"/>
      <c r="Q32" s="679"/>
      <c r="R32" s="646"/>
      <c r="S32" s="235"/>
      <c r="T32" s="152"/>
      <c r="U32" s="151"/>
      <c r="V32" s="151"/>
    </row>
    <row r="33" spans="1:27" x14ac:dyDescent="0.25">
      <c r="A33" s="221" t="s">
        <v>38</v>
      </c>
      <c r="B33" s="236"/>
      <c r="C33" s="236"/>
      <c r="D33" s="236"/>
      <c r="E33" s="236"/>
      <c r="F33" s="236"/>
      <c r="G33" s="236"/>
      <c r="H33" s="236"/>
      <c r="I33" s="236"/>
      <c r="J33" s="236"/>
      <c r="K33" s="236"/>
      <c r="L33" s="211"/>
      <c r="M33" s="679"/>
      <c r="N33" s="679"/>
      <c r="O33" s="679"/>
      <c r="P33" s="679"/>
      <c r="Q33" s="679"/>
      <c r="R33" s="646"/>
      <c r="S33" s="235"/>
      <c r="T33" s="152"/>
      <c r="U33" s="151"/>
      <c r="V33" s="151"/>
    </row>
    <row r="34" spans="1:27" ht="36.75" customHeight="1" x14ac:dyDescent="0.25">
      <c r="A34" s="648" t="s">
        <v>39</v>
      </c>
      <c r="B34" s="1300" t="s">
        <v>23</v>
      </c>
      <c r="C34" s="1301"/>
      <c r="D34" s="1301"/>
      <c r="E34" s="1301"/>
      <c r="F34" s="1301"/>
      <c r="G34" s="1301"/>
      <c r="H34" s="1301"/>
      <c r="I34" s="1302"/>
      <c r="J34" s="1299" t="s">
        <v>40</v>
      </c>
      <c r="K34" s="1299"/>
      <c r="L34" s="1299" t="s">
        <v>41</v>
      </c>
      <c r="M34" s="1299"/>
      <c r="N34" s="679"/>
      <c r="O34" s="679"/>
      <c r="P34" s="679"/>
      <c r="Q34" s="679"/>
      <c r="R34" s="202"/>
      <c r="S34" s="237" t="s">
        <v>35</v>
      </c>
      <c r="T34" s="152"/>
      <c r="U34" s="151"/>
      <c r="V34" s="151"/>
    </row>
    <row r="35" spans="1:27" ht="19.5" customHeight="1" x14ac:dyDescent="0.25">
      <c r="A35" s="648">
        <v>1</v>
      </c>
      <c r="B35" s="203" t="s">
        <v>42</v>
      </c>
      <c r="C35" s="204"/>
      <c r="D35" s="204"/>
      <c r="E35" s="204"/>
      <c r="F35" s="204"/>
      <c r="G35" s="204"/>
      <c r="H35" s="204"/>
      <c r="I35" s="204"/>
      <c r="J35" s="1330" t="s">
        <v>43</v>
      </c>
      <c r="K35" s="1330"/>
      <c r="L35" s="1298" t="s">
        <v>44</v>
      </c>
      <c r="M35" s="1298"/>
      <c r="N35" s="679"/>
      <c r="O35" s="679"/>
      <c r="P35" s="679"/>
      <c r="Q35" s="679"/>
      <c r="R35" s="649">
        <v>2.5</v>
      </c>
      <c r="S35" s="1326">
        <v>40</v>
      </c>
      <c r="T35" s="152"/>
      <c r="U35" s="151"/>
      <c r="V35" s="151"/>
    </row>
    <row r="36" spans="1:27" ht="19.5" customHeight="1" x14ac:dyDescent="0.25">
      <c r="A36" s="1266">
        <v>2</v>
      </c>
      <c r="B36" s="579" t="s">
        <v>790</v>
      </c>
      <c r="C36" s="204"/>
      <c r="D36" s="204"/>
      <c r="E36" s="204"/>
      <c r="F36" s="204"/>
      <c r="G36" s="204"/>
      <c r="H36" s="204"/>
      <c r="I36" s="204"/>
      <c r="J36" s="1322" t="s">
        <v>45</v>
      </c>
      <c r="K36" s="1322"/>
      <c r="L36" s="1298" t="s">
        <v>46</v>
      </c>
      <c r="M36" s="1298"/>
      <c r="N36" s="672"/>
      <c r="O36" s="672"/>
      <c r="P36" s="672"/>
      <c r="Q36" s="672"/>
      <c r="R36" s="649">
        <v>2.5</v>
      </c>
      <c r="S36" s="1327"/>
      <c r="T36" s="152"/>
      <c r="U36" s="151"/>
      <c r="V36" s="151"/>
    </row>
    <row r="37" spans="1:27" ht="19.5" customHeight="1" x14ac:dyDescent="0.25">
      <c r="A37" s="1267"/>
      <c r="B37" s="579" t="s">
        <v>791</v>
      </c>
      <c r="C37" s="204"/>
      <c r="D37" s="204"/>
      <c r="E37" s="204"/>
      <c r="F37" s="204"/>
      <c r="G37" s="204"/>
      <c r="H37" s="204"/>
      <c r="I37" s="204"/>
      <c r="J37" s="1322" t="s">
        <v>45</v>
      </c>
      <c r="K37" s="1322"/>
      <c r="L37" s="1298" t="s">
        <v>792</v>
      </c>
      <c r="M37" s="1298"/>
      <c r="N37" s="1106"/>
      <c r="O37" s="1106"/>
      <c r="P37" s="1106"/>
      <c r="Q37" s="1106"/>
      <c r="R37" s="1105"/>
      <c r="S37" s="1327"/>
      <c r="T37" s="152"/>
      <c r="U37" s="151"/>
      <c r="V37" s="151"/>
    </row>
    <row r="38" spans="1:27" ht="19.5" customHeight="1" x14ac:dyDescent="0.25">
      <c r="A38" s="1266">
        <v>3</v>
      </c>
      <c r="B38" s="203" t="s">
        <v>47</v>
      </c>
      <c r="C38" s="204"/>
      <c r="D38" s="204"/>
      <c r="E38" s="204"/>
      <c r="F38" s="204"/>
      <c r="G38" s="204"/>
      <c r="H38" s="204"/>
      <c r="I38" s="204"/>
      <c r="J38" s="1330" t="s">
        <v>48</v>
      </c>
      <c r="K38" s="1330"/>
      <c r="L38" s="1298" t="s">
        <v>49</v>
      </c>
      <c r="M38" s="1298"/>
      <c r="N38" s="162"/>
      <c r="O38" s="162"/>
      <c r="P38" s="238"/>
      <c r="Q38" s="238"/>
      <c r="R38" s="1329">
        <v>35</v>
      </c>
      <c r="S38" s="1327"/>
      <c r="T38" s="152"/>
      <c r="U38" s="151"/>
      <c r="V38" s="151"/>
    </row>
    <row r="39" spans="1:27" ht="19.5" customHeight="1" x14ac:dyDescent="0.25">
      <c r="A39" s="1267"/>
      <c r="B39" s="203" t="s">
        <v>50</v>
      </c>
      <c r="C39" s="204"/>
      <c r="D39" s="204"/>
      <c r="E39" s="204"/>
      <c r="F39" s="204"/>
      <c r="G39" s="204"/>
      <c r="H39" s="204"/>
      <c r="I39" s="204"/>
      <c r="J39" s="1330" t="s">
        <v>48</v>
      </c>
      <c r="K39" s="1330"/>
      <c r="L39" s="1298" t="s">
        <v>51</v>
      </c>
      <c r="M39" s="1298"/>
      <c r="N39" s="163"/>
      <c r="O39" s="163"/>
      <c r="P39" s="238"/>
      <c r="Q39" s="238"/>
      <c r="R39" s="1329"/>
      <c r="S39" s="1328"/>
      <c r="T39" s="152"/>
      <c r="U39" s="151"/>
      <c r="V39" s="151"/>
    </row>
    <row r="40" spans="1:27" ht="3.75" customHeight="1" x14ac:dyDescent="0.25">
      <c r="A40" s="211"/>
      <c r="B40" s="211"/>
      <c r="C40" s="217"/>
      <c r="D40" s="231"/>
      <c r="E40" s="231"/>
      <c r="F40" s="231"/>
      <c r="G40" s="231"/>
      <c r="H40" s="231"/>
      <c r="I40" s="231"/>
      <c r="J40" s="231"/>
      <c r="K40" s="231"/>
      <c r="L40" s="231"/>
      <c r="M40" s="679"/>
      <c r="N40" s="679"/>
      <c r="O40" s="679"/>
      <c r="P40" s="679"/>
      <c r="Q40" s="679"/>
      <c r="R40" s="646"/>
      <c r="S40" s="231"/>
      <c r="T40" s="152"/>
      <c r="U40" s="151"/>
      <c r="V40" s="151"/>
    </row>
    <row r="41" spans="1:27" x14ac:dyDescent="0.25">
      <c r="A41" s="217" t="s">
        <v>52</v>
      </c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150"/>
      <c r="U41" s="151"/>
      <c r="V41" s="151"/>
    </row>
    <row r="42" spans="1:27" x14ac:dyDescent="0.25">
      <c r="A42" s="217"/>
      <c r="B42" s="217" t="s">
        <v>53</v>
      </c>
      <c r="C42" s="217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150"/>
      <c r="U42" s="151"/>
      <c r="V42" s="151"/>
    </row>
    <row r="43" spans="1:27" ht="5.25" customHeight="1" x14ac:dyDescent="0.25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17"/>
      <c r="M43" s="217"/>
      <c r="N43" s="217"/>
      <c r="O43" s="217"/>
      <c r="P43" s="217"/>
      <c r="Q43" s="217"/>
      <c r="R43" s="217"/>
      <c r="S43" s="233"/>
      <c r="T43" s="150"/>
      <c r="U43" s="151"/>
      <c r="V43" s="151"/>
    </row>
    <row r="44" spans="1:27" ht="15.75" customHeight="1" x14ac:dyDescent="0.25">
      <c r="A44" s="1266" t="s">
        <v>39</v>
      </c>
      <c r="B44" s="1266" t="s">
        <v>23</v>
      </c>
      <c r="C44" s="1308" t="s">
        <v>54</v>
      </c>
      <c r="D44" s="1309"/>
      <c r="E44" s="1309"/>
      <c r="F44" s="1309"/>
      <c r="G44" s="1310"/>
      <c r="H44" s="1284" t="s">
        <v>55</v>
      </c>
      <c r="I44" s="1285"/>
      <c r="J44" s="1285"/>
      <c r="K44" s="1285"/>
      <c r="L44" s="1286"/>
      <c r="M44" s="1268" t="s">
        <v>56</v>
      </c>
      <c r="N44" s="1268"/>
      <c r="Q44" s="646"/>
      <c r="R44" s="1279"/>
      <c r="S44" s="1306">
        <v>50</v>
      </c>
    </row>
    <row r="45" spans="1:27" ht="15.75" customHeight="1" x14ac:dyDescent="0.25">
      <c r="A45" s="1278"/>
      <c r="B45" s="1278"/>
      <c r="C45" s="1297" t="s">
        <v>57</v>
      </c>
      <c r="D45" s="1297" t="s">
        <v>58</v>
      </c>
      <c r="E45" s="1284" t="s">
        <v>59</v>
      </c>
      <c r="F45" s="1285"/>
      <c r="G45" s="1286"/>
      <c r="H45" s="1287"/>
      <c r="I45" s="1288"/>
      <c r="J45" s="1288"/>
      <c r="K45" s="1288"/>
      <c r="L45" s="1289"/>
      <c r="M45" s="1268"/>
      <c r="N45" s="1268"/>
      <c r="Q45" s="646"/>
      <c r="R45" s="1279"/>
      <c r="S45" s="1306"/>
      <c r="U45" s="1303"/>
      <c r="V45" s="1303"/>
      <c r="W45" s="1303"/>
      <c r="X45" s="115"/>
      <c r="Y45" s="1303"/>
      <c r="Z45" s="1303"/>
      <c r="AA45" s="1303"/>
    </row>
    <row r="46" spans="1:27" x14ac:dyDescent="0.25">
      <c r="A46" s="1267"/>
      <c r="B46" s="1267"/>
      <c r="C46" s="1311"/>
      <c r="D46" s="1311"/>
      <c r="E46" s="1312"/>
      <c r="F46" s="1313"/>
      <c r="G46" s="1314"/>
      <c r="H46" s="639">
        <v>1</v>
      </c>
      <c r="I46" s="639">
        <v>2</v>
      </c>
      <c r="J46" s="639">
        <v>3</v>
      </c>
      <c r="K46" s="639">
        <v>4</v>
      </c>
      <c r="L46" s="639">
        <v>5</v>
      </c>
      <c r="M46" s="1268"/>
      <c r="N46" s="1268"/>
      <c r="Q46" s="646"/>
      <c r="R46" s="1279"/>
      <c r="S46" s="1306"/>
      <c r="U46" s="1303"/>
      <c r="V46" s="1303"/>
      <c r="W46" s="1303"/>
      <c r="X46" s="115"/>
      <c r="Y46" s="1303"/>
      <c r="Z46" s="1303"/>
      <c r="AA46" s="1303"/>
    </row>
    <row r="47" spans="1:27" ht="16.8" x14ac:dyDescent="0.25">
      <c r="A47" s="1266">
        <v>1</v>
      </c>
      <c r="B47" s="633" t="s">
        <v>60</v>
      </c>
      <c r="C47" s="635">
        <v>35</v>
      </c>
      <c r="D47" s="635">
        <v>80</v>
      </c>
      <c r="E47" s="1276">
        <v>80</v>
      </c>
      <c r="F47" s="1276"/>
      <c r="G47" s="1276"/>
      <c r="H47" s="240" t="s">
        <v>61</v>
      </c>
      <c r="I47" s="643" t="s">
        <v>61</v>
      </c>
      <c r="J47" s="643" t="s">
        <v>61</v>
      </c>
      <c r="K47" s="643" t="s">
        <v>61</v>
      </c>
      <c r="L47" s="643" t="s">
        <v>61</v>
      </c>
      <c r="M47" s="1307" t="s">
        <v>62</v>
      </c>
      <c r="N47" s="1307"/>
      <c r="Q47" s="241"/>
      <c r="R47" s="1283"/>
      <c r="S47" s="1306"/>
      <c r="U47" s="1304"/>
      <c r="V47" s="1304"/>
      <c r="W47" s="1304"/>
      <c r="X47" s="115"/>
      <c r="Y47" s="1304"/>
      <c r="Z47" s="1304"/>
      <c r="AA47" s="1304"/>
    </row>
    <row r="48" spans="1:27" ht="16.8" x14ac:dyDescent="0.25">
      <c r="A48" s="1278"/>
      <c r="B48" s="632" t="s">
        <v>63</v>
      </c>
      <c r="C48" s="635">
        <v>15</v>
      </c>
      <c r="D48" s="635">
        <v>50</v>
      </c>
      <c r="E48" s="1276">
        <v>50</v>
      </c>
      <c r="F48" s="1276"/>
      <c r="G48" s="1276"/>
      <c r="H48" s="242" t="s">
        <v>61</v>
      </c>
      <c r="I48" s="644" t="s">
        <v>61</v>
      </c>
      <c r="J48" s="644" t="s">
        <v>61</v>
      </c>
      <c r="K48" s="644" t="s">
        <v>61</v>
      </c>
      <c r="L48" s="644" t="s">
        <v>61</v>
      </c>
      <c r="M48" s="1307"/>
      <c r="N48" s="1307"/>
      <c r="Q48" s="241"/>
      <c r="R48" s="1283"/>
      <c r="S48" s="1306"/>
      <c r="U48" s="1304"/>
      <c r="V48" s="1304"/>
      <c r="W48" s="1304"/>
      <c r="X48" s="115"/>
      <c r="Y48" s="1304"/>
      <c r="Z48" s="1304"/>
      <c r="AA48" s="1304"/>
    </row>
    <row r="49" spans="1:27" ht="17.399999999999999" x14ac:dyDescent="0.25">
      <c r="A49" s="1267"/>
      <c r="B49" s="642" t="s">
        <v>64</v>
      </c>
      <c r="C49" s="635">
        <v>120</v>
      </c>
      <c r="D49" s="635" t="s">
        <v>452</v>
      </c>
      <c r="E49" s="1276" t="s">
        <v>451</v>
      </c>
      <c r="F49" s="1276"/>
      <c r="G49" s="1276"/>
      <c r="H49" s="242"/>
      <c r="I49" s="644"/>
      <c r="J49" s="644"/>
      <c r="K49" s="644"/>
      <c r="L49" s="644"/>
      <c r="M49" s="1307"/>
      <c r="N49" s="1307"/>
      <c r="Q49" s="243"/>
      <c r="R49" s="1283"/>
      <c r="S49" s="1306"/>
      <c r="U49" s="1304"/>
      <c r="V49" s="1304"/>
      <c r="W49" s="1304"/>
      <c r="X49" s="115"/>
      <c r="Y49" s="1304"/>
      <c r="Z49" s="1304"/>
      <c r="AA49" s="1304"/>
    </row>
    <row r="50" spans="1:27" ht="16.8" x14ac:dyDescent="0.25">
      <c r="A50" s="1266">
        <v>2</v>
      </c>
      <c r="B50" s="633" t="s">
        <v>60</v>
      </c>
      <c r="C50" s="635">
        <v>60</v>
      </c>
      <c r="D50" s="635">
        <v>100</v>
      </c>
      <c r="E50" s="1277">
        <v>100</v>
      </c>
      <c r="F50" s="1277"/>
      <c r="G50" s="1277"/>
      <c r="H50" s="242" t="s">
        <v>61</v>
      </c>
      <c r="I50" s="644" t="s">
        <v>61</v>
      </c>
      <c r="J50" s="644" t="s">
        <v>61</v>
      </c>
      <c r="K50" s="644" t="s">
        <v>61</v>
      </c>
      <c r="L50" s="644" t="s">
        <v>61</v>
      </c>
      <c r="M50" s="1307"/>
      <c r="N50" s="1307"/>
      <c r="Q50" s="241"/>
      <c r="R50" s="1283"/>
      <c r="S50" s="1306"/>
      <c r="U50" s="1304"/>
      <c r="V50" s="1304"/>
      <c r="W50" s="1304"/>
      <c r="X50" s="115"/>
      <c r="Y50" s="1305"/>
      <c r="Z50" s="1305"/>
      <c r="AA50" s="1305"/>
    </row>
    <row r="51" spans="1:27" ht="16.8" x14ac:dyDescent="0.25">
      <c r="A51" s="1278"/>
      <c r="B51" s="632" t="s">
        <v>63</v>
      </c>
      <c r="C51" s="635">
        <v>30</v>
      </c>
      <c r="D51" s="635">
        <v>65</v>
      </c>
      <c r="E51" s="1277">
        <v>65</v>
      </c>
      <c r="F51" s="1277"/>
      <c r="G51" s="1277"/>
      <c r="H51" s="242" t="s">
        <v>61</v>
      </c>
      <c r="I51" s="644" t="s">
        <v>61</v>
      </c>
      <c r="J51" s="644" t="s">
        <v>61</v>
      </c>
      <c r="K51" s="644" t="s">
        <v>61</v>
      </c>
      <c r="L51" s="644" t="s">
        <v>61</v>
      </c>
      <c r="M51" s="1307"/>
      <c r="N51" s="1307"/>
      <c r="Q51" s="241"/>
      <c r="R51" s="1283"/>
      <c r="S51" s="1306"/>
      <c r="U51" s="1304"/>
      <c r="V51" s="1304"/>
      <c r="W51" s="1304"/>
      <c r="X51" s="115"/>
      <c r="Y51" s="1305"/>
      <c r="Z51" s="1305"/>
      <c r="AA51" s="1305"/>
    </row>
    <row r="52" spans="1:27" ht="17.399999999999999" x14ac:dyDescent="0.25">
      <c r="A52" s="1267"/>
      <c r="B52" s="642" t="s">
        <v>64</v>
      </c>
      <c r="C52" s="635">
        <v>120</v>
      </c>
      <c r="D52" s="770" t="s">
        <v>452</v>
      </c>
      <c r="E52" s="1276" t="s">
        <v>451</v>
      </c>
      <c r="F52" s="1276"/>
      <c r="G52" s="1276"/>
      <c r="H52" s="242"/>
      <c r="I52" s="644"/>
      <c r="J52" s="644"/>
      <c r="K52" s="644"/>
      <c r="L52" s="644"/>
      <c r="M52" s="1307"/>
      <c r="N52" s="1307"/>
      <c r="Q52" s="243"/>
      <c r="R52" s="1283"/>
      <c r="S52" s="1306"/>
      <c r="U52" s="1304"/>
      <c r="V52" s="1304"/>
      <c r="W52" s="1304"/>
      <c r="X52" s="115"/>
      <c r="Y52" s="1305"/>
      <c r="Z52" s="1305"/>
      <c r="AA52" s="1305"/>
    </row>
    <row r="53" spans="1:27" ht="16.8" x14ac:dyDescent="0.25">
      <c r="A53" s="1266">
        <v>3</v>
      </c>
      <c r="B53" s="633" t="s">
        <v>60</v>
      </c>
      <c r="C53" s="635">
        <v>80</v>
      </c>
      <c r="D53" s="635">
        <v>120</v>
      </c>
      <c r="E53" s="1277">
        <v>120</v>
      </c>
      <c r="F53" s="1277"/>
      <c r="G53" s="1277"/>
      <c r="H53" s="242" t="s">
        <v>61</v>
      </c>
      <c r="I53" s="644" t="s">
        <v>61</v>
      </c>
      <c r="J53" s="644" t="s">
        <v>61</v>
      </c>
      <c r="K53" s="644" t="s">
        <v>61</v>
      </c>
      <c r="L53" s="644" t="s">
        <v>61</v>
      </c>
      <c r="M53" s="1307"/>
      <c r="N53" s="1307"/>
      <c r="Q53" s="241"/>
      <c r="R53" s="1283"/>
      <c r="S53" s="1306"/>
      <c r="U53" s="1305"/>
      <c r="V53" s="1305"/>
      <c r="W53" s="1305"/>
      <c r="X53" s="115"/>
      <c r="Y53" s="1305"/>
      <c r="Z53" s="1305"/>
      <c r="AA53" s="1305"/>
    </row>
    <row r="54" spans="1:27" ht="16.8" x14ac:dyDescent="0.25">
      <c r="A54" s="1278"/>
      <c r="B54" s="632" t="s">
        <v>63</v>
      </c>
      <c r="C54" s="635">
        <v>50</v>
      </c>
      <c r="D54" s="635">
        <v>80</v>
      </c>
      <c r="E54" s="1277">
        <v>80</v>
      </c>
      <c r="F54" s="1277"/>
      <c r="G54" s="1277"/>
      <c r="H54" s="242" t="s">
        <v>61</v>
      </c>
      <c r="I54" s="644" t="s">
        <v>61</v>
      </c>
      <c r="J54" s="644" t="s">
        <v>61</v>
      </c>
      <c r="K54" s="644" t="s">
        <v>61</v>
      </c>
      <c r="L54" s="644" t="s">
        <v>61</v>
      </c>
      <c r="M54" s="1307"/>
      <c r="N54" s="1307"/>
      <c r="Q54" s="241"/>
      <c r="R54" s="1283"/>
      <c r="S54" s="1306"/>
      <c r="U54" s="1305"/>
      <c r="V54" s="1305"/>
      <c r="W54" s="1305"/>
      <c r="X54" s="115"/>
      <c r="Y54" s="1305"/>
      <c r="Z54" s="1305"/>
      <c r="AA54" s="1305"/>
    </row>
    <row r="55" spans="1:27" ht="17.399999999999999" x14ac:dyDescent="0.25">
      <c r="A55" s="1267"/>
      <c r="B55" s="642" t="s">
        <v>64</v>
      </c>
      <c r="C55" s="635">
        <v>120</v>
      </c>
      <c r="D55" s="770" t="s">
        <v>452</v>
      </c>
      <c r="E55" s="1276" t="s">
        <v>451</v>
      </c>
      <c r="F55" s="1276"/>
      <c r="G55" s="1276"/>
      <c r="H55" s="242"/>
      <c r="I55" s="644"/>
      <c r="J55" s="644"/>
      <c r="K55" s="644"/>
      <c r="L55" s="644"/>
      <c r="M55" s="1307"/>
      <c r="N55" s="1307"/>
      <c r="Q55" s="243"/>
      <c r="R55" s="1283"/>
      <c r="S55" s="1306"/>
      <c r="U55" s="1305"/>
      <c r="V55" s="1305"/>
      <c r="W55" s="1305"/>
      <c r="X55" s="115"/>
      <c r="Y55" s="1305"/>
      <c r="Z55" s="1305"/>
      <c r="AA55" s="1305"/>
    </row>
    <row r="56" spans="1:27" ht="16.8" x14ac:dyDescent="0.25">
      <c r="A56" s="1266">
        <v>4</v>
      </c>
      <c r="B56" s="633" t="s">
        <v>60</v>
      </c>
      <c r="C56" s="469">
        <v>100</v>
      </c>
      <c r="D56" s="469">
        <v>150</v>
      </c>
      <c r="E56" s="1277">
        <v>150</v>
      </c>
      <c r="F56" s="1277"/>
      <c r="G56" s="1277"/>
      <c r="H56" s="242" t="s">
        <v>61</v>
      </c>
      <c r="I56" s="644" t="s">
        <v>61</v>
      </c>
      <c r="J56" s="644" t="s">
        <v>61</v>
      </c>
      <c r="K56" s="644" t="s">
        <v>61</v>
      </c>
      <c r="L56" s="644" t="s">
        <v>61</v>
      </c>
      <c r="M56" s="1307"/>
      <c r="N56" s="1307"/>
      <c r="Q56" s="241"/>
      <c r="R56" s="244"/>
      <c r="S56" s="1306"/>
      <c r="U56" s="1305"/>
      <c r="V56" s="1305"/>
      <c r="W56" s="1305"/>
      <c r="X56" s="115"/>
      <c r="Y56" s="1305"/>
      <c r="Z56" s="1305"/>
      <c r="AA56" s="1305"/>
    </row>
    <row r="57" spans="1:27" ht="16.8" x14ac:dyDescent="0.25">
      <c r="A57" s="1278"/>
      <c r="B57" s="632" t="s">
        <v>63</v>
      </c>
      <c r="C57" s="469">
        <v>70</v>
      </c>
      <c r="D57" s="469">
        <v>100</v>
      </c>
      <c r="E57" s="1277">
        <v>100</v>
      </c>
      <c r="F57" s="1277"/>
      <c r="G57" s="1277"/>
      <c r="H57" s="242" t="s">
        <v>61</v>
      </c>
      <c r="I57" s="644" t="s">
        <v>61</v>
      </c>
      <c r="J57" s="644" t="s">
        <v>61</v>
      </c>
      <c r="K57" s="644" t="s">
        <v>61</v>
      </c>
      <c r="L57" s="644" t="s">
        <v>61</v>
      </c>
      <c r="M57" s="1307"/>
      <c r="N57" s="1307"/>
      <c r="Q57" s="241"/>
      <c r="R57" s="244"/>
      <c r="S57" s="1306"/>
      <c r="U57" s="1305"/>
      <c r="V57" s="1305"/>
      <c r="W57" s="1305"/>
      <c r="X57" s="115"/>
      <c r="Y57" s="1305"/>
      <c r="Z57" s="1305"/>
      <c r="AA57" s="1305"/>
    </row>
    <row r="58" spans="1:27" ht="17.399999999999999" x14ac:dyDescent="0.25">
      <c r="A58" s="1267"/>
      <c r="B58" s="642" t="s">
        <v>64</v>
      </c>
      <c r="C58" s="469">
        <v>120</v>
      </c>
      <c r="D58" s="770" t="s">
        <v>452</v>
      </c>
      <c r="E58" s="1276" t="s">
        <v>451</v>
      </c>
      <c r="F58" s="1276"/>
      <c r="G58" s="1276"/>
      <c r="H58" s="242"/>
      <c r="I58" s="644"/>
      <c r="J58" s="644"/>
      <c r="K58" s="644"/>
      <c r="L58" s="644"/>
      <c r="M58" s="1307"/>
      <c r="N58" s="1307"/>
      <c r="Q58" s="243"/>
      <c r="R58" s="245"/>
      <c r="S58" s="1306"/>
      <c r="U58" s="1305"/>
      <c r="V58" s="1305"/>
      <c r="W58" s="1305"/>
      <c r="X58" s="115"/>
      <c r="Y58" s="1305"/>
      <c r="Z58" s="1305"/>
      <c r="AA58" s="1305"/>
    </row>
    <row r="59" spans="1:27" ht="15.6" x14ac:dyDescent="0.25">
      <c r="A59" s="1266">
        <v>5</v>
      </c>
      <c r="B59" s="1274" t="s">
        <v>60</v>
      </c>
      <c r="C59" s="1273"/>
      <c r="D59" s="1273"/>
      <c r="E59" s="967" t="s">
        <v>65</v>
      </c>
      <c r="F59" s="636" t="s">
        <v>66</v>
      </c>
      <c r="G59" s="967" t="s">
        <v>67</v>
      </c>
      <c r="H59" s="242" t="s">
        <v>61</v>
      </c>
      <c r="I59" s="644" t="s">
        <v>61</v>
      </c>
      <c r="J59" s="644" t="s">
        <v>61</v>
      </c>
      <c r="K59" s="644" t="s">
        <v>61</v>
      </c>
      <c r="L59" s="644" t="s">
        <v>61</v>
      </c>
      <c r="M59" s="1307"/>
      <c r="N59" s="1307"/>
      <c r="P59" s="115"/>
      <c r="Q59" s="241"/>
      <c r="R59" s="246"/>
      <c r="S59" s="1306"/>
      <c r="U59" s="641"/>
      <c r="V59" s="641"/>
      <c r="W59" s="641"/>
      <c r="X59" s="115"/>
      <c r="Y59" s="640"/>
      <c r="Z59" s="640"/>
      <c r="AA59" s="640"/>
    </row>
    <row r="60" spans="1:27" ht="15.6" x14ac:dyDescent="0.25">
      <c r="A60" s="1278"/>
      <c r="B60" s="1272" t="s">
        <v>63</v>
      </c>
      <c r="C60" s="1273"/>
      <c r="D60" s="1273"/>
      <c r="E60" s="967" t="s">
        <v>68</v>
      </c>
      <c r="F60" s="636" t="s">
        <v>69</v>
      </c>
      <c r="G60" s="967" t="s">
        <v>69</v>
      </c>
      <c r="H60" s="242" t="s">
        <v>61</v>
      </c>
      <c r="I60" s="644" t="s">
        <v>61</v>
      </c>
      <c r="J60" s="644" t="s">
        <v>61</v>
      </c>
      <c r="K60" s="644" t="s">
        <v>61</v>
      </c>
      <c r="L60" s="644" t="s">
        <v>61</v>
      </c>
      <c r="M60" s="1307"/>
      <c r="N60" s="1307"/>
      <c r="P60" s="115"/>
      <c r="Q60" s="241"/>
      <c r="R60" s="246"/>
      <c r="S60" s="1306"/>
      <c r="U60" s="641"/>
      <c r="V60" s="641"/>
      <c r="W60" s="641"/>
      <c r="X60" s="115"/>
      <c r="Y60" s="640"/>
      <c r="Z60" s="640"/>
      <c r="AA60" s="640"/>
    </row>
    <row r="61" spans="1:27" ht="15.6" x14ac:dyDescent="0.25">
      <c r="A61" s="1267"/>
      <c r="B61" s="1293" t="s">
        <v>64</v>
      </c>
      <c r="C61" s="1294"/>
      <c r="D61" s="1294"/>
      <c r="E61" s="1276" t="s">
        <v>451</v>
      </c>
      <c r="F61" s="1276"/>
      <c r="G61" s="1276"/>
      <c r="H61" s="247"/>
      <c r="I61" s="645"/>
      <c r="J61" s="645"/>
      <c r="K61" s="645"/>
      <c r="L61" s="645"/>
      <c r="M61" s="1307"/>
      <c r="N61" s="1307"/>
      <c r="Q61" s="243"/>
      <c r="R61" s="244"/>
      <c r="S61" s="1306"/>
      <c r="U61" s="1305"/>
      <c r="V61" s="1305"/>
      <c r="W61" s="1305"/>
      <c r="X61" s="115"/>
      <c r="Y61" s="1304"/>
      <c r="Z61" s="1304"/>
      <c r="AA61" s="1304"/>
    </row>
    <row r="62" spans="1:27" ht="3.75" customHeight="1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48"/>
    </row>
    <row r="63" spans="1:27" x14ac:dyDescent="0.25">
      <c r="A63" s="211"/>
      <c r="B63" s="211" t="s">
        <v>70</v>
      </c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48"/>
    </row>
    <row r="64" spans="1:27" ht="15" customHeight="1" x14ac:dyDescent="0.25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1290" t="s">
        <v>71</v>
      </c>
      <c r="N64" s="1291"/>
      <c r="O64" s="1292"/>
      <c r="P64" s="625"/>
      <c r="Q64" s="211"/>
      <c r="R64" s="211"/>
      <c r="S64" s="248"/>
    </row>
    <row r="65" spans="1:19" ht="15" customHeight="1" x14ac:dyDescent="0.25">
      <c r="A65" s="1323" t="s">
        <v>39</v>
      </c>
      <c r="B65" s="1323" t="s">
        <v>23</v>
      </c>
      <c r="C65" s="1268" t="s">
        <v>72</v>
      </c>
      <c r="D65" s="1268" t="s">
        <v>73</v>
      </c>
      <c r="E65" s="1268" t="s">
        <v>74</v>
      </c>
      <c r="F65" s="1268"/>
      <c r="G65" s="1284" t="s">
        <v>75</v>
      </c>
      <c r="H65" s="1285"/>
      <c r="I65" s="1286"/>
      <c r="J65" s="1268" t="s">
        <v>76</v>
      </c>
      <c r="K65" s="1268"/>
      <c r="L65" s="646"/>
      <c r="M65" s="465" t="s">
        <v>77</v>
      </c>
      <c r="N65" s="465" t="s">
        <v>78</v>
      </c>
      <c r="O65" s="465" t="s">
        <v>79</v>
      </c>
      <c r="P65" s="626"/>
      <c r="Q65" s="211"/>
      <c r="R65" s="211"/>
      <c r="S65" s="248"/>
    </row>
    <row r="66" spans="1:19" ht="15" customHeight="1" x14ac:dyDescent="0.25">
      <c r="A66" s="1323"/>
      <c r="B66" s="1323"/>
      <c r="C66" s="1268"/>
      <c r="D66" s="1268"/>
      <c r="E66" s="1268"/>
      <c r="F66" s="1268"/>
      <c r="G66" s="1287"/>
      <c r="H66" s="1288"/>
      <c r="I66" s="1289"/>
      <c r="J66" s="1268"/>
      <c r="K66" s="1268"/>
      <c r="L66" s="646"/>
      <c r="M66" s="359">
        <v>25</v>
      </c>
      <c r="N66" s="359">
        <v>25</v>
      </c>
      <c r="O66" s="360">
        <v>20</v>
      </c>
      <c r="P66" s="627"/>
      <c r="Q66" s="211"/>
      <c r="R66" s="211"/>
      <c r="S66" s="248"/>
    </row>
    <row r="67" spans="1:19" ht="33" customHeight="1" x14ac:dyDescent="0.25">
      <c r="A67" s="1323"/>
      <c r="B67" s="1323"/>
      <c r="C67" s="1268"/>
      <c r="D67" s="1268"/>
      <c r="E67" s="1268"/>
      <c r="F67" s="1268"/>
      <c r="G67" s="648">
        <v>1</v>
      </c>
      <c r="H67" s="648">
        <v>2</v>
      </c>
      <c r="I67" s="648">
        <v>3</v>
      </c>
      <c r="J67" s="1268"/>
      <c r="K67" s="1268"/>
      <c r="L67" s="646"/>
      <c r="M67" s="359">
        <v>25</v>
      </c>
      <c r="N67" s="359">
        <v>25</v>
      </c>
      <c r="O67" s="360">
        <v>20</v>
      </c>
      <c r="P67" s="627"/>
      <c r="Q67" s="211"/>
      <c r="R67" s="211"/>
      <c r="S67" s="248"/>
    </row>
    <row r="68" spans="1:19" ht="15.75" customHeight="1" x14ac:dyDescent="0.25">
      <c r="A68" s="1323">
        <v>1</v>
      </c>
      <c r="B68" s="1316" t="s">
        <v>80</v>
      </c>
      <c r="C68" s="1315">
        <v>60</v>
      </c>
      <c r="D68" s="1319">
        <v>120</v>
      </c>
      <c r="E68" s="1276">
        <v>80</v>
      </c>
      <c r="F68" s="1276"/>
      <c r="G68" s="1295" t="s">
        <v>61</v>
      </c>
      <c r="H68" s="1295" t="s">
        <v>61</v>
      </c>
      <c r="I68" s="1295" t="s">
        <v>61</v>
      </c>
      <c r="J68" s="1323" t="s">
        <v>81</v>
      </c>
      <c r="K68" s="1323"/>
      <c r="L68" s="679"/>
      <c r="M68" s="359">
        <v>25</v>
      </c>
      <c r="N68" s="359">
        <v>25</v>
      </c>
      <c r="O68" s="360">
        <v>20</v>
      </c>
      <c r="P68" s="627"/>
      <c r="Q68" s="211"/>
      <c r="R68" s="211"/>
      <c r="S68" s="248"/>
    </row>
    <row r="69" spans="1:19" ht="15.75" customHeight="1" x14ac:dyDescent="0.25">
      <c r="A69" s="1323"/>
      <c r="B69" s="1317"/>
      <c r="C69" s="1315"/>
      <c r="D69" s="1320"/>
      <c r="E69" s="1276"/>
      <c r="F69" s="1276"/>
      <c r="G69" s="1296"/>
      <c r="H69" s="1296"/>
      <c r="I69" s="1296"/>
      <c r="J69" s="1323"/>
      <c r="K69" s="1323"/>
      <c r="L69" s="679"/>
      <c r="M69" s="359">
        <v>25</v>
      </c>
      <c r="N69" s="359">
        <v>25</v>
      </c>
      <c r="O69" s="360">
        <v>20</v>
      </c>
      <c r="P69" s="627"/>
      <c r="Q69" s="211"/>
      <c r="R69" s="211"/>
      <c r="S69" s="248"/>
    </row>
    <row r="70" spans="1:19" ht="15" customHeight="1" x14ac:dyDescent="0.25">
      <c r="A70" s="1323">
        <v>2</v>
      </c>
      <c r="B70" s="1317"/>
      <c r="C70" s="1315">
        <v>120</v>
      </c>
      <c r="D70" s="1319">
        <v>120</v>
      </c>
      <c r="E70" s="1276">
        <v>80</v>
      </c>
      <c r="F70" s="1276"/>
      <c r="G70" s="1296" t="s">
        <v>61</v>
      </c>
      <c r="H70" s="1296" t="s">
        <v>61</v>
      </c>
      <c r="I70" s="1296" t="s">
        <v>61</v>
      </c>
      <c r="J70" s="1323"/>
      <c r="K70" s="1323"/>
      <c r="L70" s="679"/>
      <c r="M70" s="468" t="s">
        <v>82</v>
      </c>
      <c r="N70" s="467" t="s">
        <v>82</v>
      </c>
      <c r="O70" s="466">
        <v>20</v>
      </c>
      <c r="P70" s="627"/>
      <c r="Q70" s="211"/>
      <c r="R70" s="211"/>
      <c r="S70" s="248"/>
    </row>
    <row r="71" spans="1:19" ht="15" customHeight="1" x14ac:dyDescent="0.25">
      <c r="A71" s="1323"/>
      <c r="B71" s="1317"/>
      <c r="C71" s="1315"/>
      <c r="D71" s="1320"/>
      <c r="E71" s="1276"/>
      <c r="F71" s="1276"/>
      <c r="G71" s="1296"/>
      <c r="H71" s="1296"/>
      <c r="I71" s="1296"/>
      <c r="J71" s="1323"/>
      <c r="K71" s="1323"/>
      <c r="L71" s="679"/>
      <c r="M71" s="211"/>
      <c r="N71" s="211"/>
      <c r="O71" s="468" t="s">
        <v>82</v>
      </c>
      <c r="P71" s="678"/>
      <c r="Q71" s="211"/>
      <c r="R71" s="211"/>
      <c r="S71" s="248"/>
    </row>
    <row r="72" spans="1:19" ht="15" customHeight="1" x14ac:dyDescent="0.25">
      <c r="A72" s="1323">
        <v>3</v>
      </c>
      <c r="B72" s="1317"/>
      <c r="C72" s="1315">
        <v>180</v>
      </c>
      <c r="D72" s="1319">
        <v>120</v>
      </c>
      <c r="E72" s="1276">
        <v>80</v>
      </c>
      <c r="F72" s="1276"/>
      <c r="G72" s="1296" t="s">
        <v>61</v>
      </c>
      <c r="H72" s="1296" t="s">
        <v>61</v>
      </c>
      <c r="I72" s="1296" t="s">
        <v>61</v>
      </c>
      <c r="J72" s="1323"/>
      <c r="K72" s="1323"/>
      <c r="L72" s="679"/>
      <c r="M72" s="211"/>
      <c r="N72" s="211"/>
      <c r="O72" s="211"/>
      <c r="P72" s="211"/>
      <c r="Q72" s="211"/>
      <c r="R72" s="211"/>
      <c r="S72" s="248"/>
    </row>
    <row r="73" spans="1:19" ht="15" customHeight="1" x14ac:dyDescent="0.25">
      <c r="A73" s="1323"/>
      <c r="B73" s="1318"/>
      <c r="C73" s="1315"/>
      <c r="D73" s="1320"/>
      <c r="E73" s="1276"/>
      <c r="F73" s="1276"/>
      <c r="G73" s="1321"/>
      <c r="H73" s="1321"/>
      <c r="I73" s="1321"/>
      <c r="J73" s="1323"/>
      <c r="K73" s="1323"/>
      <c r="L73" s="679"/>
      <c r="M73" s="211"/>
      <c r="N73" s="211"/>
      <c r="O73" s="211"/>
      <c r="P73" s="211"/>
      <c r="Q73" s="211"/>
      <c r="R73" s="211"/>
      <c r="S73" s="248"/>
    </row>
    <row r="74" spans="1:19" hidden="1" x14ac:dyDescent="0.25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</row>
    <row r="75" spans="1:19" hidden="1" x14ac:dyDescent="0.25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</row>
    <row r="76" spans="1:19" hidden="1" x14ac:dyDescent="0.25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</row>
    <row r="77" spans="1:19" hidden="1" x14ac:dyDescent="0.25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</row>
    <row r="78" spans="1:19" hidden="1" x14ac:dyDescent="0.25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</row>
    <row r="79" spans="1:19" s="112" customFormat="1" x14ac:dyDescent="0.25">
      <c r="A79" s="202" t="s">
        <v>83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</row>
    <row r="80" spans="1:19" s="112" customFormat="1" ht="15.6" x14ac:dyDescent="0.25">
      <c r="A80" s="144" t="s">
        <v>84</v>
      </c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202"/>
      <c r="O80" s="202"/>
      <c r="P80" s="202"/>
      <c r="Q80" s="202"/>
      <c r="R80" s="202"/>
      <c r="S80" s="202"/>
    </row>
    <row r="81" spans="1:20" s="112" customFormat="1" ht="15.6" x14ac:dyDescent="0.25">
      <c r="A81" s="144" t="s">
        <v>85</v>
      </c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</row>
    <row r="82" spans="1:20" s="112" customFormat="1" ht="15.6" x14ac:dyDescent="0.25">
      <c r="A82" s="144" t="s">
        <v>86</v>
      </c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202"/>
      <c r="O82" s="202"/>
      <c r="P82" s="202"/>
      <c r="Q82" s="202"/>
      <c r="R82" s="202"/>
      <c r="S82" s="202"/>
    </row>
    <row r="83" spans="1:20" s="112" customFormat="1" ht="15.6" x14ac:dyDescent="0.25">
      <c r="A83" s="144" t="s">
        <v>87</v>
      </c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</row>
    <row r="84" spans="1:20" s="112" customFormat="1" x14ac:dyDescent="0.25">
      <c r="A84" s="202">
        <v>1</v>
      </c>
      <c r="B84" s="202" t="s">
        <v>88</v>
      </c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202"/>
      <c r="O84" s="202"/>
      <c r="P84" s="202"/>
      <c r="Q84" s="202"/>
      <c r="R84" s="202"/>
      <c r="S84" s="202"/>
    </row>
    <row r="85" spans="1:20" s="112" customFormat="1" x14ac:dyDescent="0.25">
      <c r="A85" s="202">
        <v>2</v>
      </c>
      <c r="B85" s="202" t="s">
        <v>88</v>
      </c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202"/>
      <c r="O85" s="202"/>
      <c r="P85" s="211"/>
      <c r="Q85" s="202"/>
      <c r="R85" s="250"/>
      <c r="S85" s="202"/>
    </row>
    <row r="86" spans="1:20" s="112" customFormat="1" ht="3" customHeight="1" x14ac:dyDescent="0.2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193"/>
    </row>
    <row r="87" spans="1:20" s="112" customFormat="1" x14ac:dyDescent="0.2">
      <c r="A87" s="638" t="s">
        <v>89</v>
      </c>
      <c r="B87" s="202"/>
      <c r="C87" s="202"/>
      <c r="D87" s="251"/>
      <c r="E87" s="202"/>
      <c r="F87" s="202"/>
      <c r="G87" s="202"/>
      <c r="H87" s="202"/>
      <c r="I87" s="202"/>
      <c r="J87" s="202"/>
      <c r="K87" s="202"/>
      <c r="L87" s="202"/>
      <c r="M87" s="202"/>
      <c r="N87" s="202"/>
      <c r="O87" s="202"/>
      <c r="P87" s="202"/>
      <c r="Q87" s="202"/>
      <c r="R87" s="202"/>
      <c r="S87" s="202"/>
      <c r="T87" s="193"/>
    </row>
    <row r="88" spans="1:20" s="112" customFormat="1" ht="17.399999999999999" x14ac:dyDescent="0.25">
      <c r="A88" s="252" t="s">
        <v>90</v>
      </c>
      <c r="B88" s="202"/>
      <c r="C88" s="253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193"/>
    </row>
    <row r="89" spans="1:20" x14ac:dyDescent="0.25">
      <c r="A89" s="252" t="s">
        <v>91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54" t="s">
        <v>92</v>
      </c>
      <c r="Q89" s="211"/>
      <c r="R89" s="211"/>
      <c r="S89" s="211"/>
      <c r="T89" s="193"/>
    </row>
    <row r="90" spans="1:20" x14ac:dyDescent="0.25">
      <c r="A90" s="252" t="s">
        <v>450</v>
      </c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55"/>
      <c r="Q90" s="211"/>
      <c r="R90" s="211"/>
      <c r="S90" s="211"/>
      <c r="T90" s="193"/>
    </row>
    <row r="91" spans="1:20" x14ac:dyDescent="0.25">
      <c r="A91" s="256" t="s">
        <v>93</v>
      </c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57"/>
      <c r="Q91" s="211"/>
      <c r="R91" s="211"/>
      <c r="S91" s="211"/>
      <c r="T91" s="193"/>
    </row>
    <row r="92" spans="1:20" x14ac:dyDescent="0.25">
      <c r="A92" s="256" t="s">
        <v>94</v>
      </c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28"/>
      <c r="Q92" s="211"/>
      <c r="R92" s="211"/>
      <c r="S92" s="211"/>
      <c r="T92" s="193"/>
    </row>
    <row r="93" spans="1:20" x14ac:dyDescent="0.25">
      <c r="A93" s="256" t="s">
        <v>95</v>
      </c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193"/>
    </row>
    <row r="94" spans="1:20" x14ac:dyDescent="0.25">
      <c r="A94" s="256" t="s">
        <v>96</v>
      </c>
      <c r="B94" s="256"/>
      <c r="C94" s="256"/>
      <c r="D94" s="256"/>
      <c r="E94" s="256"/>
      <c r="F94" s="256"/>
      <c r="G94" s="256"/>
      <c r="H94" s="256"/>
      <c r="I94" s="256"/>
      <c r="J94" s="256"/>
      <c r="K94" s="256"/>
      <c r="L94" s="256"/>
      <c r="M94" s="256"/>
      <c r="N94" s="256"/>
      <c r="O94" s="256"/>
      <c r="P94" s="256"/>
      <c r="Q94" s="256"/>
      <c r="R94" s="256"/>
      <c r="S94" s="211"/>
      <c r="T94" s="193"/>
    </row>
    <row r="95" spans="1:20" x14ac:dyDescent="0.25">
      <c r="A95" s="252" t="s">
        <v>97</v>
      </c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193"/>
    </row>
    <row r="96" spans="1:20" x14ac:dyDescent="0.25">
      <c r="A96" s="252" t="s">
        <v>98</v>
      </c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7"/>
      <c r="N96" s="217"/>
      <c r="O96" s="217"/>
      <c r="P96" s="217"/>
      <c r="Q96" s="211"/>
      <c r="R96" s="211"/>
      <c r="S96" s="211"/>
      <c r="T96" s="193"/>
    </row>
    <row r="97" spans="1:19" x14ac:dyDescent="0.25">
      <c r="A97" s="256" t="s">
        <v>99</v>
      </c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7"/>
      <c r="N97" s="217"/>
      <c r="O97" s="217"/>
      <c r="P97" s="217"/>
      <c r="Q97" s="211"/>
      <c r="R97" s="211"/>
      <c r="S97" s="211"/>
    </row>
    <row r="98" spans="1:19" x14ac:dyDescent="0.25">
      <c r="N98" s="115"/>
      <c r="O98" s="115"/>
      <c r="P98" s="115"/>
      <c r="Q98" s="115"/>
    </row>
    <row r="111" spans="1:19" x14ac:dyDescent="0.25">
      <c r="B111" s="109" t="s">
        <v>92</v>
      </c>
    </row>
  </sheetData>
  <mergeCells count="130">
    <mergeCell ref="E22:G23"/>
    <mergeCell ref="J37:K37"/>
    <mergeCell ref="L37:M37"/>
    <mergeCell ref="J68:K73"/>
    <mergeCell ref="A50:A52"/>
    <mergeCell ref="E55:G55"/>
    <mergeCell ref="L34:M34"/>
    <mergeCell ref="A65:A67"/>
    <mergeCell ref="S29:S30"/>
    <mergeCell ref="S35:S39"/>
    <mergeCell ref="R38:R39"/>
    <mergeCell ref="L39:M39"/>
    <mergeCell ref="L38:M38"/>
    <mergeCell ref="J39:K39"/>
    <mergeCell ref="J38:K38"/>
    <mergeCell ref="J36:K36"/>
    <mergeCell ref="J35:K35"/>
    <mergeCell ref="B65:B67"/>
    <mergeCell ref="A68:A69"/>
    <mergeCell ref="D65:D67"/>
    <mergeCell ref="I72:I73"/>
    <mergeCell ref="A53:A55"/>
    <mergeCell ref="A70:A71"/>
    <mergeCell ref="A72:A73"/>
    <mergeCell ref="I70:I71"/>
    <mergeCell ref="C68:C69"/>
    <mergeCell ref="B68:B73"/>
    <mergeCell ref="D68:D69"/>
    <mergeCell ref="D70:D71"/>
    <mergeCell ref="D72:D73"/>
    <mergeCell ref="G68:G69"/>
    <mergeCell ref="H68:H69"/>
    <mergeCell ref="G70:G71"/>
    <mergeCell ref="H70:H71"/>
    <mergeCell ref="G72:G73"/>
    <mergeCell ref="H72:H73"/>
    <mergeCell ref="C72:C73"/>
    <mergeCell ref="C70:C71"/>
    <mergeCell ref="E72:F73"/>
    <mergeCell ref="E70:F71"/>
    <mergeCell ref="S44:S61"/>
    <mergeCell ref="E54:G54"/>
    <mergeCell ref="E53:G53"/>
    <mergeCell ref="M47:N61"/>
    <mergeCell ref="M44:N46"/>
    <mergeCell ref="E47:G47"/>
    <mergeCell ref="Y55:AA55"/>
    <mergeCell ref="Y56:AA56"/>
    <mergeCell ref="Y57:AA57"/>
    <mergeCell ref="U56:W56"/>
    <mergeCell ref="U57:W57"/>
    <mergeCell ref="U58:W58"/>
    <mergeCell ref="U61:W61"/>
    <mergeCell ref="E49:G49"/>
    <mergeCell ref="E48:G48"/>
    <mergeCell ref="C44:G44"/>
    <mergeCell ref="H44:L45"/>
    <mergeCell ref="C45:C46"/>
    <mergeCell ref="E45:G46"/>
    <mergeCell ref="D45:D46"/>
    <mergeCell ref="E52:G52"/>
    <mergeCell ref="U45:W46"/>
    <mergeCell ref="U47:W47"/>
    <mergeCell ref="U48:W48"/>
    <mergeCell ref="U49:W49"/>
    <mergeCell ref="U50:W50"/>
    <mergeCell ref="Y58:AA58"/>
    <mergeCell ref="Y61:AA61"/>
    <mergeCell ref="U51:W51"/>
    <mergeCell ref="U52:W52"/>
    <mergeCell ref="U53:W53"/>
    <mergeCell ref="U54:W54"/>
    <mergeCell ref="U55:W55"/>
    <mergeCell ref="Y45:AA46"/>
    <mergeCell ref="Y47:AA47"/>
    <mergeCell ref="Y48:AA48"/>
    <mergeCell ref="Y49:AA49"/>
    <mergeCell ref="Y50:AA50"/>
    <mergeCell ref="Y51:AA51"/>
    <mergeCell ref="Y52:AA52"/>
    <mergeCell ref="Y53:AA53"/>
    <mergeCell ref="Y54:AA54"/>
    <mergeCell ref="B22:B23"/>
    <mergeCell ref="A44:A46"/>
    <mergeCell ref="E68:F69"/>
    <mergeCell ref="G65:I66"/>
    <mergeCell ref="C65:C67"/>
    <mergeCell ref="R50:R52"/>
    <mergeCell ref="R53:R55"/>
    <mergeCell ref="E51:G51"/>
    <mergeCell ref="E50:G50"/>
    <mergeCell ref="M64:O64"/>
    <mergeCell ref="E56:G56"/>
    <mergeCell ref="B61:D61"/>
    <mergeCell ref="I68:I69"/>
    <mergeCell ref="E65:F67"/>
    <mergeCell ref="E24:G24"/>
    <mergeCell ref="E25:G25"/>
    <mergeCell ref="C22:D23"/>
    <mergeCell ref="C24:D24"/>
    <mergeCell ref="C25:D25"/>
    <mergeCell ref="C26:D26"/>
    <mergeCell ref="L35:M35"/>
    <mergeCell ref="L36:M36"/>
    <mergeCell ref="J34:K34"/>
    <mergeCell ref="B34:I34"/>
    <mergeCell ref="A36:A37"/>
    <mergeCell ref="A38:A39"/>
    <mergeCell ref="J65:K67"/>
    <mergeCell ref="A3:S3"/>
    <mergeCell ref="M2:S2"/>
    <mergeCell ref="B60:D60"/>
    <mergeCell ref="B59:D59"/>
    <mergeCell ref="E26:G26"/>
    <mergeCell ref="E58:G58"/>
    <mergeCell ref="E57:G57"/>
    <mergeCell ref="A47:A49"/>
    <mergeCell ref="A59:A61"/>
    <mergeCell ref="E61:G61"/>
    <mergeCell ref="A56:A58"/>
    <mergeCell ref="R44:R46"/>
    <mergeCell ref="A4:S4"/>
    <mergeCell ref="D16:H16"/>
    <mergeCell ref="B44:B46"/>
    <mergeCell ref="H22:H23"/>
    <mergeCell ref="D17:H17"/>
    <mergeCell ref="D18:H18"/>
    <mergeCell ref="R47:R49"/>
    <mergeCell ref="L22:L23"/>
    <mergeCell ref="K22:K23"/>
  </mergeCells>
  <dataValidations count="2">
    <dataValidation type="list" allowBlank="1" showInputMessage="1" showErrorMessage="1" sqref="S13:S14 K13:K14" xr:uid="{00000000-0002-0000-0000-000000000000}">
      <formula1>#REF!</formula1>
    </dataValidation>
    <dataValidation type="list" allowBlank="1" showInputMessage="1" sqref="D16" xr:uid="{00000000-0002-0000-0000-000001000000}">
      <formula1>#REF!</formula1>
    </dataValidation>
  </dataValidations>
  <printOptions horizontalCentered="1"/>
  <pageMargins left="0.23622047244094491" right="0.11811023622047245" top="0.11811023622047245" bottom="0.15748031496062992" header="0.23622047244094491" footer="0.23622047244094491"/>
  <pageSetup paperSize="9" scale="57" orientation="portrait" horizontalDpi="4294967293" r:id="rId1"/>
  <headerFooter>
    <oddHeader xml:space="preserve">&amp;R&amp;"Calibri,Regular"&amp;8
</oddHeader>
    <oddFooter>&amp;R&amp;8&amp;K00-014Software BPM 2018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2000000}">
          <x14:formula1>
            <xm:f>KESIMPULAN!$F$8:$F$9</xm:f>
          </x14:formula1>
          <xm:sqref>T4:T6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B2:S100"/>
  <sheetViews>
    <sheetView workbookViewId="0">
      <pane xSplit="3" topLeftCell="I1" activePane="topRight" state="frozen"/>
      <selection activeCell="G141" sqref="G141"/>
      <selection pane="topRight" activeCell="O27" sqref="O27"/>
    </sheetView>
  </sheetViews>
  <sheetFormatPr defaultRowHeight="13.2" x14ac:dyDescent="0.25"/>
  <cols>
    <col min="6" max="6" width="64.6640625" customWidth="1"/>
    <col min="7" max="7" width="58" customWidth="1"/>
    <col min="15" max="15" width="11.5546875" bestFit="1" customWidth="1"/>
    <col min="17" max="17" width="93.6640625" customWidth="1"/>
    <col min="19" max="19" width="77.109375" customWidth="1"/>
  </cols>
  <sheetData>
    <row r="2" spans="2:19" x14ac:dyDescent="0.25">
      <c r="M2" s="11"/>
      <c r="N2" s="11"/>
      <c r="O2" s="11"/>
      <c r="P2" s="11"/>
      <c r="Q2" s="11"/>
      <c r="R2" s="11"/>
      <c r="S2" s="12" t="s">
        <v>304</v>
      </c>
    </row>
    <row r="3" spans="2:19" x14ac:dyDescent="0.25">
      <c r="M3" s="11"/>
      <c r="N3" s="11"/>
      <c r="O3" s="11"/>
      <c r="P3" s="11"/>
      <c r="Q3" s="11"/>
      <c r="R3" s="11"/>
      <c r="S3" s="29" t="s">
        <v>280</v>
      </c>
    </row>
    <row r="4" spans="2:19" x14ac:dyDescent="0.25">
      <c r="M4" s="11"/>
      <c r="N4" s="11"/>
      <c r="O4" s="11"/>
      <c r="P4" s="11"/>
      <c r="Q4" s="11"/>
      <c r="R4" s="11"/>
      <c r="S4" s="29" t="s">
        <v>282</v>
      </c>
    </row>
    <row r="5" spans="2:19" x14ac:dyDescent="0.25">
      <c r="M5" s="11"/>
      <c r="N5" s="11"/>
      <c r="O5" s="11"/>
      <c r="P5" s="11"/>
      <c r="Q5" s="11"/>
      <c r="R5" s="11"/>
      <c r="S5" s="29" t="s">
        <v>284</v>
      </c>
    </row>
    <row r="6" spans="2:19" x14ac:dyDescent="0.25">
      <c r="M6" s="11"/>
      <c r="N6" s="11"/>
      <c r="O6" s="11"/>
      <c r="P6" s="11"/>
      <c r="Q6" s="11"/>
      <c r="R6" s="11"/>
      <c r="S6" s="29" t="s">
        <v>164</v>
      </c>
    </row>
    <row r="7" spans="2:19" x14ac:dyDescent="0.25">
      <c r="B7" s="475" t="s">
        <v>309</v>
      </c>
      <c r="C7" s="476" t="s">
        <v>310</v>
      </c>
      <c r="D7" s="808" t="s">
        <v>403</v>
      </c>
      <c r="E7" s="809" t="s">
        <v>311</v>
      </c>
      <c r="F7" s="56" t="s">
        <v>312</v>
      </c>
      <c r="G7" s="2" t="s">
        <v>304</v>
      </c>
      <c r="H7" s="30" t="s">
        <v>313</v>
      </c>
      <c r="I7" s="30" t="s">
        <v>314</v>
      </c>
      <c r="J7" s="30" t="s">
        <v>315</v>
      </c>
      <c r="M7" s="476" t="s">
        <v>309</v>
      </c>
      <c r="N7" s="476" t="s">
        <v>310</v>
      </c>
      <c r="O7" s="808" t="s">
        <v>403</v>
      </c>
      <c r="P7" s="477" t="s">
        <v>311</v>
      </c>
      <c r="Q7" s="56" t="s">
        <v>312</v>
      </c>
      <c r="R7" s="11"/>
      <c r="S7" s="29" t="s">
        <v>289</v>
      </c>
    </row>
    <row r="8" spans="2:19" ht="13.8" x14ac:dyDescent="0.25">
      <c r="B8" s="478">
        <v>0</v>
      </c>
      <c r="C8" s="810">
        <v>9.9999999999999995E-7</v>
      </c>
      <c r="D8" s="811">
        <f>1.2%*B8</f>
        <v>0</v>
      </c>
      <c r="E8" s="480" t="s">
        <v>466</v>
      </c>
      <c r="F8" s="481" t="s">
        <v>467</v>
      </c>
      <c r="G8" s="812" t="s">
        <v>280</v>
      </c>
      <c r="H8" s="47">
        <f>ROWS(G$8:$G8)</f>
        <v>1</v>
      </c>
      <c r="I8" s="14" t="str">
        <f>IF(ID!$B$90=G8,H8,"")</f>
        <v/>
      </c>
      <c r="J8" s="14">
        <f>IFERROR(SMALL($I$8:$I$100,ROWS(I$8:$I8)),"")</f>
        <v>29</v>
      </c>
      <c r="M8" s="14">
        <f>IFERROR(INDEX($B$8:$F$100,$J8,COLUMNS(L$8:$L8)),"")</f>
        <v>0</v>
      </c>
      <c r="N8" s="830">
        <f>IFERROR(INDEX($B$8:$F$100,$J8,COLUMNS($L$8:M8)),"")</f>
        <v>9.9999999999999995E-7</v>
      </c>
      <c r="O8" s="830">
        <f>IFERROR(INDEX($B$8:$F$100,$J8,COLUMNS($L$8:N8)),"")</f>
        <v>0</v>
      </c>
      <c r="P8" s="14" t="str">
        <f>IFERROR(INDEX($B$8:$F$100,$J8,COLUMNS($L$8:O8)),"")</f>
        <v>31.5.2021</v>
      </c>
      <c r="Q8" s="14" t="str">
        <f>IFERROR(INDEX($B$8:$F$100,$J8,COLUMNS($L$8:P8)),"")</f>
        <v xml:space="preserve">Hasil pengujian keselamatan listrik tertelusur ke Satuan SI melalui PT. Kaliman </v>
      </c>
      <c r="R8" s="11"/>
      <c r="S8" s="29" t="s">
        <v>292</v>
      </c>
    </row>
    <row r="9" spans="2:19" ht="13.8" x14ac:dyDescent="0.25">
      <c r="B9" s="482">
        <v>150</v>
      </c>
      <c r="C9" s="483">
        <v>0.31</v>
      </c>
      <c r="D9" s="811">
        <f t="shared" ref="D9:D15" si="0">1.2%*B9</f>
        <v>1.8</v>
      </c>
      <c r="E9" s="480"/>
      <c r="F9" s="484"/>
      <c r="G9" s="812" t="s">
        <v>280</v>
      </c>
      <c r="H9" s="47">
        <f>ROWS(G$8:$G9)</f>
        <v>2</v>
      </c>
      <c r="I9" s="14" t="str">
        <f>IF(ID!$B$90=G9,H9,"")</f>
        <v/>
      </c>
      <c r="J9" s="14">
        <f>IFERROR(SMALL($I$8:$I$100,ROWS(I$8:$I9)),"")</f>
        <v>30</v>
      </c>
      <c r="M9" s="14">
        <f>IFERROR(INDEX($B$8:$F$100,$J9,COLUMNS(L$8:$L9)),"")</f>
        <v>150</v>
      </c>
      <c r="N9" s="830">
        <f>IFERROR(INDEX($B$8:$F$100,$J9,COLUMNS($L$8:M9)),"")</f>
        <v>-0.05</v>
      </c>
      <c r="O9" s="830">
        <f>IFERROR(INDEX($B$8:$F$100,$J9,COLUMNS($L$8:N9)),"")</f>
        <v>1.8</v>
      </c>
      <c r="P9" s="14"/>
      <c r="Q9" s="14"/>
      <c r="R9" s="11"/>
      <c r="S9" s="29" t="s">
        <v>293</v>
      </c>
    </row>
    <row r="10" spans="2:19" ht="13.8" x14ac:dyDescent="0.25">
      <c r="B10" s="482">
        <v>180</v>
      </c>
      <c r="C10" s="483">
        <v>0.1</v>
      </c>
      <c r="D10" s="811">
        <f t="shared" si="0"/>
        <v>2.16</v>
      </c>
      <c r="E10" s="480"/>
      <c r="F10" s="484"/>
      <c r="G10" s="812" t="s">
        <v>280</v>
      </c>
      <c r="H10" s="47">
        <f>ROWS(G$8:$G10)</f>
        <v>3</v>
      </c>
      <c r="I10" s="14" t="str">
        <f>IF(ID!$B$90=G10,H10,"")</f>
        <v/>
      </c>
      <c r="J10" s="14">
        <f>IFERROR(SMALL($I$8:$I$100,ROWS(I$8:$I10)),"")</f>
        <v>31</v>
      </c>
      <c r="M10" s="14">
        <f>IFERROR(INDEX($B$8:$F$100,$J10,COLUMNS(L$8:$L10)),"")</f>
        <v>180</v>
      </c>
      <c r="N10" s="830">
        <f>IFERROR(INDEX($B$8:$F$100,$J10,COLUMNS($L$8:M10)),"")</f>
        <v>-0.04</v>
      </c>
      <c r="O10" s="830">
        <f>IFERROR(INDEX($B$8:$F$100,$J10,COLUMNS($L$8:N10)),"")</f>
        <v>2.16</v>
      </c>
      <c r="P10" s="14"/>
      <c r="Q10" s="14"/>
      <c r="R10" s="11"/>
      <c r="S10" s="29" t="s">
        <v>475</v>
      </c>
    </row>
    <row r="11" spans="2:19" ht="13.8" x14ac:dyDescent="0.25">
      <c r="B11" s="486">
        <v>200</v>
      </c>
      <c r="C11" s="483">
        <v>-0.04</v>
      </c>
      <c r="D11" s="811">
        <f t="shared" si="0"/>
        <v>2.4</v>
      </c>
      <c r="E11" s="480"/>
      <c r="F11" s="484"/>
      <c r="G11" s="812" t="s">
        <v>280</v>
      </c>
      <c r="H11" s="47">
        <f>ROWS(G$8:$G11)</f>
        <v>4</v>
      </c>
      <c r="I11" s="14" t="str">
        <f>IF(ID!$B$90=G11,H11,"")</f>
        <v/>
      </c>
      <c r="J11" s="14">
        <f>IFERROR(SMALL($I$8:$I$100,ROWS(I$8:$I11)),"")</f>
        <v>32</v>
      </c>
      <c r="M11" s="14">
        <f>IFERROR(INDEX($B$8:$F$100,$J11,COLUMNS(L$8:$L11)),"")</f>
        <v>200</v>
      </c>
      <c r="N11" s="830">
        <f>IFERROR(INDEX($B$8:$F$100,$J11,COLUMNS($L$8:M11)),"")</f>
        <v>-0.67</v>
      </c>
      <c r="O11" s="830">
        <f>IFERROR(INDEX($B$8:$F$100,$J11,COLUMNS($L$8:N11)),"")</f>
        <v>2.4</v>
      </c>
      <c r="P11" s="14"/>
      <c r="Q11" s="14"/>
      <c r="R11" s="11"/>
      <c r="S11" s="29" t="s">
        <v>476</v>
      </c>
    </row>
    <row r="12" spans="2:19" ht="13.8" x14ac:dyDescent="0.25">
      <c r="B12" s="486">
        <v>220</v>
      </c>
      <c r="C12" s="483">
        <v>-0.28000000000000003</v>
      </c>
      <c r="D12" s="811">
        <f t="shared" si="0"/>
        <v>2.64</v>
      </c>
      <c r="E12" s="480"/>
      <c r="F12" s="484"/>
      <c r="G12" s="812" t="s">
        <v>280</v>
      </c>
      <c r="H12" s="47">
        <f>ROWS(G$8:$G12)</f>
        <v>5</v>
      </c>
      <c r="I12" s="14" t="str">
        <f>IF(ID!$B$90=G12,H12,"")</f>
        <v/>
      </c>
      <c r="J12" s="14">
        <f>IFERROR(SMALL($I$8:$I$100,ROWS(I$8:$I12)),"")</f>
        <v>33</v>
      </c>
      <c r="M12" s="14">
        <f>IFERROR(INDEX($B$8:$F$100,$J12,COLUMNS(L$8:$L12)),"")</f>
        <v>220</v>
      </c>
      <c r="N12" s="830">
        <f>IFERROR(INDEX($B$8:$F$100,$J12,COLUMNS($L$8:M12)),"")</f>
        <v>9.9999999999999995E-7</v>
      </c>
      <c r="O12" s="830">
        <f>IFERROR(INDEX($B$8:$F$100,$J12,COLUMNS($L$8:N12)),"")</f>
        <v>2.64</v>
      </c>
      <c r="P12" s="14"/>
      <c r="Q12" s="14"/>
      <c r="R12" s="11"/>
      <c r="S12" s="812" t="s">
        <v>478</v>
      </c>
    </row>
    <row r="13" spans="2:19" ht="14.4" thickBot="1" x14ac:dyDescent="0.3">
      <c r="B13" s="487">
        <v>230</v>
      </c>
      <c r="C13" s="483">
        <v>-0.2</v>
      </c>
      <c r="D13" s="811">
        <f t="shared" si="0"/>
        <v>2.7600000000000002</v>
      </c>
      <c r="E13" s="480"/>
      <c r="F13" s="484"/>
      <c r="G13" s="812" t="s">
        <v>280</v>
      </c>
      <c r="H13" s="47">
        <f>ROWS(G$8:$G13)</f>
        <v>6</v>
      </c>
      <c r="I13" s="14" t="str">
        <f>IF(ID!$B$90=G13,H13,"")</f>
        <v/>
      </c>
      <c r="J13" s="14">
        <f>IFERROR(SMALL($I$8:$I$100,ROWS(I$8:$I13)),"")</f>
        <v>34</v>
      </c>
      <c r="M13" s="14">
        <f>IFERROR(INDEX($B$8:$F$100,$J13,COLUMNS(L$8:$L13)),"")</f>
        <v>230</v>
      </c>
      <c r="N13" s="830">
        <f>IFERROR(INDEX($B$8:$F$100,$J13,COLUMNS($L$8:M13)),"")</f>
        <v>-0.11</v>
      </c>
      <c r="O13" s="830">
        <f>IFERROR(INDEX($B$8:$F$100,$J13,COLUMNS($L$8:N13)),"")</f>
        <v>2.7600000000000002</v>
      </c>
      <c r="P13" s="14"/>
      <c r="Q13" s="14"/>
      <c r="R13" s="11"/>
      <c r="S13" s="485" t="s">
        <v>2</v>
      </c>
    </row>
    <row r="14" spans="2:19" ht="13.8" x14ac:dyDescent="0.25">
      <c r="B14" s="813">
        <v>240</v>
      </c>
      <c r="C14" s="814">
        <v>-0.32</v>
      </c>
      <c r="D14" s="811">
        <f t="shared" si="0"/>
        <v>2.88</v>
      </c>
      <c r="E14" s="480"/>
      <c r="F14" s="484"/>
      <c r="G14" s="812" t="s">
        <v>280</v>
      </c>
      <c r="H14" s="47">
        <f>ROWS(G$8:$G14)</f>
        <v>7</v>
      </c>
      <c r="I14" s="14" t="str">
        <f>IF(ID!$B$90=G14,H14,"")</f>
        <v/>
      </c>
      <c r="J14" s="14">
        <f>IFERROR(SMALL($I$8:$I$100,ROWS(I$8:$I14)),"")</f>
        <v>35</v>
      </c>
      <c r="M14" s="14">
        <f>IFERROR(INDEX($B$8:$F$100,$J14,COLUMNS(L$8:$L14)),"")</f>
        <v>250</v>
      </c>
      <c r="N14" s="830">
        <f>IFERROR(INDEX($B$8:$F$100,$J14,COLUMNS($L$8:M14)),"")</f>
        <v>-0.11</v>
      </c>
      <c r="O14" s="830">
        <f>IFERROR(INDEX($B$8:$F$100,$J14,COLUMNS($L$8:N14)),"")</f>
        <v>3</v>
      </c>
      <c r="P14" s="14"/>
      <c r="Q14" s="14"/>
      <c r="R14" s="11"/>
      <c r="S14" s="485" t="s">
        <v>2</v>
      </c>
    </row>
    <row r="15" spans="2:19" x14ac:dyDescent="0.25">
      <c r="B15" s="488">
        <v>250</v>
      </c>
      <c r="C15" s="489">
        <f>C14</f>
        <v>-0.32</v>
      </c>
      <c r="D15" s="811">
        <f t="shared" si="0"/>
        <v>3</v>
      </c>
      <c r="E15" s="480"/>
      <c r="F15" s="815"/>
      <c r="G15" s="816" t="s">
        <v>280</v>
      </c>
      <c r="H15" s="47">
        <f>ROWS(G$8:$G15)</f>
        <v>8</v>
      </c>
      <c r="I15" s="14" t="str">
        <f>IF(ID!$B$90=G15,H15,"")</f>
        <v/>
      </c>
      <c r="J15" s="14" t="str">
        <f>IFERROR(SMALL($I$8:$I$100,ROWS(I$8:$I15)),"")</f>
        <v/>
      </c>
      <c r="M15" s="14" t="str">
        <f>IFERROR(INDEX($B$8:$F$100,$J15,COLUMNS(L$8:$L15)),"")</f>
        <v/>
      </c>
      <c r="N15" s="830" t="str">
        <f>IFERROR(INDEX($B$8:$F$100,$J15,COLUMNS($L$8:M15)),"")</f>
        <v/>
      </c>
      <c r="O15" s="830" t="str">
        <f>IFERROR(INDEX($B$8:$F$100,$J15,COLUMNS($L$8:N15)),"")</f>
        <v/>
      </c>
      <c r="P15" s="14"/>
      <c r="Q15" s="14"/>
      <c r="R15" s="11"/>
      <c r="S15" s="494" t="s">
        <v>2</v>
      </c>
    </row>
    <row r="16" spans="2:19" x14ac:dyDescent="0.25">
      <c r="B16" s="491"/>
      <c r="C16" s="492"/>
      <c r="D16" s="817"/>
      <c r="E16" s="480"/>
      <c r="H16" s="47">
        <f>ROWS(G$8:$G16)</f>
        <v>9</v>
      </c>
      <c r="I16" s="14" t="str">
        <f>IF(ID!$B$90=G16,H16,"")</f>
        <v/>
      </c>
      <c r="J16" s="14" t="str">
        <f>IFERROR(SMALL($I$8:$I$100,ROWS(I$8:$I16)),"")</f>
        <v/>
      </c>
      <c r="M16" s="14" t="str">
        <f>IFERROR(INDEX($B$8:$F$100,$J16,COLUMNS(L$8:$L16)),"")</f>
        <v/>
      </c>
      <c r="N16" s="14" t="str">
        <f>IFERROR(INDEX($B$8:$F$100,$J16,COLUMNS($L$8:M16)),"")</f>
        <v/>
      </c>
      <c r="O16" s="14" t="str">
        <f>IFERROR(INDEX($B$8:$F$100,$J16,COLUMNS($L$8:N16)),"")</f>
        <v/>
      </c>
      <c r="P16" s="14"/>
      <c r="Q16" s="14"/>
      <c r="S16" s="485" t="s">
        <v>2</v>
      </c>
    </row>
    <row r="17" spans="2:19" x14ac:dyDescent="0.25">
      <c r="B17" s="491"/>
      <c r="C17" s="492"/>
      <c r="D17" s="817"/>
      <c r="E17" s="480"/>
      <c r="H17" s="47">
        <f>ROWS(G$8:$G17)</f>
        <v>10</v>
      </c>
      <c r="I17" s="14" t="str">
        <f>IF(ID!$B$90=G17,H17,"")</f>
        <v/>
      </c>
      <c r="J17" s="14" t="str">
        <f>IFERROR(SMALL($I$8:$I$100,ROWS(I$8:$I17)),"")</f>
        <v/>
      </c>
      <c r="M17" s="106"/>
      <c r="N17" s="106"/>
      <c r="O17" s="831">
        <f>MAX(O8:O16)</f>
        <v>3</v>
      </c>
      <c r="P17" s="106"/>
      <c r="Q17" s="106"/>
      <c r="S17" s="485" t="s">
        <v>2</v>
      </c>
    </row>
    <row r="18" spans="2:19" ht="13.8" x14ac:dyDescent="0.25">
      <c r="B18" s="495">
        <v>0</v>
      </c>
      <c r="C18" s="810">
        <v>9.9999999999999995E-7</v>
      </c>
      <c r="D18" s="811">
        <f>1.2%*B18</f>
        <v>0</v>
      </c>
      <c r="E18" s="497" t="s">
        <v>389</v>
      </c>
      <c r="F18" s="481" t="s">
        <v>467</v>
      </c>
      <c r="G18" s="812" t="s">
        <v>282</v>
      </c>
      <c r="H18" s="47">
        <f>ROWS(G$8:$G18)</f>
        <v>11</v>
      </c>
      <c r="I18" s="14" t="str">
        <f>IF(ID!$B$90=G18,H18,"")</f>
        <v/>
      </c>
      <c r="J18" s="14" t="str">
        <f>IFERROR(SMALL($I$8:$I$100,ROWS(I$8:$I18)),"")</f>
        <v/>
      </c>
      <c r="S18" s="485" t="s">
        <v>2</v>
      </c>
    </row>
    <row r="19" spans="2:19" ht="13.8" x14ac:dyDescent="0.3">
      <c r="B19" s="498">
        <v>150</v>
      </c>
      <c r="C19" s="496">
        <v>0.15</v>
      </c>
      <c r="D19" s="811">
        <f t="shared" ref="D19:D24" si="1">1.2%*B19</f>
        <v>1.8</v>
      </c>
      <c r="E19" s="497"/>
      <c r="F19" s="499"/>
      <c r="G19" s="812" t="s">
        <v>282</v>
      </c>
      <c r="H19" s="47">
        <f>ROWS(G$8:$G19)</f>
        <v>12</v>
      </c>
      <c r="I19" s="14" t="str">
        <f>IF(ID!$B$90=G19,H19,"")</f>
        <v/>
      </c>
      <c r="J19" s="14" t="str">
        <f>IFERROR(SMALL($I$8:$I$100,ROWS(I$8:$I19)),"")</f>
        <v/>
      </c>
    </row>
    <row r="20" spans="2:19" ht="13.8" x14ac:dyDescent="0.3">
      <c r="B20" s="498">
        <v>180</v>
      </c>
      <c r="C20" s="500">
        <v>0.12</v>
      </c>
      <c r="D20" s="811">
        <f t="shared" si="1"/>
        <v>2.16</v>
      </c>
      <c r="E20" s="497"/>
      <c r="F20" s="499"/>
      <c r="G20" s="812" t="s">
        <v>282</v>
      </c>
      <c r="H20" s="47">
        <f>ROWS(G$8:$G20)</f>
        <v>13</v>
      </c>
      <c r="I20" s="14" t="str">
        <f>IF(ID!$B$90=G20,H20,"")</f>
        <v/>
      </c>
      <c r="J20" s="14" t="str">
        <f>IFERROR(SMALL($I$8:$I$100,ROWS(I$8:$I20)),"")</f>
        <v/>
      </c>
    </row>
    <row r="21" spans="2:19" ht="13.8" x14ac:dyDescent="0.3">
      <c r="B21" s="501">
        <v>200</v>
      </c>
      <c r="C21" s="500">
        <v>0.06</v>
      </c>
      <c r="D21" s="811">
        <f t="shared" si="1"/>
        <v>2.4</v>
      </c>
      <c r="E21" s="497"/>
      <c r="F21" s="499"/>
      <c r="G21" s="812" t="s">
        <v>282</v>
      </c>
      <c r="H21" s="47">
        <f>ROWS(G$8:$G21)</f>
        <v>14</v>
      </c>
      <c r="I21" s="14" t="str">
        <f>IF(ID!$B$90=G21,H21,"")</f>
        <v/>
      </c>
      <c r="J21" s="14" t="str">
        <f>IFERROR(SMALL($I$8:$I$100,ROWS(I$8:$I21)),"")</f>
        <v/>
      </c>
    </row>
    <row r="22" spans="2:19" ht="13.8" x14ac:dyDescent="0.3">
      <c r="B22" s="501">
        <v>220</v>
      </c>
      <c r="C22" s="500">
        <v>0.05</v>
      </c>
      <c r="D22" s="811">
        <f t="shared" si="1"/>
        <v>2.64</v>
      </c>
      <c r="E22" s="497"/>
      <c r="F22" s="499"/>
      <c r="G22" s="812" t="s">
        <v>282</v>
      </c>
      <c r="H22" s="47">
        <f>ROWS(G$8:$G22)</f>
        <v>15</v>
      </c>
      <c r="I22" s="14" t="str">
        <f>IF(ID!$B$90=G22,H22,"")</f>
        <v/>
      </c>
      <c r="J22" s="14" t="str">
        <f>IFERROR(SMALL($I$8:$I$100,ROWS(I$8:$I22)),"")</f>
        <v/>
      </c>
    </row>
    <row r="23" spans="2:19" ht="13.8" x14ac:dyDescent="0.3">
      <c r="B23" s="501">
        <v>230</v>
      </c>
      <c r="C23" s="500">
        <v>0.05</v>
      </c>
      <c r="D23" s="811">
        <f t="shared" si="1"/>
        <v>2.7600000000000002</v>
      </c>
      <c r="E23" s="497"/>
      <c r="F23" s="499"/>
      <c r="G23" s="812" t="s">
        <v>282</v>
      </c>
      <c r="H23" s="47">
        <f>ROWS(G$8:$G23)</f>
        <v>16</v>
      </c>
      <c r="I23" s="14" t="str">
        <f>IF(ID!$B$90=G23,H23,"")</f>
        <v/>
      </c>
      <c r="J23" s="14" t="str">
        <f>IFERROR(SMALL($I$8:$I$100,ROWS(I$8:$I23)),"")</f>
        <v/>
      </c>
    </row>
    <row r="24" spans="2:19" ht="13.8" x14ac:dyDescent="0.3">
      <c r="B24" s="818">
        <v>250</v>
      </c>
      <c r="C24" s="819">
        <f>C23</f>
        <v>0.05</v>
      </c>
      <c r="D24" s="811">
        <f t="shared" si="1"/>
        <v>3</v>
      </c>
      <c r="E24" s="820"/>
      <c r="F24" s="821"/>
      <c r="G24" s="822" t="s">
        <v>282</v>
      </c>
      <c r="H24" s="47">
        <f>ROWS(G$8:$G24)</f>
        <v>17</v>
      </c>
      <c r="I24" s="14" t="str">
        <f>IF(ID!$B$90=G24,H24,"")</f>
        <v/>
      </c>
      <c r="J24" s="14" t="str">
        <f>IFERROR(SMALL($I$8:$I$100,ROWS(I$8:$I24)),"")</f>
        <v/>
      </c>
    </row>
    <row r="25" spans="2:19" x14ac:dyDescent="0.25">
      <c r="D25" s="811"/>
      <c r="E25" s="556"/>
      <c r="H25" s="47">
        <f>ROWS(G$8:$G25)</f>
        <v>18</v>
      </c>
      <c r="I25" s="14" t="str">
        <f>IF(ID!$B$90=G25,H25,"")</f>
        <v/>
      </c>
      <c r="J25" s="14" t="str">
        <f>IFERROR(SMALL($I$8:$I$100,ROWS(I$8:$I25)),"")</f>
        <v/>
      </c>
    </row>
    <row r="26" spans="2:19" x14ac:dyDescent="0.25">
      <c r="D26" s="823"/>
      <c r="E26" s="556"/>
      <c r="H26" s="47">
        <f>ROWS(G$8:$G26)</f>
        <v>19</v>
      </c>
      <c r="I26" s="14" t="str">
        <f>IF(ID!$B$90=G26,H26,"")</f>
        <v/>
      </c>
      <c r="J26" s="14" t="str">
        <f>IFERROR(SMALL($I$8:$I$100,ROWS(I$8:$I26)),"")</f>
        <v/>
      </c>
    </row>
    <row r="27" spans="2:19" ht="13.8" x14ac:dyDescent="0.25">
      <c r="B27" s="478">
        <v>0</v>
      </c>
      <c r="C27" s="810">
        <v>9.9999999999999995E-7</v>
      </c>
      <c r="D27" s="811">
        <f>1.2%*B27</f>
        <v>0</v>
      </c>
      <c r="E27" s="497" t="s">
        <v>468</v>
      </c>
      <c r="F27" s="481" t="s">
        <v>467</v>
      </c>
      <c r="G27" s="812" t="s">
        <v>284</v>
      </c>
      <c r="H27" s="47">
        <f>ROWS(G$8:$G27)</f>
        <v>20</v>
      </c>
      <c r="I27" s="14" t="str">
        <f>IF(ID!$B$90=G27,H27,"")</f>
        <v/>
      </c>
      <c r="J27" s="14" t="str">
        <f>IFERROR(SMALL($I$8:$I$100,ROWS(I$8:$I27)),"")</f>
        <v/>
      </c>
    </row>
    <row r="28" spans="2:19" ht="13.8" x14ac:dyDescent="0.3">
      <c r="B28" s="478">
        <v>150</v>
      </c>
      <c r="C28" s="479">
        <v>-1.6</v>
      </c>
      <c r="D28" s="811">
        <f t="shared" ref="D28:D33" si="2">1.2%*B28</f>
        <v>1.8</v>
      </c>
      <c r="E28" s="480"/>
      <c r="F28" s="499"/>
      <c r="G28" s="812" t="s">
        <v>284</v>
      </c>
      <c r="H28" s="47">
        <f>ROWS(G$8:$G28)</f>
        <v>21</v>
      </c>
      <c r="I28" s="14" t="str">
        <f>IF(ID!$B$90=G28,H28,"")</f>
        <v/>
      </c>
      <c r="J28" s="14" t="str">
        <f>IFERROR(SMALL($I$8:$I$100,ROWS(I$8:$I28)),"")</f>
        <v/>
      </c>
    </row>
    <row r="29" spans="2:19" ht="13.8" x14ac:dyDescent="0.3">
      <c r="B29" s="502">
        <v>180</v>
      </c>
      <c r="C29" s="479">
        <v>-1.9</v>
      </c>
      <c r="D29" s="811">
        <f t="shared" si="2"/>
        <v>2.16</v>
      </c>
      <c r="E29" s="480"/>
      <c r="F29" s="499"/>
      <c r="G29" s="812" t="s">
        <v>284</v>
      </c>
      <c r="H29" s="47">
        <f>ROWS(G$8:$G29)</f>
        <v>22</v>
      </c>
      <c r="I29" s="14" t="str">
        <f>IF(ID!$B$90=G29,H29,"")</f>
        <v/>
      </c>
      <c r="J29" s="14" t="str">
        <f>IFERROR(SMALL($I$8:$I$100,ROWS(I$8:$I29)),"")</f>
        <v/>
      </c>
    </row>
    <row r="30" spans="2:19" ht="13.8" x14ac:dyDescent="0.3">
      <c r="B30" s="482">
        <v>200</v>
      </c>
      <c r="C30" s="479">
        <v>-2.14</v>
      </c>
      <c r="D30" s="811">
        <f t="shared" si="2"/>
        <v>2.4</v>
      </c>
      <c r="E30" s="480"/>
      <c r="F30" s="499"/>
      <c r="G30" s="812" t="s">
        <v>284</v>
      </c>
      <c r="H30" s="47">
        <f>ROWS(G$8:$G30)</f>
        <v>23</v>
      </c>
      <c r="I30" s="14" t="str">
        <f>IF(ID!$B$90=G30,H30,"")</f>
        <v/>
      </c>
      <c r="J30" s="14" t="str">
        <f>IFERROR(SMALL($I$8:$I$100,ROWS(I$8:$I30)),"")</f>
        <v/>
      </c>
    </row>
    <row r="31" spans="2:19" ht="13.8" x14ac:dyDescent="0.3">
      <c r="B31" s="482">
        <v>220</v>
      </c>
      <c r="C31" s="483">
        <v>-3.44</v>
      </c>
      <c r="D31" s="811">
        <f t="shared" si="2"/>
        <v>2.64</v>
      </c>
      <c r="E31" s="480"/>
      <c r="F31" s="499"/>
      <c r="G31" s="812" t="s">
        <v>284</v>
      </c>
      <c r="H31" s="47">
        <f>ROWS(G$8:$G31)</f>
        <v>24</v>
      </c>
      <c r="I31" s="14" t="str">
        <f>IF(ID!$B$90=G31,H31,"")</f>
        <v/>
      </c>
      <c r="J31" s="14" t="str">
        <f>IFERROR(SMALL($I$8:$I$100,ROWS(I$8:$I31)),"")</f>
        <v/>
      </c>
    </row>
    <row r="32" spans="2:19" ht="13.8" x14ac:dyDescent="0.3">
      <c r="B32" s="486">
        <v>230</v>
      </c>
      <c r="C32" s="483">
        <v>-2.52</v>
      </c>
      <c r="D32" s="811">
        <f t="shared" si="2"/>
        <v>2.7600000000000002</v>
      </c>
      <c r="E32" s="480"/>
      <c r="F32" s="499"/>
      <c r="G32" s="812" t="s">
        <v>284</v>
      </c>
      <c r="H32" s="47">
        <f>ROWS(G$8:$G32)</f>
        <v>25</v>
      </c>
      <c r="I32" s="14" t="str">
        <f>IF(ID!$B$90=G32,H32,"")</f>
        <v/>
      </c>
      <c r="J32" s="14" t="str">
        <f>IFERROR(SMALL($I$8:$I$100,ROWS(I$8:$I32)),"")</f>
        <v/>
      </c>
    </row>
    <row r="33" spans="2:10" ht="13.8" x14ac:dyDescent="0.3">
      <c r="B33" s="488">
        <v>250</v>
      </c>
      <c r="C33" s="489">
        <f>C32</f>
        <v>-2.52</v>
      </c>
      <c r="D33" s="811">
        <f t="shared" si="2"/>
        <v>3</v>
      </c>
      <c r="E33" s="480"/>
      <c r="F33" s="499"/>
      <c r="G33" s="490" t="s">
        <v>284</v>
      </c>
      <c r="H33" s="47">
        <f>ROWS(G$8:$G33)</f>
        <v>26</v>
      </c>
      <c r="I33" s="14" t="str">
        <f>IF(ID!$B$90=G33,H33,"")</f>
        <v/>
      </c>
      <c r="J33" s="14" t="str">
        <f>IFERROR(SMALL($I$8:$I$100,ROWS(I$8:$I33)),"")</f>
        <v/>
      </c>
    </row>
    <row r="34" spans="2:10" x14ac:dyDescent="0.25">
      <c r="D34" s="823"/>
      <c r="E34" s="556"/>
      <c r="H34" s="47">
        <f>ROWS(G$8:$G34)</f>
        <v>27</v>
      </c>
      <c r="I34" s="14" t="str">
        <f>IF(ID!$B$90=G34,H34,"")</f>
        <v/>
      </c>
      <c r="J34" s="14" t="str">
        <f>IFERROR(SMALL($I$8:$I$100,ROWS(I$8:$I34)),"")</f>
        <v/>
      </c>
    </row>
    <row r="35" spans="2:10" x14ac:dyDescent="0.25">
      <c r="D35" s="823"/>
      <c r="E35" s="556"/>
      <c r="H35" s="47">
        <f>ROWS(G$8:$G35)</f>
        <v>28</v>
      </c>
      <c r="I35" s="14" t="str">
        <f>IF(ID!$B$90=G35,H35,"")</f>
        <v/>
      </c>
      <c r="J35" s="14" t="str">
        <f>IFERROR(SMALL($I$8:$I$100,ROWS(I$8:$I35)),"")</f>
        <v/>
      </c>
    </row>
    <row r="36" spans="2:10" ht="13.8" x14ac:dyDescent="0.25">
      <c r="B36" s="495">
        <v>0</v>
      </c>
      <c r="C36" s="810">
        <v>9.9999999999999995E-7</v>
      </c>
      <c r="D36" s="811">
        <f>1.2%*B36</f>
        <v>0</v>
      </c>
      <c r="E36" s="497" t="s">
        <v>469</v>
      </c>
      <c r="F36" s="481" t="s">
        <v>470</v>
      </c>
      <c r="G36" s="824" t="s">
        <v>164</v>
      </c>
      <c r="H36" s="47">
        <f>ROWS(G$8:$G36)</f>
        <v>29</v>
      </c>
      <c r="I36" s="14">
        <f>IF(ID!$B$90=G36,H36,"")</f>
        <v>29</v>
      </c>
      <c r="J36" s="14" t="str">
        <f>IFERROR(SMALL($I$8:$I$100,ROWS(I$8:$I36)),"")</f>
        <v/>
      </c>
    </row>
    <row r="37" spans="2:10" ht="13.8" x14ac:dyDescent="0.3">
      <c r="B37" s="498">
        <v>150</v>
      </c>
      <c r="C37" s="496">
        <v>-0.05</v>
      </c>
      <c r="D37" s="811">
        <f t="shared" ref="D37:D42" si="3">1.2%*B37</f>
        <v>1.8</v>
      </c>
      <c r="E37" s="497"/>
      <c r="F37" s="499"/>
      <c r="G37" s="824" t="s">
        <v>164</v>
      </c>
      <c r="H37" s="47">
        <f>ROWS(G$8:$G37)</f>
        <v>30</v>
      </c>
      <c r="I37" s="14">
        <f>IF(ID!$B$90=G37,H37,"")</f>
        <v>30</v>
      </c>
      <c r="J37" s="14" t="str">
        <f>IFERROR(SMALL($I$8:$I$100,ROWS(I$8:$I37)),"")</f>
        <v/>
      </c>
    </row>
    <row r="38" spans="2:10" ht="13.8" x14ac:dyDescent="0.3">
      <c r="B38" s="498">
        <v>180</v>
      </c>
      <c r="C38" s="500">
        <v>-0.04</v>
      </c>
      <c r="D38" s="811">
        <f t="shared" si="3"/>
        <v>2.16</v>
      </c>
      <c r="E38" s="497"/>
      <c r="F38" s="499"/>
      <c r="G38" s="824" t="s">
        <v>164</v>
      </c>
      <c r="H38" s="47">
        <f>ROWS(G$8:$G38)</f>
        <v>31</v>
      </c>
      <c r="I38" s="14">
        <f>IF(ID!$B$90=G38,H38,"")</f>
        <v>31</v>
      </c>
      <c r="J38" s="14" t="str">
        <f>IFERROR(SMALL($I$8:$I$100,ROWS(I$8:$I38)),"")</f>
        <v/>
      </c>
    </row>
    <row r="39" spans="2:10" ht="13.8" x14ac:dyDescent="0.3">
      <c r="B39" s="501">
        <v>200</v>
      </c>
      <c r="C39" s="500">
        <v>-0.67</v>
      </c>
      <c r="D39" s="811">
        <f t="shared" si="3"/>
        <v>2.4</v>
      </c>
      <c r="E39" s="497"/>
      <c r="F39" s="499"/>
      <c r="G39" s="824" t="s">
        <v>164</v>
      </c>
      <c r="H39" s="47">
        <f>ROWS(G$8:$G39)</f>
        <v>32</v>
      </c>
      <c r="I39" s="14">
        <f>IF(ID!$B$90=G39,H39,"")</f>
        <v>32</v>
      </c>
      <c r="J39" s="14" t="str">
        <f>IFERROR(SMALL($I$8:$I$100,ROWS(I$8:$I39)),"")</f>
        <v/>
      </c>
    </row>
    <row r="40" spans="2:10" ht="13.8" x14ac:dyDescent="0.3">
      <c r="B40" s="501">
        <v>220</v>
      </c>
      <c r="C40" s="810">
        <v>9.9999999999999995E-7</v>
      </c>
      <c r="D40" s="811">
        <f t="shared" si="3"/>
        <v>2.64</v>
      </c>
      <c r="E40" s="497"/>
      <c r="F40" s="499"/>
      <c r="G40" s="824" t="s">
        <v>164</v>
      </c>
      <c r="H40" s="47">
        <f>ROWS(G$8:$G40)</f>
        <v>33</v>
      </c>
      <c r="I40" s="14">
        <f>IF(ID!$B$90=G40,H40,"")</f>
        <v>33</v>
      </c>
      <c r="J40" s="14" t="str">
        <f>IFERROR(SMALL($I$8:$I$100,ROWS(I$8:$I40)),"")</f>
        <v/>
      </c>
    </row>
    <row r="41" spans="2:10" ht="13.8" x14ac:dyDescent="0.3">
      <c r="B41" s="501">
        <v>230</v>
      </c>
      <c r="C41" s="500">
        <v>-0.11</v>
      </c>
      <c r="D41" s="811">
        <f t="shared" si="3"/>
        <v>2.7600000000000002</v>
      </c>
      <c r="E41" s="497"/>
      <c r="F41" s="499"/>
      <c r="G41" s="824" t="s">
        <v>164</v>
      </c>
      <c r="H41" s="47">
        <f>ROWS(G$8:$G41)</f>
        <v>34</v>
      </c>
      <c r="I41" s="14">
        <f>IF(ID!$B$90=G41,H41,"")</f>
        <v>34</v>
      </c>
      <c r="J41" s="14" t="str">
        <f>IFERROR(SMALL($I$8:$I$100,ROWS(I$8:$I41)),"")</f>
        <v/>
      </c>
    </row>
    <row r="42" spans="2:10" ht="13.8" x14ac:dyDescent="0.3">
      <c r="B42" s="818">
        <v>250</v>
      </c>
      <c r="C42" s="819">
        <f>C41</f>
        <v>-0.11</v>
      </c>
      <c r="D42" s="811">
        <f t="shared" si="3"/>
        <v>3</v>
      </c>
      <c r="E42" s="825"/>
      <c r="F42" s="821"/>
      <c r="G42" s="822" t="s">
        <v>164</v>
      </c>
      <c r="H42" s="47">
        <f>ROWS(G$8:$G42)</f>
        <v>35</v>
      </c>
      <c r="I42" s="14">
        <f>IF(ID!$B$90=G42,H42,"")</f>
        <v>35</v>
      </c>
      <c r="J42" s="14" t="str">
        <f>IFERROR(SMALL($I$8:$I$100,ROWS(I$8:$I42)),"")</f>
        <v/>
      </c>
    </row>
    <row r="43" spans="2:10" x14ac:dyDescent="0.25">
      <c r="D43" s="823"/>
      <c r="E43" s="556"/>
      <c r="H43" s="47">
        <f>ROWS(G$8:$G43)</f>
        <v>36</v>
      </c>
      <c r="I43" s="14" t="str">
        <f>IF(ID!$B$90=G43,H43,"")</f>
        <v/>
      </c>
      <c r="J43" s="14" t="str">
        <f>IFERROR(SMALL($I$8:$I$100,ROWS(I$8:$I43)),"")</f>
        <v/>
      </c>
    </row>
    <row r="44" spans="2:10" x14ac:dyDescent="0.25">
      <c r="D44" s="823"/>
      <c r="E44" s="556"/>
      <c r="H44" s="47">
        <f>ROWS(G$8:$G44)</f>
        <v>37</v>
      </c>
      <c r="I44" s="14" t="str">
        <f>IF(ID!$B$90=G44,H44,"")</f>
        <v/>
      </c>
      <c r="J44" s="14" t="str">
        <f>IFERROR(SMALL($I$8:$I$100,ROWS(I$8:$I44)),"")</f>
        <v/>
      </c>
    </row>
    <row r="45" spans="2:10" ht="13.8" x14ac:dyDescent="0.25">
      <c r="B45" s="478">
        <v>0</v>
      </c>
      <c r="C45" s="810">
        <v>9.9999999999999995E-7</v>
      </c>
      <c r="D45" s="811">
        <f>1.2%*B45</f>
        <v>0</v>
      </c>
      <c r="E45" s="497" t="s">
        <v>471</v>
      </c>
      <c r="F45" s="481" t="s">
        <v>470</v>
      </c>
      <c r="G45" s="812" t="s">
        <v>289</v>
      </c>
      <c r="H45" s="47">
        <f>ROWS(G$8:$G45)</f>
        <v>38</v>
      </c>
      <c r="I45" s="14" t="str">
        <f>IF(ID!$B$90=G45,H45,"")</f>
        <v/>
      </c>
      <c r="J45" s="14" t="str">
        <f>IFERROR(SMALL($I$8:$I$100,ROWS(I$8:$I45)),"")</f>
        <v/>
      </c>
    </row>
    <row r="46" spans="2:10" ht="13.8" x14ac:dyDescent="0.3">
      <c r="B46" s="482">
        <v>150</v>
      </c>
      <c r="C46" s="479">
        <v>0.25</v>
      </c>
      <c r="D46" s="811">
        <f t="shared" ref="D46:D51" si="4">1.2%*B46</f>
        <v>1.8</v>
      </c>
      <c r="E46" s="497"/>
      <c r="F46" s="499"/>
      <c r="G46" s="812" t="s">
        <v>289</v>
      </c>
      <c r="H46" s="47">
        <f>ROWS(G$8:$G46)</f>
        <v>39</v>
      </c>
      <c r="I46" s="14" t="str">
        <f>IF(ID!$B$90=G46,H46,"")</f>
        <v/>
      </c>
      <c r="J46" s="14" t="str">
        <f>IFERROR(SMALL($I$8:$I$100,ROWS(I$8:$I46)),"")</f>
        <v/>
      </c>
    </row>
    <row r="47" spans="2:10" ht="13.8" x14ac:dyDescent="0.3">
      <c r="B47" s="482">
        <v>180</v>
      </c>
      <c r="C47" s="483">
        <v>0.09</v>
      </c>
      <c r="D47" s="811">
        <f t="shared" si="4"/>
        <v>2.16</v>
      </c>
      <c r="E47" s="497"/>
      <c r="F47" s="499"/>
      <c r="G47" s="812" t="s">
        <v>289</v>
      </c>
      <c r="H47" s="47">
        <f>ROWS(G$8:$G47)</f>
        <v>40</v>
      </c>
      <c r="I47" s="14" t="str">
        <f>IF(ID!$B$90=G47,H47,"")</f>
        <v/>
      </c>
      <c r="J47" s="14" t="str">
        <f>IFERROR(SMALL($I$8:$I$100,ROWS(I$8:$I47)),"")</f>
        <v/>
      </c>
    </row>
    <row r="48" spans="2:10" ht="13.8" x14ac:dyDescent="0.3">
      <c r="B48" s="482">
        <v>200</v>
      </c>
      <c r="C48" s="483">
        <v>0.18</v>
      </c>
      <c r="D48" s="811">
        <f t="shared" si="4"/>
        <v>2.4</v>
      </c>
      <c r="E48" s="497"/>
      <c r="F48" s="499"/>
      <c r="G48" s="812" t="s">
        <v>289</v>
      </c>
      <c r="H48" s="47">
        <f>ROWS(G$8:$G48)</f>
        <v>41</v>
      </c>
      <c r="I48" s="14" t="str">
        <f>IF(ID!$B$90=G48,H48,"")</f>
        <v/>
      </c>
      <c r="J48" s="14" t="str">
        <f>IFERROR(SMALL($I$8:$I$100,ROWS(I$8:$I48)),"")</f>
        <v/>
      </c>
    </row>
    <row r="49" spans="2:10" ht="13.8" x14ac:dyDescent="0.3">
      <c r="B49" s="486">
        <v>220</v>
      </c>
      <c r="C49" s="483">
        <v>0.56000000000000005</v>
      </c>
      <c r="D49" s="811">
        <f t="shared" si="4"/>
        <v>2.64</v>
      </c>
      <c r="E49" s="497"/>
      <c r="F49" s="499"/>
      <c r="G49" s="812" t="s">
        <v>289</v>
      </c>
      <c r="H49" s="47">
        <f>ROWS(G$8:$G49)</f>
        <v>42</v>
      </c>
      <c r="I49" s="14" t="str">
        <f>IF(ID!$B$90=G49,H49,"")</f>
        <v/>
      </c>
      <c r="J49" s="14" t="str">
        <f>IFERROR(SMALL($I$8:$I$100,ROWS(I$8:$I49)),"")</f>
        <v/>
      </c>
    </row>
    <row r="50" spans="2:10" ht="14.4" thickBot="1" x14ac:dyDescent="0.35">
      <c r="B50" s="487">
        <v>230</v>
      </c>
      <c r="C50" s="483">
        <v>0.73</v>
      </c>
      <c r="D50" s="811">
        <f t="shared" si="4"/>
        <v>2.7600000000000002</v>
      </c>
      <c r="E50" s="497"/>
      <c r="F50" s="499"/>
      <c r="G50" s="812" t="s">
        <v>289</v>
      </c>
      <c r="H50" s="47">
        <f>ROWS(G$8:$G50)</f>
        <v>43</v>
      </c>
      <c r="I50" s="14" t="str">
        <f>IF(ID!$B$90=G50,H50,"")</f>
        <v/>
      </c>
      <c r="J50" s="14" t="str">
        <f>IFERROR(SMALL($I$8:$I$100,ROWS(I$8:$I50)),"")</f>
        <v/>
      </c>
    </row>
    <row r="51" spans="2:10" ht="13.8" x14ac:dyDescent="0.3">
      <c r="B51" s="488">
        <v>250</v>
      </c>
      <c r="C51" s="489">
        <f>C50</f>
        <v>0.73</v>
      </c>
      <c r="D51" s="811">
        <f t="shared" si="4"/>
        <v>3</v>
      </c>
      <c r="E51" s="497"/>
      <c r="F51" s="499"/>
      <c r="G51" s="490" t="s">
        <v>289</v>
      </c>
      <c r="H51" s="47">
        <f>ROWS(G$8:$G51)</f>
        <v>44</v>
      </c>
      <c r="I51" s="14" t="str">
        <f>IF(ID!$B$90=G51,H51,"")</f>
        <v/>
      </c>
      <c r="J51" s="14" t="str">
        <f>IFERROR(SMALL($I$8:$I$100,ROWS(I$8:$I51)),"")</f>
        <v/>
      </c>
    </row>
    <row r="52" spans="2:10" x14ac:dyDescent="0.25">
      <c r="D52" s="823"/>
      <c r="E52" s="556"/>
      <c r="H52" s="47">
        <f>ROWS(G$8:$G52)</f>
        <v>45</v>
      </c>
      <c r="I52" s="14" t="str">
        <f>IF(ID!$B$90=G52,H52,"")</f>
        <v/>
      </c>
      <c r="J52" s="14" t="str">
        <f>IFERROR(SMALL($I$8:$I$100,ROWS(I$8:$I52)),"")</f>
        <v/>
      </c>
    </row>
    <row r="53" spans="2:10" x14ac:dyDescent="0.25">
      <c r="D53" s="823"/>
      <c r="E53" s="556"/>
      <c r="H53" s="47">
        <f>ROWS(G$8:$G53)</f>
        <v>46</v>
      </c>
      <c r="I53" s="14" t="str">
        <f>IF(ID!$B$90=G53,H53,"")</f>
        <v/>
      </c>
      <c r="J53" s="14" t="str">
        <f>IFERROR(SMALL($I$8:$I$100,ROWS(I$8:$I53)),"")</f>
        <v/>
      </c>
    </row>
    <row r="54" spans="2:10" ht="13.8" x14ac:dyDescent="0.25">
      <c r="B54" s="478">
        <v>0</v>
      </c>
      <c r="C54" s="810">
        <v>9.9999999999999995E-7</v>
      </c>
      <c r="D54" s="811">
        <f>1.2%*B54</f>
        <v>0</v>
      </c>
      <c r="E54" s="480" t="s">
        <v>472</v>
      </c>
      <c r="F54" s="481" t="s">
        <v>467</v>
      </c>
      <c r="G54" s="812" t="s">
        <v>292</v>
      </c>
      <c r="H54" s="47">
        <f>ROWS(G$8:$G54)</f>
        <v>47</v>
      </c>
      <c r="I54" s="14" t="str">
        <f>IF(ID!$B$90=G54,H54,"")</f>
        <v/>
      </c>
      <c r="J54" s="14" t="str">
        <f>IFERROR(SMALL($I$8:$I$100,ROWS(I$8:$I54)),"")</f>
        <v/>
      </c>
    </row>
    <row r="55" spans="2:10" ht="13.8" x14ac:dyDescent="0.3">
      <c r="B55" s="482">
        <v>150</v>
      </c>
      <c r="C55" s="479">
        <v>-0.15</v>
      </c>
      <c r="D55" s="811">
        <f t="shared" ref="D55:D60" si="5">1.2%*B55</f>
        <v>1.8</v>
      </c>
      <c r="E55" s="480"/>
      <c r="F55" s="499"/>
      <c r="G55" s="812" t="s">
        <v>292</v>
      </c>
      <c r="H55" s="47">
        <f>ROWS(G$8:$G55)</f>
        <v>48</v>
      </c>
      <c r="I55" s="14" t="str">
        <f>IF(ID!$B$90=G55,H55,"")</f>
        <v/>
      </c>
      <c r="J55" s="14" t="str">
        <f>IFERROR(SMALL($I$8:$I$100,ROWS(I$8:$I55)),"")</f>
        <v/>
      </c>
    </row>
    <row r="56" spans="2:10" ht="13.8" x14ac:dyDescent="0.3">
      <c r="B56" s="482">
        <v>180</v>
      </c>
      <c r="C56" s="483">
        <v>-0.11</v>
      </c>
      <c r="D56" s="811">
        <f t="shared" si="5"/>
        <v>2.16</v>
      </c>
      <c r="E56" s="480"/>
      <c r="F56" s="499"/>
      <c r="G56" s="812" t="s">
        <v>292</v>
      </c>
      <c r="H56" s="47">
        <f>ROWS(G$8:$G56)</f>
        <v>49</v>
      </c>
      <c r="I56" s="14" t="str">
        <f>IF(ID!$B$90=G56,H56,"")</f>
        <v/>
      </c>
      <c r="J56" s="14" t="str">
        <f>IFERROR(SMALL($I$8:$I$100,ROWS(I$8:$I56)),"")</f>
        <v/>
      </c>
    </row>
    <row r="57" spans="2:10" ht="13.8" x14ac:dyDescent="0.3">
      <c r="B57" s="482">
        <v>200</v>
      </c>
      <c r="C57" s="483">
        <v>-0.1</v>
      </c>
      <c r="D57" s="811">
        <f t="shared" si="5"/>
        <v>2.4</v>
      </c>
      <c r="E57" s="480"/>
      <c r="F57" s="499"/>
      <c r="G57" s="812" t="s">
        <v>292</v>
      </c>
      <c r="H57" s="47">
        <f>ROWS(G$8:$G57)</f>
        <v>50</v>
      </c>
      <c r="I57" s="14" t="str">
        <f>IF(ID!$B$90=G57,H57,"")</f>
        <v/>
      </c>
      <c r="J57" s="14" t="str">
        <f>IFERROR(SMALL($I$8:$I$100,ROWS(I$8:$I57)),"")</f>
        <v/>
      </c>
    </row>
    <row r="58" spans="2:10" ht="13.8" x14ac:dyDescent="0.3">
      <c r="B58" s="486">
        <v>220</v>
      </c>
      <c r="C58" s="483">
        <v>-0.13</v>
      </c>
      <c r="D58" s="811">
        <f t="shared" si="5"/>
        <v>2.64</v>
      </c>
      <c r="E58" s="480"/>
      <c r="F58" s="499"/>
      <c r="G58" s="812" t="s">
        <v>292</v>
      </c>
      <c r="H58" s="47">
        <f>ROWS(G$8:$G58)</f>
        <v>51</v>
      </c>
      <c r="I58" s="14" t="str">
        <f>IF(ID!$B$90=G58,H58,"")</f>
        <v/>
      </c>
      <c r="J58" s="14" t="str">
        <f>IFERROR(SMALL($I$8:$I$100,ROWS(I$8:$I58)),"")</f>
        <v/>
      </c>
    </row>
    <row r="59" spans="2:10" ht="14.4" thickBot="1" x14ac:dyDescent="0.35">
      <c r="B59" s="487">
        <v>230</v>
      </c>
      <c r="C59" s="483">
        <v>-0.15</v>
      </c>
      <c r="D59" s="811">
        <f t="shared" si="5"/>
        <v>2.7600000000000002</v>
      </c>
      <c r="E59" s="480"/>
      <c r="F59" s="499"/>
      <c r="G59" s="812" t="s">
        <v>292</v>
      </c>
      <c r="H59" s="47">
        <f>ROWS(G$8:$G59)</f>
        <v>52</v>
      </c>
      <c r="I59" s="14" t="str">
        <f>IF(ID!$B$90=G59,H59,"")</f>
        <v/>
      </c>
      <c r="J59" s="14" t="str">
        <f>IFERROR(SMALL($I$8:$I$100,ROWS(I$8:$I59)),"")</f>
        <v/>
      </c>
    </row>
    <row r="60" spans="2:10" ht="13.8" x14ac:dyDescent="0.3">
      <c r="B60" s="488">
        <v>250</v>
      </c>
      <c r="C60" s="489">
        <f>C59</f>
        <v>-0.15</v>
      </c>
      <c r="D60" s="811">
        <f t="shared" si="5"/>
        <v>3</v>
      </c>
      <c r="E60" s="480"/>
      <c r="F60" s="499"/>
      <c r="G60" s="816" t="s">
        <v>292</v>
      </c>
      <c r="H60" s="47">
        <f>ROWS(G$8:$G60)</f>
        <v>53</v>
      </c>
      <c r="I60" s="14" t="str">
        <f>IF(ID!$B$90=G60,H60,"")</f>
        <v/>
      </c>
      <c r="J60" s="14" t="str">
        <f>IFERROR(SMALL($I$8:$I$100,ROWS(I$8:$I60)),"")</f>
        <v/>
      </c>
    </row>
    <row r="61" spans="2:10" x14ac:dyDescent="0.25">
      <c r="D61" s="823"/>
      <c r="E61" s="556"/>
      <c r="H61" s="47">
        <f>ROWS(G$8:$G61)</f>
        <v>54</v>
      </c>
      <c r="I61" s="14" t="str">
        <f>IF(ID!$B$90=G61,H61,"")</f>
        <v/>
      </c>
      <c r="J61" s="14" t="str">
        <f>IFERROR(SMALL($I$8:$I$100,ROWS(I$8:$I61)),"")</f>
        <v/>
      </c>
    </row>
    <row r="62" spans="2:10" x14ac:dyDescent="0.25">
      <c r="D62" s="823"/>
      <c r="E62" s="556"/>
      <c r="H62" s="47">
        <f>ROWS(G$8:$G62)</f>
        <v>55</v>
      </c>
      <c r="I62" s="14" t="str">
        <f>IF(ID!$B$90=G62,H62,"")</f>
        <v/>
      </c>
      <c r="J62" s="14" t="str">
        <f>IFERROR(SMALL($I$8:$I$100,ROWS(I$8:$I62)),"")</f>
        <v/>
      </c>
    </row>
    <row r="63" spans="2:10" ht="13.8" x14ac:dyDescent="0.25">
      <c r="B63" s="478">
        <v>0</v>
      </c>
      <c r="C63" s="479">
        <f>C64</f>
        <v>0.21</v>
      </c>
      <c r="D63" s="811">
        <f>1.2%*B63</f>
        <v>0</v>
      </c>
      <c r="E63" s="480" t="s">
        <v>473</v>
      </c>
      <c r="F63" s="481" t="s">
        <v>467</v>
      </c>
      <c r="G63" s="812" t="s">
        <v>293</v>
      </c>
      <c r="H63" s="47">
        <f>ROWS(G$8:$G63)</f>
        <v>56</v>
      </c>
      <c r="I63" s="14" t="str">
        <f>IF(ID!$B$90=G63,H63,"")</f>
        <v/>
      </c>
      <c r="J63" s="14" t="str">
        <f>IFERROR(SMALL($I$8:$I$100,ROWS(I$8:$I63)),"")</f>
        <v/>
      </c>
    </row>
    <row r="64" spans="2:10" ht="13.8" x14ac:dyDescent="0.3">
      <c r="B64" s="482">
        <v>150</v>
      </c>
      <c r="C64" s="479">
        <v>0.21</v>
      </c>
      <c r="D64" s="811">
        <f t="shared" ref="D64:D69" si="6">1.2%*B64</f>
        <v>1.8</v>
      </c>
      <c r="E64" s="480"/>
      <c r="F64" s="499"/>
      <c r="G64" s="812" t="s">
        <v>293</v>
      </c>
      <c r="H64" s="47">
        <f>ROWS(G$8:$G64)</f>
        <v>57</v>
      </c>
      <c r="I64" s="14" t="str">
        <f>IF(ID!$B$90=G64,H64,"")</f>
        <v/>
      </c>
      <c r="J64" s="14" t="str">
        <f>IFERROR(SMALL($I$8:$I$100,ROWS(I$8:$I64)),"")</f>
        <v/>
      </c>
    </row>
    <row r="65" spans="2:10" ht="13.8" x14ac:dyDescent="0.3">
      <c r="B65" s="482">
        <v>180</v>
      </c>
      <c r="C65" s="483">
        <v>0.33</v>
      </c>
      <c r="D65" s="811">
        <f t="shared" si="6"/>
        <v>2.16</v>
      </c>
      <c r="E65" s="480"/>
      <c r="F65" s="499"/>
      <c r="G65" s="812" t="s">
        <v>293</v>
      </c>
      <c r="H65" s="47">
        <f>ROWS(G$8:$G65)</f>
        <v>58</v>
      </c>
      <c r="I65" s="14" t="str">
        <f>IF(ID!$B$90=G65,H65,"")</f>
        <v/>
      </c>
      <c r="J65" s="14" t="str">
        <f>IFERROR(SMALL($I$8:$I$100,ROWS(I$8:$I65)),"")</f>
        <v/>
      </c>
    </row>
    <row r="66" spans="2:10" ht="13.8" x14ac:dyDescent="0.3">
      <c r="B66" s="482">
        <v>200</v>
      </c>
      <c r="C66" s="483">
        <v>0.34</v>
      </c>
      <c r="D66" s="811">
        <f t="shared" si="6"/>
        <v>2.4</v>
      </c>
      <c r="E66" s="480"/>
      <c r="F66" s="499"/>
      <c r="G66" s="812" t="s">
        <v>293</v>
      </c>
      <c r="H66" s="47">
        <f>ROWS(G$8:$G66)</f>
        <v>59</v>
      </c>
      <c r="I66" s="14" t="str">
        <f>IF(ID!$B$90=G66,H66,"")</f>
        <v/>
      </c>
      <c r="J66" s="14" t="str">
        <f>IFERROR(SMALL($I$8:$I$100,ROWS(I$8:$I66)),"")</f>
        <v/>
      </c>
    </row>
    <row r="67" spans="2:10" ht="13.8" x14ac:dyDescent="0.3">
      <c r="B67" s="486">
        <v>220</v>
      </c>
      <c r="C67" s="483">
        <v>0.37</v>
      </c>
      <c r="D67" s="811">
        <f t="shared" si="6"/>
        <v>2.64</v>
      </c>
      <c r="E67" s="480"/>
      <c r="F67" s="499"/>
      <c r="G67" s="812" t="s">
        <v>293</v>
      </c>
      <c r="H67" s="47">
        <f>ROWS(G$8:$G67)</f>
        <v>60</v>
      </c>
      <c r="I67" s="14" t="str">
        <f>IF(ID!$B$90=G67,H67,"")</f>
        <v/>
      </c>
      <c r="J67" s="14" t="str">
        <f>IFERROR(SMALL($I$8:$I$100,ROWS(I$8:$I67)),"")</f>
        <v/>
      </c>
    </row>
    <row r="68" spans="2:10" ht="14.4" thickBot="1" x14ac:dyDescent="0.35">
      <c r="B68" s="487">
        <v>230</v>
      </c>
      <c r="C68" s="483">
        <v>0.47</v>
      </c>
      <c r="D68" s="811">
        <f t="shared" si="6"/>
        <v>2.7600000000000002</v>
      </c>
      <c r="E68" s="480"/>
      <c r="F68" s="499"/>
      <c r="G68" s="812" t="s">
        <v>293</v>
      </c>
      <c r="H68" s="47">
        <f>ROWS(G$8:$G68)</f>
        <v>61</v>
      </c>
      <c r="I68" s="14" t="str">
        <f>IF(ID!$B$90=G68,H68,"")</f>
        <v/>
      </c>
      <c r="J68" s="14" t="str">
        <f>IFERROR(SMALL($I$8:$I$100,ROWS(I$8:$I68)),"")</f>
        <v/>
      </c>
    </row>
    <row r="69" spans="2:10" ht="13.8" x14ac:dyDescent="0.3">
      <c r="B69" s="813">
        <v>240</v>
      </c>
      <c r="C69" s="814">
        <v>0.38</v>
      </c>
      <c r="D69" s="811">
        <f t="shared" si="6"/>
        <v>2.88</v>
      </c>
      <c r="E69" s="480"/>
      <c r="F69" s="499"/>
      <c r="G69" s="812" t="s">
        <v>293</v>
      </c>
      <c r="H69" s="47">
        <f>ROWS(G$8:$G69)</f>
        <v>62</v>
      </c>
      <c r="I69" s="14" t="str">
        <f>IF(ID!$B$90=G69,H69,"")</f>
        <v/>
      </c>
      <c r="J69" s="14" t="str">
        <f>IFERROR(SMALL($I$8:$I$100,ROWS(I$8:$I69)),"")</f>
        <v/>
      </c>
    </row>
    <row r="70" spans="2:10" x14ac:dyDescent="0.25">
      <c r="B70" s="826">
        <v>250</v>
      </c>
      <c r="C70" s="827">
        <f>C69</f>
        <v>0.38</v>
      </c>
      <c r="D70" s="811">
        <f t="shared" ref="D70" si="7">1.2%*B70</f>
        <v>3</v>
      </c>
      <c r="E70" s="828"/>
      <c r="F70" s="829"/>
      <c r="G70" s="816" t="s">
        <v>293</v>
      </c>
      <c r="H70" s="47">
        <f>ROWS(G$8:$G70)</f>
        <v>63</v>
      </c>
      <c r="I70" s="14" t="str">
        <f>IF(ID!$B$90=G70,H70,"")</f>
        <v/>
      </c>
      <c r="J70" s="14" t="str">
        <f>IFERROR(SMALL($I$8:$I$100,ROWS(I$8:$I70)),"")</f>
        <v/>
      </c>
    </row>
    <row r="71" spans="2:10" x14ac:dyDescent="0.25">
      <c r="D71" s="823"/>
      <c r="E71" s="556"/>
      <c r="H71" s="47">
        <f>ROWS(G$8:$G71)</f>
        <v>64</v>
      </c>
      <c r="I71" s="14" t="str">
        <f>IF(ID!$B$90=G71,H71,"")</f>
        <v/>
      </c>
      <c r="J71" s="14" t="str">
        <f>IFERROR(SMALL($I$8:$I$100,ROWS(I$8:$I71)),"")</f>
        <v/>
      </c>
    </row>
    <row r="72" spans="2:10" ht="13.8" x14ac:dyDescent="0.25">
      <c r="B72" s="478">
        <v>0</v>
      </c>
      <c r="C72" s="810">
        <v>9.9999999999999995E-7</v>
      </c>
      <c r="D72" s="811">
        <f>1.2%*B72</f>
        <v>0</v>
      </c>
      <c r="E72" s="480" t="s">
        <v>474</v>
      </c>
      <c r="F72" s="481" t="s">
        <v>470</v>
      </c>
      <c r="G72" s="812" t="s">
        <v>475</v>
      </c>
      <c r="H72" s="47">
        <f>ROWS(G$8:$G72)</f>
        <v>65</v>
      </c>
      <c r="I72" s="14" t="str">
        <f>IF(ID!$B$90=G72,H72,"")</f>
        <v/>
      </c>
      <c r="J72" s="14" t="str">
        <f>IFERROR(SMALL($I$8:$I$100,ROWS(I$8:$I72)),"")</f>
        <v/>
      </c>
    </row>
    <row r="73" spans="2:10" ht="13.8" x14ac:dyDescent="0.3">
      <c r="B73" s="482">
        <v>150</v>
      </c>
      <c r="C73" s="479">
        <v>-0.24</v>
      </c>
      <c r="D73" s="811">
        <f t="shared" ref="D73:D78" si="8">1.2%*B73</f>
        <v>1.8</v>
      </c>
      <c r="E73" s="480"/>
      <c r="F73" s="499"/>
      <c r="G73" s="812" t="s">
        <v>475</v>
      </c>
      <c r="H73" s="47">
        <f>ROWS(G$8:$G73)</f>
        <v>66</v>
      </c>
      <c r="I73" s="14" t="str">
        <f>IF(ID!$B$90=G73,H73,"")</f>
        <v/>
      </c>
      <c r="J73" s="14" t="str">
        <f>IFERROR(SMALL($I$8:$I$100,ROWS(I$8:$I73)),"")</f>
        <v/>
      </c>
    </row>
    <row r="74" spans="2:10" ht="13.8" x14ac:dyDescent="0.3">
      <c r="B74" s="482">
        <v>180</v>
      </c>
      <c r="C74" s="483">
        <v>-0.14000000000000001</v>
      </c>
      <c r="D74" s="811">
        <f t="shared" si="8"/>
        <v>2.16</v>
      </c>
      <c r="E74" s="480"/>
      <c r="F74" s="499"/>
      <c r="G74" s="812" t="s">
        <v>475</v>
      </c>
      <c r="H74" s="47">
        <f>ROWS(G$8:$G74)</f>
        <v>67</v>
      </c>
      <c r="I74" s="14" t="str">
        <f>IF(ID!$B$90=G74,H74,"")</f>
        <v/>
      </c>
      <c r="J74" s="14" t="str">
        <f>IFERROR(SMALL($I$8:$I$100,ROWS(I$8:$I74)),"")</f>
        <v/>
      </c>
    </row>
    <row r="75" spans="2:10" ht="13.8" x14ac:dyDescent="0.3">
      <c r="B75" s="482">
        <v>200</v>
      </c>
      <c r="C75" s="483">
        <v>-0.33</v>
      </c>
      <c r="D75" s="811">
        <f t="shared" si="8"/>
        <v>2.4</v>
      </c>
      <c r="E75" s="480"/>
      <c r="F75" s="499"/>
      <c r="G75" s="812" t="s">
        <v>475</v>
      </c>
      <c r="H75" s="47">
        <f>ROWS(G$8:$G75)</f>
        <v>68</v>
      </c>
      <c r="I75" s="14" t="str">
        <f>IF(ID!$B$90=G75,H75,"")</f>
        <v/>
      </c>
      <c r="J75" s="14" t="str">
        <f>IFERROR(SMALL($I$8:$I$100,ROWS(I$8:$I75)),"")</f>
        <v/>
      </c>
    </row>
    <row r="76" spans="2:10" ht="13.8" x14ac:dyDescent="0.3">
      <c r="B76" s="486">
        <v>220</v>
      </c>
      <c r="C76" s="483">
        <v>-0.45</v>
      </c>
      <c r="D76" s="811">
        <f t="shared" si="8"/>
        <v>2.64</v>
      </c>
      <c r="E76" s="480"/>
      <c r="F76" s="499"/>
      <c r="G76" s="812" t="s">
        <v>475</v>
      </c>
      <c r="H76" s="47">
        <f>ROWS(G$8:$G76)</f>
        <v>69</v>
      </c>
      <c r="I76" s="14" t="str">
        <f>IF(ID!$B$90=G76,H76,"")</f>
        <v/>
      </c>
      <c r="J76" s="14" t="str">
        <f>IFERROR(SMALL($I$8:$I$100,ROWS(I$8:$I76)),"")</f>
        <v/>
      </c>
    </row>
    <row r="77" spans="2:10" ht="14.4" thickBot="1" x14ac:dyDescent="0.35">
      <c r="B77" s="487">
        <v>230</v>
      </c>
      <c r="C77" s="483">
        <v>-0.54</v>
      </c>
      <c r="D77" s="811">
        <f t="shared" si="8"/>
        <v>2.7600000000000002</v>
      </c>
      <c r="E77" s="480"/>
      <c r="F77" s="499"/>
      <c r="G77" s="812" t="s">
        <v>475</v>
      </c>
      <c r="H77" s="47">
        <f>ROWS(G$8:$G77)</f>
        <v>70</v>
      </c>
      <c r="I77" s="14" t="str">
        <f>IF(ID!$B$90=G77,H77,"")</f>
        <v/>
      </c>
      <c r="J77" s="14" t="str">
        <f>IFERROR(SMALL($I$8:$I$100,ROWS(I$8:$I77)),"")</f>
        <v/>
      </c>
    </row>
    <row r="78" spans="2:10" ht="13.8" x14ac:dyDescent="0.3">
      <c r="B78" s="488">
        <v>240</v>
      </c>
      <c r="C78" s="489">
        <v>-0.49</v>
      </c>
      <c r="D78" s="811">
        <f t="shared" si="8"/>
        <v>2.88</v>
      </c>
      <c r="E78" s="480"/>
      <c r="F78" s="499"/>
      <c r="G78" s="824" t="s">
        <v>475</v>
      </c>
      <c r="H78" s="47">
        <f>ROWS(G$8:$G78)</f>
        <v>71</v>
      </c>
      <c r="I78" s="14" t="str">
        <f>IF(ID!$B$90=G78,H78,"")</f>
        <v/>
      </c>
      <c r="J78" s="14" t="str">
        <f>IFERROR(SMALL($I$8:$I$100,ROWS(I$8:$I78)),"")</f>
        <v/>
      </c>
    </row>
    <row r="79" spans="2:10" x14ac:dyDescent="0.25">
      <c r="D79" s="823"/>
      <c r="E79" s="556"/>
      <c r="H79" s="47">
        <f>ROWS(G$8:$G79)</f>
        <v>72</v>
      </c>
      <c r="I79" s="14" t="str">
        <f>IF(ID!$B$90=G79,H79,"")</f>
        <v/>
      </c>
      <c r="J79" s="14" t="str">
        <f>IFERROR(SMALL($I$8:$I$100,ROWS(I$8:$I79)),"")</f>
        <v/>
      </c>
    </row>
    <row r="80" spans="2:10" x14ac:dyDescent="0.25">
      <c r="D80" s="823"/>
      <c r="E80" s="556"/>
      <c r="H80" s="47">
        <f>ROWS(G$8:$G80)</f>
        <v>73</v>
      </c>
      <c r="I80" s="14" t="str">
        <f>IF(ID!$B$90=G80,H80,"")</f>
        <v/>
      </c>
      <c r="J80" s="14" t="str">
        <f>IFERROR(SMALL($I$8:$I$100,ROWS(I$8:$I80)),"")</f>
        <v/>
      </c>
    </row>
    <row r="81" spans="2:10" ht="13.8" x14ac:dyDescent="0.25">
      <c r="B81" s="478">
        <v>0</v>
      </c>
      <c r="C81" s="810">
        <v>9.9999999999999995E-7</v>
      </c>
      <c r="D81" s="811">
        <f>1.2%*B81</f>
        <v>0</v>
      </c>
      <c r="E81" s="480" t="s">
        <v>474</v>
      </c>
      <c r="F81" s="481" t="s">
        <v>467</v>
      </c>
      <c r="G81" s="812" t="s">
        <v>476</v>
      </c>
      <c r="H81" s="47">
        <f>ROWS(G$8:$G81)</f>
        <v>74</v>
      </c>
      <c r="I81" s="14" t="str">
        <f>IF(ID!$B$90=G81,H81,"")</f>
        <v/>
      </c>
      <c r="J81" s="14" t="str">
        <f>IFERROR(SMALL($I$8:$I$100,ROWS(I$8:$I81)),"")</f>
        <v/>
      </c>
    </row>
    <row r="82" spans="2:10" ht="13.8" x14ac:dyDescent="0.3">
      <c r="B82" s="482">
        <v>150</v>
      </c>
      <c r="C82" s="479">
        <v>-0.17</v>
      </c>
      <c r="D82" s="811">
        <f t="shared" ref="D82:D87" si="9">1.2%*B82</f>
        <v>1.8</v>
      </c>
      <c r="E82" s="480"/>
      <c r="F82" s="499"/>
      <c r="G82" s="812" t="s">
        <v>476</v>
      </c>
      <c r="H82" s="47">
        <f>ROWS(G$8:$G82)</f>
        <v>75</v>
      </c>
      <c r="I82" s="14" t="str">
        <f>IF(ID!$B$90=G82,H82,"")</f>
        <v/>
      </c>
      <c r="J82" s="14" t="str">
        <f>IFERROR(SMALL($I$8:$I$100,ROWS(I$8:$I82)),"")</f>
        <v/>
      </c>
    </row>
    <row r="83" spans="2:10" ht="13.8" x14ac:dyDescent="0.3">
      <c r="B83" s="482">
        <v>180</v>
      </c>
      <c r="C83" s="483">
        <v>-0.22</v>
      </c>
      <c r="D83" s="811">
        <f t="shared" si="9"/>
        <v>2.16</v>
      </c>
      <c r="E83" s="480"/>
      <c r="F83" s="499"/>
      <c r="G83" s="812" t="s">
        <v>476</v>
      </c>
      <c r="H83" s="47">
        <f>ROWS(G$8:$G83)</f>
        <v>76</v>
      </c>
      <c r="I83" s="14" t="str">
        <f>IF(ID!$B$90=G83,H83,"")</f>
        <v/>
      </c>
      <c r="J83" s="14" t="str">
        <f>IFERROR(SMALL($I$8:$I$100,ROWS(I$8:$I83)),"")</f>
        <v/>
      </c>
    </row>
    <row r="84" spans="2:10" ht="13.8" x14ac:dyDescent="0.3">
      <c r="B84" s="482">
        <v>200</v>
      </c>
      <c r="C84" s="483">
        <v>-0.33</v>
      </c>
      <c r="D84" s="811">
        <f t="shared" si="9"/>
        <v>2.4</v>
      </c>
      <c r="E84" s="480"/>
      <c r="F84" s="499"/>
      <c r="G84" s="812" t="s">
        <v>476</v>
      </c>
      <c r="H84" s="47">
        <f>ROWS(G$8:$G84)</f>
        <v>77</v>
      </c>
      <c r="I84" s="14" t="str">
        <f>IF(ID!$B$90=G84,H84,"")</f>
        <v/>
      </c>
      <c r="J84" s="14" t="str">
        <f>IFERROR(SMALL($I$8:$I$100,ROWS(I$8:$I84)),"")</f>
        <v/>
      </c>
    </row>
    <row r="85" spans="2:10" ht="13.8" x14ac:dyDescent="0.3">
      <c r="B85" s="486">
        <v>220</v>
      </c>
      <c r="C85" s="483">
        <v>-0.39</v>
      </c>
      <c r="D85" s="811">
        <f t="shared" si="9"/>
        <v>2.64</v>
      </c>
      <c r="E85" s="480"/>
      <c r="F85" s="499"/>
      <c r="G85" s="812" t="s">
        <v>476</v>
      </c>
      <c r="H85" s="47">
        <f>ROWS(G$8:$G85)</f>
        <v>78</v>
      </c>
      <c r="I85" s="14" t="str">
        <f>IF(ID!$B$90=G85,H85,"")</f>
        <v/>
      </c>
      <c r="J85" s="14" t="str">
        <f>IFERROR(SMALL($I$8:$I$100,ROWS(I$8:$I85)),"")</f>
        <v/>
      </c>
    </row>
    <row r="86" spans="2:10" ht="14.4" thickBot="1" x14ac:dyDescent="0.35">
      <c r="B86" s="487">
        <v>230</v>
      </c>
      <c r="C86" s="483">
        <v>-0.39</v>
      </c>
      <c r="D86" s="811">
        <f t="shared" si="9"/>
        <v>2.7600000000000002</v>
      </c>
      <c r="E86" s="480"/>
      <c r="F86" s="499"/>
      <c r="G86" s="812" t="s">
        <v>476</v>
      </c>
      <c r="H86" s="47">
        <f>ROWS(G$8:$G86)</f>
        <v>79</v>
      </c>
      <c r="I86" s="14" t="str">
        <f>IF(ID!$B$90=G86,H86,"")</f>
        <v/>
      </c>
      <c r="J86" s="14" t="str">
        <f>IFERROR(SMALL($I$8:$I$100,ROWS(I$8:$I86)),"")</f>
        <v/>
      </c>
    </row>
    <row r="87" spans="2:10" ht="13.8" x14ac:dyDescent="0.3">
      <c r="B87" s="488">
        <v>240</v>
      </c>
      <c r="C87" s="489">
        <v>-0.39</v>
      </c>
      <c r="D87" s="811">
        <f t="shared" si="9"/>
        <v>2.88</v>
      </c>
      <c r="E87" s="480"/>
      <c r="F87" s="499"/>
      <c r="G87" s="824" t="s">
        <v>476</v>
      </c>
      <c r="H87" s="47">
        <f>ROWS(G$8:$G87)</f>
        <v>80</v>
      </c>
      <c r="I87" s="14" t="str">
        <f>IF(ID!$B$90=G87,H87,"")</f>
        <v/>
      </c>
      <c r="J87" s="14" t="str">
        <f>IFERROR(SMALL($I$8:$I$100,ROWS(I$8:$I87)),"")</f>
        <v/>
      </c>
    </row>
    <row r="88" spans="2:10" x14ac:dyDescent="0.25">
      <c r="D88" s="823"/>
      <c r="E88" s="556"/>
      <c r="H88" s="47">
        <f>ROWS(G$8:$G88)</f>
        <v>81</v>
      </c>
      <c r="I88" s="14" t="str">
        <f>IF(ID!$B$90=G88,H88,"")</f>
        <v/>
      </c>
      <c r="J88" s="14" t="str">
        <f>IFERROR(SMALL($I$8:$I$100,ROWS(I$8:$I88)),"")</f>
        <v/>
      </c>
    </row>
    <row r="89" spans="2:10" x14ac:dyDescent="0.25">
      <c r="D89" s="823"/>
      <c r="E89" s="556"/>
      <c r="H89" s="47">
        <f>ROWS(G$8:$G89)</f>
        <v>82</v>
      </c>
      <c r="I89" s="14" t="str">
        <f>IF(ID!$B$90=G89,H89,"")</f>
        <v/>
      </c>
      <c r="J89" s="14" t="str">
        <f>IFERROR(SMALL($I$8:$I$100,ROWS(I$8:$I89)),"")</f>
        <v/>
      </c>
    </row>
    <row r="90" spans="2:10" ht="13.8" x14ac:dyDescent="0.25">
      <c r="B90" s="478">
        <v>0</v>
      </c>
      <c r="C90" s="810">
        <v>9.9999999999999995E-7</v>
      </c>
      <c r="D90" s="811">
        <f>1.2%*B90</f>
        <v>0</v>
      </c>
      <c r="E90" s="820" t="s">
        <v>477</v>
      </c>
      <c r="F90" s="481" t="s">
        <v>470</v>
      </c>
      <c r="G90" s="812"/>
      <c r="H90" s="47">
        <f>ROWS(G$8:$G90)</f>
        <v>83</v>
      </c>
      <c r="I90" s="14" t="str">
        <f>IF(ID!$B$90=G90,H90,"")</f>
        <v/>
      </c>
      <c r="J90" s="14" t="str">
        <f>IFERROR(SMALL($I$8:$I$100,ROWS(I$8:$I90)),"")</f>
        <v/>
      </c>
    </row>
    <row r="91" spans="2:10" ht="13.8" x14ac:dyDescent="0.3">
      <c r="B91" s="482">
        <v>150</v>
      </c>
      <c r="C91" s="479">
        <v>-0.05</v>
      </c>
      <c r="D91" s="811">
        <f t="shared" ref="D91:D95" si="10">1.2%*B91</f>
        <v>1.8</v>
      </c>
      <c r="E91" s="497"/>
      <c r="F91" s="499" t="s">
        <v>519</v>
      </c>
      <c r="G91" s="812"/>
      <c r="H91" s="47">
        <f>ROWS(G$8:$G91)</f>
        <v>84</v>
      </c>
      <c r="I91" s="14" t="str">
        <f>IF(ID!$B$90=G91,H91,"")</f>
        <v/>
      </c>
      <c r="J91" s="14" t="str">
        <f>IFERROR(SMALL($I$8:$I$100,ROWS(I$8:$I91)),"")</f>
        <v/>
      </c>
    </row>
    <row r="92" spans="2:10" ht="13.8" x14ac:dyDescent="0.3">
      <c r="B92" s="482">
        <v>180</v>
      </c>
      <c r="C92" s="483">
        <v>-0.04</v>
      </c>
      <c r="D92" s="811">
        <f t="shared" si="10"/>
        <v>2.16</v>
      </c>
      <c r="E92" s="497"/>
      <c r="F92" s="499"/>
      <c r="G92" s="812"/>
      <c r="H92" s="47">
        <f>ROWS(G$8:$G92)</f>
        <v>85</v>
      </c>
      <c r="I92" s="14" t="str">
        <f>IF(ID!$B$90=G92,H92,"")</f>
        <v/>
      </c>
      <c r="J92" s="14" t="str">
        <f>IFERROR(SMALL($I$8:$I$100,ROWS(I$8:$I92)),"")</f>
        <v/>
      </c>
    </row>
    <row r="93" spans="2:10" ht="13.8" x14ac:dyDescent="0.3">
      <c r="B93" s="482">
        <v>200</v>
      </c>
      <c r="C93" s="483">
        <v>-0.67</v>
      </c>
      <c r="D93" s="811">
        <f t="shared" si="10"/>
        <v>2.4</v>
      </c>
      <c r="E93" s="497"/>
      <c r="F93" s="499"/>
      <c r="G93" s="812"/>
      <c r="H93" s="47">
        <f>ROWS(G$8:$G93)</f>
        <v>86</v>
      </c>
      <c r="I93" s="14" t="str">
        <f>IF(ID!$B$90=G93,H93,"")</f>
        <v/>
      </c>
      <c r="J93" s="14" t="str">
        <f>IFERROR(SMALL($I$8:$I$100,ROWS(I$8:$I93)),"")</f>
        <v/>
      </c>
    </row>
    <row r="94" spans="2:10" ht="13.8" x14ac:dyDescent="0.3">
      <c r="B94" s="486">
        <v>220</v>
      </c>
      <c r="C94" s="810">
        <v>9.9999999999999995E-7</v>
      </c>
      <c r="D94" s="811">
        <f t="shared" si="10"/>
        <v>2.64</v>
      </c>
      <c r="E94" s="497"/>
      <c r="F94" s="499"/>
      <c r="G94" s="812"/>
      <c r="H94" s="47">
        <f>ROWS(G$8:$G94)</f>
        <v>87</v>
      </c>
      <c r="I94" s="14" t="str">
        <f>IF(ID!$B$90=G94,H94,"")</f>
        <v/>
      </c>
      <c r="J94" s="14" t="str">
        <f>IFERROR(SMALL($I$8:$I$100,ROWS(I$8:$I94)),"")</f>
        <v/>
      </c>
    </row>
    <row r="95" spans="2:10" ht="14.4" thickBot="1" x14ac:dyDescent="0.35">
      <c r="B95" s="487">
        <v>230</v>
      </c>
      <c r="C95" s="483">
        <v>-0.11</v>
      </c>
      <c r="D95" s="811">
        <f t="shared" si="10"/>
        <v>2.7600000000000002</v>
      </c>
      <c r="E95" s="497"/>
      <c r="F95" s="499"/>
      <c r="G95" s="812"/>
      <c r="H95" s="47">
        <f>ROWS(G$8:$G95)</f>
        <v>88</v>
      </c>
      <c r="I95" s="14" t="str">
        <f>IF(ID!$B$90=G95,H95,"")</f>
        <v/>
      </c>
      <c r="J95" s="14" t="str">
        <f>IFERROR(SMALL($I$8:$I$100,ROWS(I$8:$I95)),"")</f>
        <v/>
      </c>
    </row>
    <row r="96" spans="2:10" x14ac:dyDescent="0.25">
      <c r="B96" s="488"/>
      <c r="C96" s="489"/>
      <c r="D96" s="811"/>
      <c r="H96" s="47">
        <f>ROWS(G$8:$G96)</f>
        <v>89</v>
      </c>
      <c r="I96" s="14" t="str">
        <f>IF(ID!$B$90=G96,H96,"")</f>
        <v/>
      </c>
      <c r="J96" s="14" t="str">
        <f>IFERROR(SMALL($I$8:$I$100,ROWS(I$8:$I96)),"")</f>
        <v/>
      </c>
    </row>
    <row r="97" spans="8:10" x14ac:dyDescent="0.25">
      <c r="H97" s="47">
        <f>ROWS(G$8:$G97)</f>
        <v>90</v>
      </c>
      <c r="I97" s="14" t="str">
        <f>IF(ID!$B$90=G97,H97,"")</f>
        <v/>
      </c>
      <c r="J97" s="14" t="str">
        <f>IFERROR(SMALL($I$8:$I$100,ROWS(I$8:$I97)),"")</f>
        <v/>
      </c>
    </row>
    <row r="98" spans="8:10" x14ac:dyDescent="0.25">
      <c r="H98" s="47">
        <f>ROWS(G$8:$G98)</f>
        <v>91</v>
      </c>
      <c r="I98" s="14" t="str">
        <f>IF(ID!$B$90=G98,H98,"")</f>
        <v/>
      </c>
      <c r="J98" s="14" t="str">
        <f>IFERROR(SMALL($I$8:$I$100,ROWS(I$8:$I98)),"")</f>
        <v/>
      </c>
    </row>
    <row r="99" spans="8:10" x14ac:dyDescent="0.25">
      <c r="H99" s="47">
        <f>ROWS(G$8:$G99)</f>
        <v>92</v>
      </c>
      <c r="I99" s="14" t="str">
        <f>IF(ID!$B$90=G99,H99,"")</f>
        <v/>
      </c>
      <c r="J99" s="14" t="str">
        <f>IFERROR(SMALL($I$8:$I$100,ROWS(I$8:$I99)),"")</f>
        <v/>
      </c>
    </row>
    <row r="100" spans="8:10" x14ac:dyDescent="0.25">
      <c r="H100" s="47">
        <f>ROWS(G$8:$G100)</f>
        <v>93</v>
      </c>
      <c r="I100" s="14" t="str">
        <f>IF(ID!$B$90=G100,H100,"")</f>
        <v/>
      </c>
      <c r="J100" s="14" t="str">
        <f>IFERROR(SMALL($I$8:$I$100,ROWS(I$8:$I100)),"")</f>
        <v/>
      </c>
    </row>
  </sheetData>
  <sheetProtection algorithmName="SHA-512" hashValue="7F9iGqBnLRpWHuDDF/4q6N60hWA50LKGS51TjfZYgubWbuwsJzzCWS7rhtEhS6WG8etfz9XQy4vvK7sKiiZnvw==" saltValue="ufz2igmxjQO5hPhgBbs+Ow==" spinCount="100000" sheet="1" objects="1" scenarios="1"/>
  <pageMargins left="0.7" right="0.7" top="0.75" bottom="0.75" header="0.3" footer="0.3"/>
  <pageSetup orientation="portrait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B2:Q105"/>
  <sheetViews>
    <sheetView topLeftCell="G1" workbookViewId="0">
      <selection activeCell="L25" sqref="L25"/>
    </sheetView>
  </sheetViews>
  <sheetFormatPr defaultColWidth="9.109375" defaultRowHeight="13.2" x14ac:dyDescent="0.25"/>
  <cols>
    <col min="1" max="4" width="9.109375" style="412"/>
    <col min="5" max="5" width="64.88671875" style="412" customWidth="1"/>
    <col min="6" max="14" width="9.109375" style="412"/>
    <col min="15" max="15" width="58.88671875" style="412" customWidth="1"/>
    <col min="16" max="16384" width="9.109375" style="412"/>
  </cols>
  <sheetData>
    <row r="2" spans="2:17" x14ac:dyDescent="0.25">
      <c r="K2" s="420"/>
      <c r="L2" s="420"/>
      <c r="M2" s="420"/>
      <c r="N2" s="420"/>
      <c r="O2" s="421" t="s">
        <v>304</v>
      </c>
      <c r="P2" s="429"/>
      <c r="Q2" s="429"/>
    </row>
    <row r="3" spans="2:17" x14ac:dyDescent="0.25">
      <c r="K3" s="420"/>
      <c r="L3" s="420"/>
      <c r="M3" s="420"/>
      <c r="N3" s="420"/>
      <c r="O3" s="414" t="s">
        <v>319</v>
      </c>
    </row>
    <row r="4" spans="2:17" x14ac:dyDescent="0.25">
      <c r="K4" s="420"/>
      <c r="L4" s="420"/>
      <c r="M4" s="420"/>
      <c r="N4" s="420"/>
      <c r="O4" s="414" t="s">
        <v>319</v>
      </c>
    </row>
    <row r="5" spans="2:17" x14ac:dyDescent="0.25">
      <c r="K5" s="420"/>
      <c r="L5" s="420"/>
      <c r="M5" s="420"/>
      <c r="N5" s="420"/>
      <c r="O5" s="414" t="s">
        <v>320</v>
      </c>
    </row>
    <row r="6" spans="2:17" x14ac:dyDescent="0.25">
      <c r="K6" s="420"/>
      <c r="L6" s="420"/>
      <c r="M6" s="420"/>
      <c r="N6" s="420"/>
      <c r="O6" s="414" t="s">
        <v>321</v>
      </c>
    </row>
    <row r="7" spans="2:17" ht="13.8" x14ac:dyDescent="0.3">
      <c r="B7" s="475" t="s">
        <v>322</v>
      </c>
      <c r="C7" s="476" t="s">
        <v>310</v>
      </c>
      <c r="D7" s="477" t="s">
        <v>311</v>
      </c>
      <c r="E7" s="2" t="s">
        <v>304</v>
      </c>
      <c r="F7" s="425" t="s">
        <v>313</v>
      </c>
      <c r="G7" s="425" t="s">
        <v>314</v>
      </c>
      <c r="H7" s="425" t="s">
        <v>315</v>
      </c>
      <c r="K7" s="423" t="s">
        <v>323</v>
      </c>
      <c r="L7" s="423" t="s">
        <v>310</v>
      </c>
      <c r="M7" s="424" t="s">
        <v>311</v>
      </c>
      <c r="N7" s="420"/>
      <c r="O7" s="414" t="s">
        <v>324</v>
      </c>
    </row>
    <row r="8" spans="2:17" x14ac:dyDescent="0.25">
      <c r="B8" s="486">
        <v>0</v>
      </c>
      <c r="C8" s="483">
        <v>9.9999999999999995E-7</v>
      </c>
      <c r="D8" s="832">
        <v>2020</v>
      </c>
      <c r="E8" s="812" t="s">
        <v>280</v>
      </c>
      <c r="F8" s="426">
        <f>ROWS(E$8:$E8)</f>
        <v>1</v>
      </c>
      <c r="G8" s="14" t="str">
        <f>IF(ID!$B$90=E8,F8,"")</f>
        <v/>
      </c>
      <c r="H8" s="427">
        <f>IFERROR(SMALL($G$8:$G$105,ROWS(G$8:$G8)),"")</f>
        <v>30</v>
      </c>
      <c r="K8" s="427">
        <f>IFERROR(INDEX($B$8:$D$105,$H8,COLUMNS(J$8:$J8)),"")</f>
        <v>0</v>
      </c>
      <c r="L8" s="431">
        <f>IFERROR(INDEX($B$8:$D$105,$H8,COLUMNS($J$8:K8)),"")</f>
        <v>9.9999999999999995E-7</v>
      </c>
      <c r="M8" s="427">
        <f>IFERROR(INDEX($B$8:$D$105,$H8,COLUMNS($J$8:L8)),"")</f>
        <v>2021</v>
      </c>
      <c r="N8" s="420"/>
      <c r="O8" s="414" t="s">
        <v>325</v>
      </c>
    </row>
    <row r="9" spans="2:17" x14ac:dyDescent="0.25">
      <c r="B9" s="486">
        <v>50</v>
      </c>
      <c r="C9" s="483">
        <v>0.1</v>
      </c>
      <c r="D9" s="832"/>
      <c r="E9" s="812" t="s">
        <v>280</v>
      </c>
      <c r="F9" s="426">
        <f>ROWS(E$8:$E9)</f>
        <v>2</v>
      </c>
      <c r="G9" s="14" t="str">
        <f>IF(ID!$B$90=E9,F9,"")</f>
        <v/>
      </c>
      <c r="H9" s="427">
        <f>IFERROR(SMALL($G$8:$G$105,ROWS(G$8:$G9)),"")</f>
        <v>31</v>
      </c>
      <c r="K9" s="427">
        <f>IFERROR(INDEX($B$8:$D$105,$H9,COLUMNS(J$8:$J9)),"")</f>
        <v>20</v>
      </c>
      <c r="L9" s="431">
        <f>IFERROR(INDEX($B$8:$D$105,$H9,COLUMNS($J$8:K9)),"")</f>
        <v>0.3</v>
      </c>
      <c r="M9" s="427"/>
      <c r="N9" s="420"/>
      <c r="O9" s="414" t="s">
        <v>326</v>
      </c>
    </row>
    <row r="10" spans="2:17" x14ac:dyDescent="0.25">
      <c r="B10" s="486">
        <v>100</v>
      </c>
      <c r="C10" s="483">
        <v>0.2</v>
      </c>
      <c r="D10" s="832"/>
      <c r="E10" s="812" t="s">
        <v>280</v>
      </c>
      <c r="F10" s="426">
        <f>ROWS(E$8:$E10)</f>
        <v>3</v>
      </c>
      <c r="G10" s="14" t="str">
        <f>IF(ID!$B$90=E10,F10,"")</f>
        <v/>
      </c>
      <c r="H10" s="427">
        <f>IFERROR(SMALL($G$8:$G$105,ROWS(G$8:$G10)),"")</f>
        <v>32</v>
      </c>
      <c r="K10" s="427">
        <f>IFERROR(INDEX($B$8:$D$105,$H10,COLUMNS(J$8:$J10)),"")</f>
        <v>50</v>
      </c>
      <c r="L10" s="431">
        <f>IFERROR(INDEX($B$8:$D$105,$H10,COLUMNS($J$8:K10)),"")</f>
        <v>0.4</v>
      </c>
      <c r="M10" s="427"/>
      <c r="N10" s="420"/>
      <c r="O10" s="414" t="s">
        <v>327</v>
      </c>
    </row>
    <row r="11" spans="2:17" x14ac:dyDescent="0.25">
      <c r="B11" s="486">
        <v>200</v>
      </c>
      <c r="C11" s="483">
        <v>0.4</v>
      </c>
      <c r="D11" s="832"/>
      <c r="E11" s="812" t="s">
        <v>280</v>
      </c>
      <c r="F11" s="426">
        <f>ROWS(E$8:$E11)</f>
        <v>4</v>
      </c>
      <c r="G11" s="14" t="str">
        <f>IF(ID!$B$90=E11,F11,"")</f>
        <v/>
      </c>
      <c r="H11" s="427">
        <f>IFERROR(SMALL($G$8:$G$105,ROWS(G$8:$G11)),"")</f>
        <v>33</v>
      </c>
      <c r="K11" s="427">
        <f>IFERROR(INDEX($B$8:$D$105,$H11,COLUMNS(J$8:$J11)),"")</f>
        <v>100</v>
      </c>
      <c r="L11" s="431">
        <f>IFERROR(INDEX($B$8:$D$105,$H11,COLUMNS($J$8:K11)),"")</f>
        <v>0.4</v>
      </c>
      <c r="M11" s="427"/>
      <c r="N11" s="420"/>
      <c r="O11" s="428" t="s">
        <v>2</v>
      </c>
    </row>
    <row r="12" spans="2:17" x14ac:dyDescent="0.25">
      <c r="B12" s="486">
        <v>500</v>
      </c>
      <c r="C12" s="483">
        <v>3.8</v>
      </c>
      <c r="D12" s="832"/>
      <c r="E12" s="812" t="s">
        <v>280</v>
      </c>
      <c r="F12" s="426">
        <f>ROWS(E$8:$E12)</f>
        <v>5</v>
      </c>
      <c r="G12" s="14" t="str">
        <f>IF(ID!$B$90=E12,F12,"")</f>
        <v/>
      </c>
      <c r="H12" s="427">
        <f>IFERROR(SMALL($G$8:$G$105,ROWS(G$8:$G12)),"")</f>
        <v>34</v>
      </c>
      <c r="K12" s="427">
        <f>IFERROR(INDEX($B$8:$D$105,$H12,COLUMNS(J$8:$J12)),"")</f>
        <v>500</v>
      </c>
      <c r="L12" s="431">
        <f>IFERROR(INDEX($B$8:$D$105,$H12,COLUMNS($J$8:K12)),"")</f>
        <v>1.5</v>
      </c>
      <c r="M12" s="427"/>
      <c r="N12" s="420"/>
      <c r="O12" s="428" t="s">
        <v>2</v>
      </c>
    </row>
    <row r="13" spans="2:17" ht="13.8" thickBot="1" x14ac:dyDescent="0.3">
      <c r="B13" s="833">
        <v>700</v>
      </c>
      <c r="C13" s="834">
        <f>C12</f>
        <v>3.8</v>
      </c>
      <c r="D13" s="835"/>
      <c r="E13" s="816" t="s">
        <v>280</v>
      </c>
      <c r="F13" s="426">
        <f>ROWS(E$8:$E13)</f>
        <v>6</v>
      </c>
      <c r="G13" s="14" t="str">
        <f>IF(ID!$B$90=E13,F13,"")</f>
        <v/>
      </c>
      <c r="H13" s="427">
        <f>IFERROR(SMALL($G$8:$G$105,ROWS(G$8:$G13)),"")</f>
        <v>35</v>
      </c>
      <c r="K13" s="427">
        <f>IFERROR(INDEX($B$8:$D$105,$H13,COLUMNS(J$8:$J13)),"")</f>
        <v>700</v>
      </c>
      <c r="L13" s="431">
        <f>IFERROR(INDEX($B$8:$D$105,$H13,COLUMNS($J$8:K13)),"")</f>
        <v>1.5</v>
      </c>
      <c r="M13" s="427"/>
      <c r="N13" s="420"/>
      <c r="O13" s="428" t="s">
        <v>2</v>
      </c>
    </row>
    <row r="14" spans="2:17" x14ac:dyDescent="0.25">
      <c r="B14" s="836"/>
      <c r="C14"/>
      <c r="D14" s="837"/>
      <c r="E14" s="812"/>
      <c r="F14" s="426">
        <f>ROWS(E$8:$E14)</f>
        <v>7</v>
      </c>
      <c r="G14" s="14" t="str">
        <f>IF(ID!$B$90=E14,F14,"")</f>
        <v/>
      </c>
      <c r="H14" s="427" t="str">
        <f>IFERROR(SMALL($G$8:$G$105,ROWS(G$8:$G14)),"")</f>
        <v/>
      </c>
      <c r="K14" s="427" t="str">
        <f>IFERROR(INDEX($B$8:$D$105,$H14,COLUMNS(J$8:$J14)),"")</f>
        <v/>
      </c>
      <c r="L14" s="431" t="str">
        <f>IFERROR(INDEX($B$8:$D$105,$H14,COLUMNS($J$8:K14)),"")</f>
        <v/>
      </c>
      <c r="M14" s="427"/>
      <c r="N14" s="420"/>
      <c r="O14" s="428" t="s">
        <v>2</v>
      </c>
    </row>
    <row r="15" spans="2:17" x14ac:dyDescent="0.25">
      <c r="B15" s="836"/>
      <c r="C15"/>
      <c r="D15"/>
      <c r="E15"/>
      <c r="F15" s="426">
        <f>ROWS(E$8:$E15)</f>
        <v>8</v>
      </c>
      <c r="G15" s="14" t="str">
        <f>IF(ID!$B$90=E15,F15,"")</f>
        <v/>
      </c>
      <c r="H15" s="427" t="str">
        <f>IFERROR(SMALL($G$8:$G$105,ROWS(G$8:$G15)),"")</f>
        <v/>
      </c>
    </row>
    <row r="16" spans="2:17" x14ac:dyDescent="0.25">
      <c r="B16" s="836"/>
      <c r="C16"/>
      <c r="D16"/>
      <c r="E16"/>
      <c r="F16" s="426">
        <f>ROWS(E$8:$E16)</f>
        <v>9</v>
      </c>
      <c r="G16" s="14" t="str">
        <f>IF(ID!$B$90=E16,F16,"")</f>
        <v/>
      </c>
      <c r="H16" s="427" t="str">
        <f>IFERROR(SMALL($G$8:$G$105,ROWS(G$8:$G16)),"")</f>
        <v/>
      </c>
    </row>
    <row r="17" spans="2:8" x14ac:dyDescent="0.25">
      <c r="B17" s="836"/>
      <c r="C17"/>
      <c r="D17"/>
      <c r="E17"/>
      <c r="F17" s="426">
        <f>ROWS(E$8:$E17)</f>
        <v>10</v>
      </c>
      <c r="G17" s="14" t="str">
        <f>IF(ID!$B$90=E17,F17,"")</f>
        <v/>
      </c>
      <c r="H17" s="427" t="str">
        <f>IFERROR(SMALL($G$8:$G$105,ROWS(G$8:$G17)),"")</f>
        <v/>
      </c>
    </row>
    <row r="18" spans="2:8" x14ac:dyDescent="0.25">
      <c r="B18" s="486">
        <v>0</v>
      </c>
      <c r="C18" s="838">
        <v>0.3</v>
      </c>
      <c r="D18" s="832">
        <v>2019</v>
      </c>
      <c r="E18" s="812" t="s">
        <v>282</v>
      </c>
      <c r="F18" s="426">
        <f>ROWS(E$8:$E18)</f>
        <v>11</v>
      </c>
      <c r="G18" s="14" t="str">
        <f>IF(ID!$B$90=E18,F18,"")</f>
        <v/>
      </c>
      <c r="H18" s="427" t="str">
        <f>IFERROR(SMALL($G$8:$G$105,ROWS(G$8:$G18)),"")</f>
        <v/>
      </c>
    </row>
    <row r="19" spans="2:8" x14ac:dyDescent="0.25">
      <c r="B19" s="486">
        <v>50</v>
      </c>
      <c r="C19" s="838">
        <v>0.1</v>
      </c>
      <c r="D19" s="832"/>
      <c r="E19" s="812" t="s">
        <v>282</v>
      </c>
      <c r="F19" s="426">
        <f>ROWS(E$8:$E19)</f>
        <v>12</v>
      </c>
      <c r="G19" s="14" t="str">
        <f>IF(ID!$B$90=E19,F19,"")</f>
        <v/>
      </c>
      <c r="H19" s="427" t="str">
        <f>IFERROR(SMALL($G$8:$G$105,ROWS(G$8:$G19)),"")</f>
        <v/>
      </c>
    </row>
    <row r="20" spans="2:8" x14ac:dyDescent="0.25">
      <c r="B20" s="486">
        <v>100</v>
      </c>
      <c r="C20" s="838">
        <v>0.4</v>
      </c>
      <c r="D20" s="832"/>
      <c r="E20" s="812" t="s">
        <v>282</v>
      </c>
      <c r="F20" s="426">
        <f>ROWS(E$8:$E20)</f>
        <v>13</v>
      </c>
      <c r="G20" s="14" t="str">
        <f>IF(ID!$B$90=E20,F20,"")</f>
        <v/>
      </c>
      <c r="H20" s="427" t="str">
        <f>IFERROR(SMALL($G$8:$G$105,ROWS(G$8:$G20)),"")</f>
        <v/>
      </c>
    </row>
    <row r="21" spans="2:8" x14ac:dyDescent="0.25">
      <c r="B21" s="486">
        <v>200</v>
      </c>
      <c r="C21" s="838">
        <v>0.7</v>
      </c>
      <c r="D21" s="832"/>
      <c r="E21" s="812" t="s">
        <v>282</v>
      </c>
      <c r="F21" s="426">
        <f>ROWS(E$8:$E21)</f>
        <v>14</v>
      </c>
      <c r="G21" s="14" t="str">
        <f>IF(ID!$B$90=E21,F21,"")</f>
        <v/>
      </c>
      <c r="H21" s="427" t="str">
        <f>IFERROR(SMALL($G$8:$G$105,ROWS(G$8:$G21)),"")</f>
        <v/>
      </c>
    </row>
    <row r="22" spans="2:8" x14ac:dyDescent="0.25">
      <c r="B22" s="486">
        <v>500</v>
      </c>
      <c r="C22" s="839">
        <v>0.8</v>
      </c>
      <c r="D22" s="832"/>
      <c r="E22" s="812" t="s">
        <v>282</v>
      </c>
      <c r="F22" s="426">
        <f>ROWS(E$8:$E22)</f>
        <v>15</v>
      </c>
      <c r="G22" s="14" t="str">
        <f>IF(ID!$B$90=E22,F22,"")</f>
        <v/>
      </c>
      <c r="H22" s="427" t="str">
        <f>IFERROR(SMALL($G$8:$G$105,ROWS(G$8:$G22)),"")</f>
        <v/>
      </c>
    </row>
    <row r="23" spans="2:8" ht="13.8" thickBot="1" x14ac:dyDescent="0.3">
      <c r="B23" s="833">
        <v>700</v>
      </c>
      <c r="C23" s="834">
        <f>C22</f>
        <v>0.8</v>
      </c>
      <c r="D23" s="835"/>
      <c r="E23" s="822" t="s">
        <v>282</v>
      </c>
      <c r="F23" s="426">
        <f>ROWS(E$8:$E23)</f>
        <v>16</v>
      </c>
      <c r="G23" s="14" t="str">
        <f>IF(ID!$B$90=E23,F23,"")</f>
        <v/>
      </c>
      <c r="H23" s="427" t="str">
        <f>IFERROR(SMALL($G$8:$G$105,ROWS(G$8:$G23)),"")</f>
        <v/>
      </c>
    </row>
    <row r="24" spans="2:8" ht="13.8" thickBot="1" x14ac:dyDescent="0.3">
      <c r="B24" s="487"/>
      <c r="C24" s="840"/>
      <c r="D24" s="835"/>
      <c r="E24" s="816"/>
      <c r="F24" s="426">
        <f>ROWS(E$8:$E24)</f>
        <v>17</v>
      </c>
      <c r="G24" s="14" t="str">
        <f>IF(ID!$B$90=E24,F24,"")</f>
        <v/>
      </c>
      <c r="H24" s="427" t="str">
        <f>IFERROR(SMALL($G$8:$G$105,ROWS(G$8:$G24)),"")</f>
        <v/>
      </c>
    </row>
    <row r="25" spans="2:8" x14ac:dyDescent="0.25">
      <c r="B25" s="501"/>
      <c r="C25" s="841"/>
      <c r="D25" s="493"/>
      <c r="E25"/>
      <c r="F25" s="426">
        <f>ROWS(E$8:$E25)</f>
        <v>18</v>
      </c>
      <c r="G25" s="14" t="str">
        <f>IF(ID!$B$90=E25,F25,"")</f>
        <v/>
      </c>
      <c r="H25" s="427" t="str">
        <f>IFERROR(SMALL($G$8:$G$105,ROWS(G$8:$G25)),"")</f>
        <v/>
      </c>
    </row>
    <row r="26" spans="2:8" x14ac:dyDescent="0.25">
      <c r="B26" s="836"/>
      <c r="C26"/>
      <c r="D26"/>
      <c r="E26"/>
      <c r="F26" s="426">
        <f>ROWS(E$8:$E26)</f>
        <v>19</v>
      </c>
      <c r="G26" s="14" t="str">
        <f>IF(ID!$B$90=E26,F26,"")</f>
        <v/>
      </c>
      <c r="H26" s="427" t="str">
        <f>IFERROR(SMALL($G$8:$G$105,ROWS(G$8:$G26)),"")</f>
        <v/>
      </c>
    </row>
    <row r="27" spans="2:8" x14ac:dyDescent="0.25">
      <c r="B27" s="836"/>
      <c r="C27"/>
      <c r="D27"/>
      <c r="E27" s="29"/>
      <c r="F27" s="426">
        <f>ROWS(E$8:$E27)</f>
        <v>20</v>
      </c>
      <c r="G27" s="14" t="str">
        <f>IF(ID!$B$90=E27,F27,"")</f>
        <v/>
      </c>
      <c r="H27" s="427" t="str">
        <f>IFERROR(SMALL($G$8:$G$105,ROWS(G$8:$G27)),"")</f>
        <v/>
      </c>
    </row>
    <row r="28" spans="2:8" x14ac:dyDescent="0.25">
      <c r="B28" s="842">
        <v>0</v>
      </c>
      <c r="C28" s="483">
        <v>9.9999999999999995E-7</v>
      </c>
      <c r="D28" s="835">
        <v>2021</v>
      </c>
      <c r="E28" s="822" t="s">
        <v>284</v>
      </c>
      <c r="F28" s="426">
        <f>ROWS(E$8:$E28)</f>
        <v>21</v>
      </c>
      <c r="G28" s="14" t="str">
        <f>IF(ID!$B$90=E28,F28,"")</f>
        <v/>
      </c>
      <c r="H28" s="427" t="str">
        <f>IFERROR(SMALL($G$8:$G$105,ROWS(G$8:$G28)),"")</f>
        <v/>
      </c>
    </row>
    <row r="29" spans="2:8" x14ac:dyDescent="0.25">
      <c r="B29" s="486">
        <v>50</v>
      </c>
      <c r="C29" s="483">
        <v>2.1</v>
      </c>
      <c r="D29" s="493"/>
      <c r="E29" s="812" t="s">
        <v>284</v>
      </c>
      <c r="F29" s="426">
        <f>ROWS(E$8:$E29)</f>
        <v>22</v>
      </c>
      <c r="G29" s="14" t="str">
        <f>IF(ID!$B$90=E29,F29,"")</f>
        <v/>
      </c>
      <c r="H29" s="427" t="str">
        <f>IFERROR(SMALL($G$8:$G$105,ROWS(G$8:$G29)),"")</f>
        <v/>
      </c>
    </row>
    <row r="30" spans="2:8" x14ac:dyDescent="0.25">
      <c r="B30" s="486">
        <v>100</v>
      </c>
      <c r="C30" s="483">
        <v>2.2999999999999998</v>
      </c>
      <c r="D30" s="493"/>
      <c r="E30" s="812" t="s">
        <v>284</v>
      </c>
      <c r="F30" s="426">
        <f>ROWS(E$8:$E30)</f>
        <v>23</v>
      </c>
      <c r="G30" s="14" t="str">
        <f>IF(ID!$B$90=E30,F30,"")</f>
        <v/>
      </c>
      <c r="H30" s="427" t="str">
        <f>IFERROR(SMALL($G$8:$G$105,ROWS(G$8:$G30)),"")</f>
        <v/>
      </c>
    </row>
    <row r="31" spans="2:8" x14ac:dyDescent="0.25">
      <c r="B31" s="486">
        <v>200</v>
      </c>
      <c r="C31" s="483">
        <v>2.5</v>
      </c>
      <c r="D31" s="493"/>
      <c r="E31" s="812" t="s">
        <v>284</v>
      </c>
      <c r="F31" s="426">
        <f>ROWS(E$8:$E31)</f>
        <v>24</v>
      </c>
      <c r="G31" s="14" t="str">
        <f>IF(ID!$B$90=E31,F31,"")</f>
        <v/>
      </c>
      <c r="H31" s="427" t="str">
        <f>IFERROR(SMALL($G$8:$G$105,ROWS(G$8:$G31)),"")</f>
        <v/>
      </c>
    </row>
    <row r="32" spans="2:8" x14ac:dyDescent="0.25">
      <c r="B32" s="486">
        <v>500</v>
      </c>
      <c r="C32" s="483">
        <v>4.3</v>
      </c>
      <c r="D32" s="493"/>
      <c r="E32" s="812" t="s">
        <v>284</v>
      </c>
      <c r="F32" s="426">
        <f>ROWS(E$8:$E32)</f>
        <v>25</v>
      </c>
      <c r="G32" s="14" t="str">
        <f>IF(ID!$B$90=E32,F32,"")</f>
        <v/>
      </c>
      <c r="H32" s="427" t="str">
        <f>IFERROR(SMALL($G$8:$G$105,ROWS(G$8:$G32)),"")</f>
        <v/>
      </c>
    </row>
    <row r="33" spans="2:8" ht="13.8" thickBot="1" x14ac:dyDescent="0.3">
      <c r="B33" s="833">
        <v>700</v>
      </c>
      <c r="C33" s="834">
        <f>C32</f>
        <v>4.3</v>
      </c>
      <c r="D33" s="843"/>
      <c r="E33" s="816" t="s">
        <v>284</v>
      </c>
      <c r="F33" s="426">
        <f>ROWS(E$8:$E33)</f>
        <v>26</v>
      </c>
      <c r="G33" s="14" t="str">
        <f>IF(ID!$B$90=E33,F33,"")</f>
        <v/>
      </c>
      <c r="H33" s="427" t="str">
        <f>IFERROR(SMALL($G$8:$G$105,ROWS(G$8:$G33)),"")</f>
        <v/>
      </c>
    </row>
    <row r="34" spans="2:8" x14ac:dyDescent="0.25">
      <c r="B34" s="836"/>
      <c r="C34"/>
      <c r="D34"/>
      <c r="E34"/>
      <c r="F34" s="426">
        <f>ROWS(E$8:$E34)</f>
        <v>27</v>
      </c>
      <c r="G34" s="14" t="str">
        <f>IF(ID!$B$90=E34,F34,"")</f>
        <v/>
      </c>
      <c r="H34" s="427" t="str">
        <f>IFERROR(SMALL($G$8:$G$105,ROWS(G$8:$G34)),"")</f>
        <v/>
      </c>
    </row>
    <row r="35" spans="2:8" x14ac:dyDescent="0.25">
      <c r="B35" s="836"/>
      <c r="C35"/>
      <c r="D35"/>
      <c r="E35"/>
      <c r="F35" s="426">
        <f>ROWS(E$8:$E35)</f>
        <v>28</v>
      </c>
      <c r="G35" s="14" t="str">
        <f>IF(ID!$B$90=E35,F35,"")</f>
        <v/>
      </c>
      <c r="H35" s="427" t="str">
        <f>IFERROR(SMALL($G$8:$G$105,ROWS(G$8:$G35)),"")</f>
        <v/>
      </c>
    </row>
    <row r="36" spans="2:8" x14ac:dyDescent="0.25">
      <c r="B36" s="836"/>
      <c r="C36"/>
      <c r="D36"/>
      <c r="E36" s="29"/>
      <c r="F36" s="426">
        <f>ROWS(E$8:$E36)</f>
        <v>29</v>
      </c>
      <c r="G36" s="14" t="str">
        <f>IF(ID!$B$90=E36,F36,"")</f>
        <v/>
      </c>
      <c r="H36" s="427" t="str">
        <f>IFERROR(SMALL($G$8:$G$105,ROWS(G$8:$G36)),"")</f>
        <v/>
      </c>
    </row>
    <row r="37" spans="2:8" x14ac:dyDescent="0.25">
      <c r="B37" s="842">
        <v>0</v>
      </c>
      <c r="C37" s="483">
        <v>9.9999999999999995E-7</v>
      </c>
      <c r="D37" s="844">
        <v>2021</v>
      </c>
      <c r="E37" s="822" t="s">
        <v>164</v>
      </c>
      <c r="F37" s="426">
        <f>ROWS(E$8:$E37)</f>
        <v>30</v>
      </c>
      <c r="G37" s="14">
        <f>IF(ID!$B$90=E37,F37,"")</f>
        <v>30</v>
      </c>
      <c r="H37" s="427" t="str">
        <f>IFERROR(SMALL($G$8:$G$105,ROWS(G$8:$G37)),"")</f>
        <v/>
      </c>
    </row>
    <row r="38" spans="2:8" x14ac:dyDescent="0.25">
      <c r="B38" s="486">
        <v>20</v>
      </c>
      <c r="C38" s="483">
        <v>0.3</v>
      </c>
      <c r="D38" s="493"/>
      <c r="E38" s="824" t="s">
        <v>164</v>
      </c>
      <c r="F38" s="426">
        <f>ROWS(E$8:$E38)</f>
        <v>31</v>
      </c>
      <c r="G38" s="14">
        <f>IF(ID!$B$90=E38,F38,"")</f>
        <v>31</v>
      </c>
      <c r="H38" s="427" t="str">
        <f>IFERROR(SMALL($G$8:$G$105,ROWS(G$8:$G38)),"")</f>
        <v/>
      </c>
    </row>
    <row r="39" spans="2:8" x14ac:dyDescent="0.25">
      <c r="B39" s="486">
        <v>50</v>
      </c>
      <c r="C39" s="483">
        <v>0.4</v>
      </c>
      <c r="D39" s="493"/>
      <c r="E39" s="824" t="s">
        <v>164</v>
      </c>
      <c r="F39" s="426">
        <f>ROWS(E$8:$E39)</f>
        <v>32</v>
      </c>
      <c r="G39" s="14">
        <f>IF(ID!$B$90=E39,F39,"")</f>
        <v>32</v>
      </c>
      <c r="H39" s="427" t="str">
        <f>IFERROR(SMALL($G$8:$G$105,ROWS(G$8:$G39)),"")</f>
        <v/>
      </c>
    </row>
    <row r="40" spans="2:8" x14ac:dyDescent="0.25">
      <c r="B40" s="486">
        <v>100</v>
      </c>
      <c r="C40" s="483">
        <v>0.4</v>
      </c>
      <c r="D40" s="493"/>
      <c r="E40" s="824" t="s">
        <v>164</v>
      </c>
      <c r="F40" s="426">
        <f>ROWS(E$8:$E40)</f>
        <v>33</v>
      </c>
      <c r="G40" s="14">
        <f>IF(ID!$B$90=E40,F40,"")</f>
        <v>33</v>
      </c>
      <c r="H40" s="427" t="str">
        <f>IFERROR(SMALL($G$8:$G$105,ROWS(G$8:$G40)),"")</f>
        <v/>
      </c>
    </row>
    <row r="41" spans="2:8" x14ac:dyDescent="0.25">
      <c r="B41" s="486">
        <v>500</v>
      </c>
      <c r="C41" s="483">
        <v>1.5</v>
      </c>
      <c r="D41" s="493"/>
      <c r="E41" s="824" t="s">
        <v>164</v>
      </c>
      <c r="F41" s="426">
        <f>ROWS(E$8:$E41)</f>
        <v>34</v>
      </c>
      <c r="G41" s="14">
        <f>IF(ID!$B$90=E41,F41,"")</f>
        <v>34</v>
      </c>
      <c r="H41" s="427" t="str">
        <f>IFERROR(SMALL($G$8:$G$105,ROWS(G$8:$G41)),"")</f>
        <v/>
      </c>
    </row>
    <row r="42" spans="2:8" ht="13.8" thickBot="1" x14ac:dyDescent="0.3">
      <c r="B42" s="833">
        <v>700</v>
      </c>
      <c r="C42" s="834">
        <f>C41</f>
        <v>1.5</v>
      </c>
      <c r="D42" s="493"/>
      <c r="E42" s="824" t="s">
        <v>164</v>
      </c>
      <c r="F42" s="426">
        <f>ROWS(E$8:$E42)</f>
        <v>35</v>
      </c>
      <c r="G42" s="14">
        <f>IF(ID!$B$90=E42,F42,"")</f>
        <v>35</v>
      </c>
      <c r="H42" s="427" t="str">
        <f>IFERROR(SMALL($G$8:$G$105,ROWS(G$8:$G42)),"")</f>
        <v/>
      </c>
    </row>
    <row r="43" spans="2:8" ht="13.8" thickBot="1" x14ac:dyDescent="0.3">
      <c r="B43" s="487"/>
      <c r="C43" s="840"/>
      <c r="D43" s="843"/>
      <c r="E43" s="490"/>
      <c r="F43" s="426">
        <f>ROWS(E$8:$E43)</f>
        <v>36</v>
      </c>
      <c r="G43" s="14" t="str">
        <f>IF(ID!$B$90=E43,F43,"")</f>
        <v/>
      </c>
      <c r="H43" s="427" t="str">
        <f>IFERROR(SMALL($G$8:$G$105,ROWS(G$8:$G43)),"")</f>
        <v/>
      </c>
    </row>
    <row r="44" spans="2:8" x14ac:dyDescent="0.25">
      <c r="B44" s="836"/>
      <c r="C44"/>
      <c r="D44"/>
      <c r="E44"/>
      <c r="F44" s="426">
        <f>ROWS(E$8:$E44)</f>
        <v>37</v>
      </c>
      <c r="G44" s="14" t="str">
        <f>IF(ID!$B$90=E44,F44,"")</f>
        <v/>
      </c>
      <c r="H44" s="427" t="str">
        <f>IFERROR(SMALL($G$8:$G$105,ROWS(G$8:$G44)),"")</f>
        <v/>
      </c>
    </row>
    <row r="45" spans="2:8" x14ac:dyDescent="0.25">
      <c r="B45" s="836"/>
      <c r="C45"/>
      <c r="D45"/>
      <c r="E45" s="29"/>
      <c r="F45" s="426">
        <f>ROWS(E$8:$E45)</f>
        <v>38</v>
      </c>
      <c r="G45" s="14" t="str">
        <f>IF(ID!$B$90=E45,F45,"")</f>
        <v/>
      </c>
      <c r="H45" s="427" t="str">
        <f>IFERROR(SMALL($G$8:$G$105,ROWS(G$8:$G45)),"")</f>
        <v/>
      </c>
    </row>
    <row r="46" spans="2:8" x14ac:dyDescent="0.25">
      <c r="B46" s="842">
        <v>0</v>
      </c>
      <c r="C46" s="483">
        <v>9.9999999999999995E-7</v>
      </c>
      <c r="D46" s="844">
        <v>2021</v>
      </c>
      <c r="E46" s="822" t="s">
        <v>289</v>
      </c>
      <c r="F46" s="426">
        <f>ROWS(E$8:$E46)</f>
        <v>39</v>
      </c>
      <c r="G46" s="14" t="str">
        <f>IF(ID!$B$90=E46,F46,"")</f>
        <v/>
      </c>
      <c r="H46" s="427" t="str">
        <f>IFERROR(SMALL($G$8:$G$105,ROWS(G$8:$G46)),"")</f>
        <v/>
      </c>
    </row>
    <row r="47" spans="2:8" x14ac:dyDescent="0.25">
      <c r="B47" s="486">
        <v>50</v>
      </c>
      <c r="C47" s="483">
        <v>1.2</v>
      </c>
      <c r="D47" s="493"/>
      <c r="E47" s="812" t="s">
        <v>289</v>
      </c>
      <c r="F47" s="426">
        <f>ROWS(E$8:$E47)</f>
        <v>40</v>
      </c>
      <c r="G47" s="14" t="str">
        <f>IF(ID!$B$90=E47,F47,"")</f>
        <v/>
      </c>
      <c r="H47" s="427" t="str">
        <f>IFERROR(SMALL($G$8:$G$105,ROWS(G$8:$G47)),"")</f>
        <v/>
      </c>
    </row>
    <row r="48" spans="2:8" x14ac:dyDescent="0.25">
      <c r="B48" s="486">
        <v>100</v>
      </c>
      <c r="C48" s="483">
        <v>3.9</v>
      </c>
      <c r="D48" s="493"/>
      <c r="E48" s="812" t="s">
        <v>289</v>
      </c>
      <c r="F48" s="426">
        <f>ROWS(E$8:$E48)</f>
        <v>41</v>
      </c>
      <c r="G48" s="14" t="str">
        <f>IF(ID!$B$90=E48,F48,"")</f>
        <v/>
      </c>
      <c r="H48" s="427" t="str">
        <f>IFERROR(SMALL($G$8:$G$105,ROWS(G$8:$G48)),"")</f>
        <v/>
      </c>
    </row>
    <row r="49" spans="2:8" x14ac:dyDescent="0.25">
      <c r="B49" s="486">
        <v>500</v>
      </c>
      <c r="C49" s="483">
        <v>9.3000000000000007</v>
      </c>
      <c r="D49" s="493"/>
      <c r="E49" s="812" t="s">
        <v>289</v>
      </c>
      <c r="F49" s="426">
        <f>ROWS(E$8:$E49)</f>
        <v>42</v>
      </c>
      <c r="G49" s="14" t="str">
        <f>IF(ID!$B$90=E49,F49,"")</f>
        <v/>
      </c>
      <c r="H49" s="427" t="str">
        <f>IFERROR(SMALL($G$8:$G$105,ROWS(G$8:$G49)),"")</f>
        <v/>
      </c>
    </row>
    <row r="50" spans="2:8" ht="13.8" thickBot="1" x14ac:dyDescent="0.3">
      <c r="B50" s="833">
        <v>700</v>
      </c>
      <c r="C50" s="834">
        <f>C49</f>
        <v>9.3000000000000007</v>
      </c>
      <c r="D50" s="843"/>
      <c r="E50" s="822" t="s">
        <v>289</v>
      </c>
      <c r="F50" s="426">
        <f>ROWS(E$8:$E50)</f>
        <v>43</v>
      </c>
      <c r="G50" s="14" t="str">
        <f>IF(ID!$B$90=E50,F50,"")</f>
        <v/>
      </c>
      <c r="H50" s="427" t="str">
        <f>IFERROR(SMALL($G$8:$G$105,ROWS(G$8:$G50)),"")</f>
        <v/>
      </c>
    </row>
    <row r="51" spans="2:8" ht="13.8" thickBot="1" x14ac:dyDescent="0.3">
      <c r="B51" s="487"/>
      <c r="C51" s="840"/>
      <c r="D51" s="843"/>
      <c r="E51" s="490"/>
      <c r="F51" s="426">
        <f>ROWS(E$8:$E51)</f>
        <v>44</v>
      </c>
      <c r="G51" s="14" t="str">
        <f>IF(ID!$B$90=E51,F51,"")</f>
        <v/>
      </c>
      <c r="H51" s="427" t="str">
        <f>IFERROR(SMALL($G$8:$G$105,ROWS(G$8:$G51)),"")</f>
        <v/>
      </c>
    </row>
    <row r="52" spans="2:8" ht="13.8" thickBot="1" x14ac:dyDescent="0.3">
      <c r="B52" s="487"/>
      <c r="C52" s="845"/>
      <c r="D52" s="493"/>
      <c r="E52" s="29"/>
      <c r="F52" s="426">
        <f>ROWS(E$8:$E52)</f>
        <v>45</v>
      </c>
      <c r="G52" s="14" t="str">
        <f>IF(ID!$B$90=E52,F52,"")</f>
        <v/>
      </c>
      <c r="H52" s="427" t="str">
        <f>IFERROR(SMALL($G$8:$G$105,ROWS(G$8:$G52)),"")</f>
        <v/>
      </c>
    </row>
    <row r="53" spans="2:8" x14ac:dyDescent="0.25">
      <c r="B53" s="836"/>
      <c r="C53"/>
      <c r="D53"/>
      <c r="E53"/>
      <c r="F53" s="426">
        <f>ROWS(E$8:$E53)</f>
        <v>46</v>
      </c>
      <c r="G53" s="14" t="str">
        <f>IF(ID!$B$90=E53,F53,"")</f>
        <v/>
      </c>
      <c r="H53" s="427" t="str">
        <f>IFERROR(SMALL($G$8:$G$105,ROWS(G$8:$G53)),"")</f>
        <v/>
      </c>
    </row>
    <row r="54" spans="2:8" x14ac:dyDescent="0.25">
      <c r="B54" s="836"/>
      <c r="C54"/>
      <c r="D54"/>
      <c r="E54" s="29"/>
      <c r="F54" s="426">
        <f>ROWS(E$8:$E54)</f>
        <v>47</v>
      </c>
      <c r="G54" s="14" t="str">
        <f>IF(ID!$B$90=E54,F54,"")</f>
        <v/>
      </c>
      <c r="H54" s="427" t="str">
        <f>IFERROR(SMALL($G$8:$G$105,ROWS(G$8:$G54)),"")</f>
        <v/>
      </c>
    </row>
    <row r="55" spans="2:8" x14ac:dyDescent="0.25">
      <c r="B55" s="836"/>
      <c r="C55"/>
      <c r="D55"/>
      <c r="E55" s="29"/>
      <c r="F55" s="426">
        <f>ROWS(E$8:$E55)</f>
        <v>48</v>
      </c>
      <c r="G55" s="14" t="str">
        <f>IF(ID!$B$90=E55,F55,"")</f>
        <v/>
      </c>
      <c r="H55" s="427" t="str">
        <f>IFERROR(SMALL($G$8:$G$105,ROWS(G$8:$G55)),"")</f>
        <v/>
      </c>
    </row>
    <row r="56" spans="2:8" x14ac:dyDescent="0.25">
      <c r="B56" s="486">
        <v>0</v>
      </c>
      <c r="C56" s="483">
        <v>9.9999999999999995E-7</v>
      </c>
      <c r="D56" s="832">
        <v>2019</v>
      </c>
      <c r="E56" s="812" t="s">
        <v>292</v>
      </c>
      <c r="F56" s="426">
        <f>ROWS(E$8:$E56)</f>
        <v>49</v>
      </c>
      <c r="G56" s="14" t="str">
        <f>IF(ID!$B$90=E56,F56,"")</f>
        <v/>
      </c>
      <c r="H56" s="427" t="str">
        <f>IFERROR(SMALL($G$8:$G$105,ROWS(G$8:$G56)),"")</f>
        <v/>
      </c>
    </row>
    <row r="57" spans="2:8" x14ac:dyDescent="0.25">
      <c r="B57" s="486">
        <v>50</v>
      </c>
      <c r="C57" s="838">
        <v>2.6</v>
      </c>
      <c r="D57" s="493"/>
      <c r="E57" s="812" t="s">
        <v>292</v>
      </c>
      <c r="F57" s="426">
        <f>ROWS(E$8:$E57)</f>
        <v>50</v>
      </c>
      <c r="G57" s="14" t="str">
        <f>IF(ID!$B$90=E57,F57,"")</f>
        <v/>
      </c>
      <c r="H57" s="427" t="str">
        <f>IFERROR(SMALL($G$8:$G$105,ROWS(G$8:$G57)),"")</f>
        <v/>
      </c>
    </row>
    <row r="58" spans="2:8" x14ac:dyDescent="0.25">
      <c r="B58" s="486">
        <v>100</v>
      </c>
      <c r="C58" s="838">
        <v>2.6</v>
      </c>
      <c r="D58" s="493"/>
      <c r="E58" s="812" t="s">
        <v>292</v>
      </c>
      <c r="F58" s="426">
        <f>ROWS(E$8:$E58)</f>
        <v>51</v>
      </c>
      <c r="G58" s="14" t="str">
        <f>IF(ID!$B$90=E58,F58,"")</f>
        <v/>
      </c>
      <c r="H58" s="427" t="str">
        <f>IFERROR(SMALL($G$8:$G$105,ROWS(G$8:$G58)),"")</f>
        <v/>
      </c>
    </row>
    <row r="59" spans="2:8" x14ac:dyDescent="0.25">
      <c r="B59" s="486">
        <v>200</v>
      </c>
      <c r="C59" s="838">
        <v>3.1</v>
      </c>
      <c r="D59" s="493"/>
      <c r="E59" s="812" t="s">
        <v>292</v>
      </c>
      <c r="F59" s="426">
        <f>ROWS(E$8:$E59)</f>
        <v>52</v>
      </c>
      <c r="G59" s="14" t="str">
        <f>IF(ID!$B$90=E59,F59,"")</f>
        <v/>
      </c>
      <c r="H59" s="427" t="str">
        <f>IFERROR(SMALL($G$8:$G$105,ROWS(G$8:$G59)),"")</f>
        <v/>
      </c>
    </row>
    <row r="60" spans="2:8" x14ac:dyDescent="0.25">
      <c r="B60" s="486">
        <v>500</v>
      </c>
      <c r="C60" s="839">
        <v>3.9</v>
      </c>
      <c r="D60" s="493"/>
      <c r="E60" s="812" t="s">
        <v>292</v>
      </c>
      <c r="F60" s="426">
        <f>ROWS(E$8:$E60)</f>
        <v>53</v>
      </c>
      <c r="G60" s="14" t="str">
        <f>IF(ID!$B$90=E60,F60,"")</f>
        <v/>
      </c>
      <c r="H60" s="427" t="str">
        <f>IFERROR(SMALL($G$8:$G$105,ROWS(G$8:$G60)),"")</f>
        <v/>
      </c>
    </row>
    <row r="61" spans="2:8" ht="13.8" thickBot="1" x14ac:dyDescent="0.3">
      <c r="B61" s="833">
        <v>700</v>
      </c>
      <c r="C61" s="834">
        <f>C60</f>
        <v>3.9</v>
      </c>
      <c r="D61" s="843"/>
      <c r="E61" s="816" t="s">
        <v>292</v>
      </c>
      <c r="F61" s="426">
        <f>ROWS(E$8:$E61)</f>
        <v>54</v>
      </c>
      <c r="G61" s="14" t="str">
        <f>IF(ID!$B$90=E61,F61,"")</f>
        <v/>
      </c>
      <c r="H61" s="427" t="str">
        <f>IFERROR(SMALL($G$8:$G$105,ROWS(G$8:$G61)),"")</f>
        <v/>
      </c>
    </row>
    <row r="62" spans="2:8" x14ac:dyDescent="0.25">
      <c r="B62" s="836"/>
      <c r="C62"/>
      <c r="D62"/>
      <c r="E62"/>
      <c r="F62" s="426">
        <f>ROWS(E$8:$E62)</f>
        <v>55</v>
      </c>
      <c r="G62" s="14" t="str">
        <f>IF(ID!$B$90=E62,F62,"")</f>
        <v/>
      </c>
      <c r="H62" s="427" t="str">
        <f>IFERROR(SMALL($G$8:$G$105,ROWS(G$8:$G62)),"")</f>
        <v/>
      </c>
    </row>
    <row r="63" spans="2:8" x14ac:dyDescent="0.25">
      <c r="B63" s="836"/>
      <c r="C63"/>
      <c r="D63"/>
      <c r="E63" s="29"/>
      <c r="F63" s="426">
        <f>ROWS(E$8:$E63)</f>
        <v>56</v>
      </c>
      <c r="G63" s="14" t="str">
        <f>IF(ID!$B$90=E63,F63,"")</f>
        <v/>
      </c>
      <c r="H63" s="427" t="str">
        <f>IFERROR(SMALL($G$8:$G$105,ROWS(G$8:$G63)),"")</f>
        <v/>
      </c>
    </row>
    <row r="64" spans="2:8" x14ac:dyDescent="0.25">
      <c r="B64" s="836"/>
      <c r="C64"/>
      <c r="D64"/>
      <c r="E64" s="29"/>
      <c r="F64" s="426">
        <f>ROWS(E$8:$E64)</f>
        <v>57</v>
      </c>
      <c r="G64" s="14" t="str">
        <f>IF(ID!$B$90=E64,F64,"")</f>
        <v/>
      </c>
      <c r="H64" s="427" t="str">
        <f>IFERROR(SMALL($G$8:$G$105,ROWS(G$8:$G64)),"")</f>
        <v/>
      </c>
    </row>
    <row r="65" spans="2:8" x14ac:dyDescent="0.25">
      <c r="B65" s="836"/>
      <c r="C65"/>
      <c r="D65"/>
      <c r="E65" s="29"/>
      <c r="F65" s="426">
        <f>ROWS(E$8:$E65)</f>
        <v>58</v>
      </c>
      <c r="G65" s="14" t="str">
        <f>IF(ID!$B$90=E65,F65,"")</f>
        <v/>
      </c>
      <c r="H65" s="427" t="str">
        <f>IFERROR(SMALL($G$8:$G$105,ROWS(G$8:$G65)),"")</f>
        <v/>
      </c>
    </row>
    <row r="66" spans="2:8" x14ac:dyDescent="0.25">
      <c r="B66" s="486">
        <v>0</v>
      </c>
      <c r="C66" s="483">
        <v>9.9999999999999995E-7</v>
      </c>
      <c r="D66" s="493">
        <v>2020</v>
      </c>
      <c r="E66" s="29" t="s">
        <v>293</v>
      </c>
      <c r="F66" s="426">
        <f>ROWS(E$8:$E66)</f>
        <v>59</v>
      </c>
      <c r="G66" s="14" t="str">
        <f>IF(ID!$B$90=E66,F66,"")</f>
        <v/>
      </c>
      <c r="H66" s="427" t="str">
        <f>IFERROR(SMALL($G$8:$G$105,ROWS(G$8:$G66)),"")</f>
        <v/>
      </c>
    </row>
    <row r="67" spans="2:8" x14ac:dyDescent="0.25">
      <c r="B67" s="486">
        <v>50</v>
      </c>
      <c r="C67" s="483">
        <v>1.7</v>
      </c>
      <c r="D67" s="493"/>
      <c r="E67" s="29" t="s">
        <v>293</v>
      </c>
      <c r="F67" s="426">
        <f>ROWS(E$8:$E67)</f>
        <v>60</v>
      </c>
      <c r="G67" s="14" t="str">
        <f>IF(ID!$B$90=E67,F67,"")</f>
        <v/>
      </c>
      <c r="H67" s="427" t="str">
        <f>IFERROR(SMALL($G$8:$G$105,ROWS(G$8:$G67)),"")</f>
        <v/>
      </c>
    </row>
    <row r="68" spans="2:8" x14ac:dyDescent="0.25">
      <c r="B68" s="486">
        <v>100</v>
      </c>
      <c r="C68" s="483">
        <v>1.7</v>
      </c>
      <c r="D68" s="493"/>
      <c r="E68" s="29" t="s">
        <v>293</v>
      </c>
      <c r="F68" s="426">
        <f>ROWS(E$8:$E68)</f>
        <v>61</v>
      </c>
      <c r="G68" s="14" t="str">
        <f>IF(ID!$B$90=E68,F68,"")</f>
        <v/>
      </c>
      <c r="H68" s="427" t="str">
        <f>IFERROR(SMALL($G$8:$G$105,ROWS(G$8:$G68)),"")</f>
        <v/>
      </c>
    </row>
    <row r="69" spans="2:8" x14ac:dyDescent="0.25">
      <c r="B69" s="486">
        <v>200</v>
      </c>
      <c r="C69" s="483">
        <v>0.4</v>
      </c>
      <c r="D69" s="493"/>
      <c r="E69" s="29" t="s">
        <v>293</v>
      </c>
      <c r="F69" s="426">
        <f>ROWS(E$8:$E69)</f>
        <v>62</v>
      </c>
      <c r="G69" s="14" t="str">
        <f>IF(ID!$B$90=E69,F69,"")</f>
        <v/>
      </c>
      <c r="H69" s="427" t="str">
        <f>IFERROR(SMALL($G$8:$G$105,ROWS(G$8:$G69)),"")</f>
        <v/>
      </c>
    </row>
    <row r="70" spans="2:8" x14ac:dyDescent="0.25">
      <c r="B70" s="486">
        <v>500</v>
      </c>
      <c r="C70" s="483">
        <v>3</v>
      </c>
      <c r="D70" s="493"/>
      <c r="E70" s="29" t="s">
        <v>293</v>
      </c>
      <c r="F70" s="426">
        <f>ROWS(E$8:$E70)</f>
        <v>63</v>
      </c>
      <c r="G70" s="14" t="str">
        <f>IF(ID!$B$90=E70,F70,"")</f>
        <v/>
      </c>
      <c r="H70" s="427" t="str">
        <f>IFERROR(SMALL($G$8:$G$105,ROWS(G$8:$G70)),"")</f>
        <v/>
      </c>
    </row>
    <row r="71" spans="2:8" ht="13.8" thickBot="1" x14ac:dyDescent="0.3">
      <c r="B71" s="833">
        <v>700</v>
      </c>
      <c r="C71" s="834">
        <f>C70</f>
        <v>3</v>
      </c>
      <c r="D71" s="843"/>
      <c r="E71" s="490" t="s">
        <v>293</v>
      </c>
      <c r="F71" s="426">
        <f>ROWS(E$8:$E71)</f>
        <v>64</v>
      </c>
      <c r="G71" s="14" t="str">
        <f>IF(ID!$B$90=E71,F71,"")</f>
        <v/>
      </c>
      <c r="H71" s="427" t="str">
        <f>IFERROR(SMALL($G$8:$G$105,ROWS(G$8:$G71)),"")</f>
        <v/>
      </c>
    </row>
    <row r="72" spans="2:8" x14ac:dyDescent="0.25">
      <c r="B72" s="836"/>
      <c r="C72"/>
      <c r="D72"/>
      <c r="E72"/>
      <c r="F72" s="426">
        <f>ROWS(E$8:$E72)</f>
        <v>65</v>
      </c>
      <c r="G72" s="14" t="str">
        <f>IF(ID!$B$90=E72,F72,"")</f>
        <v/>
      </c>
      <c r="H72" s="427" t="str">
        <f>IFERROR(SMALL($G$8:$G$105,ROWS(G$8:$G72)),"")</f>
        <v/>
      </c>
    </row>
    <row r="73" spans="2:8" x14ac:dyDescent="0.25">
      <c r="B73" s="836"/>
      <c r="C73"/>
      <c r="D73"/>
      <c r="E73"/>
      <c r="F73" s="426">
        <f>ROWS(E$8:$E73)</f>
        <v>66</v>
      </c>
      <c r="G73" s="14" t="str">
        <f>IF(ID!$B$90=E73,F73,"")</f>
        <v/>
      </c>
      <c r="H73" s="427" t="str">
        <f>IFERROR(SMALL($G$8:$G$105,ROWS(G$8:$G73)),"")</f>
        <v/>
      </c>
    </row>
    <row r="74" spans="2:8" x14ac:dyDescent="0.25">
      <c r="B74" s="836"/>
      <c r="C74"/>
      <c r="D74"/>
      <c r="E74"/>
      <c r="F74" s="426">
        <f>ROWS(E$8:$E74)</f>
        <v>67</v>
      </c>
      <c r="G74" s="14" t="str">
        <f>IF(ID!$B$90=E74,F74,"")</f>
        <v/>
      </c>
      <c r="H74" s="427" t="str">
        <f>IFERROR(SMALL($G$8:$G$105,ROWS(G$8:$G74)),"")</f>
        <v/>
      </c>
    </row>
    <row r="75" spans="2:8" x14ac:dyDescent="0.25">
      <c r="B75" s="836"/>
      <c r="C75"/>
      <c r="D75"/>
      <c r="E75"/>
      <c r="F75" s="426">
        <f>ROWS(E$8:$E75)</f>
        <v>68</v>
      </c>
      <c r="G75" s="14" t="str">
        <f>IF(ID!$B$90=E75,F75,"")</f>
        <v/>
      </c>
      <c r="H75" s="427" t="str">
        <f>IFERROR(SMALL($G$8:$G$105,ROWS(G$8:$G75)),"")</f>
        <v/>
      </c>
    </row>
    <row r="76" spans="2:8" ht="13.8" x14ac:dyDescent="0.25">
      <c r="B76" s="495">
        <v>0</v>
      </c>
      <c r="C76" s="483">
        <v>9.9999999999999995E-7</v>
      </c>
      <c r="D76" s="846">
        <v>2020</v>
      </c>
      <c r="E76" s="812" t="s">
        <v>475</v>
      </c>
      <c r="F76" s="426">
        <f>ROWS(E$8:$E76)</f>
        <v>69</v>
      </c>
      <c r="G76" s="14" t="str">
        <f>IF(ID!$B$90=E76,F76,"")</f>
        <v/>
      </c>
      <c r="H76" s="427" t="str">
        <f>IFERROR(SMALL($G$8:$G$105,ROWS(G$8:$G76)),"")</f>
        <v/>
      </c>
    </row>
    <row r="77" spans="2:8" x14ac:dyDescent="0.25">
      <c r="B77" s="498">
        <v>20</v>
      </c>
      <c r="C77" s="496">
        <v>0.9</v>
      </c>
      <c r="D77" s="846"/>
      <c r="E77" s="812" t="s">
        <v>475</v>
      </c>
      <c r="F77" s="426">
        <f>ROWS(E$8:$E77)</f>
        <v>70</v>
      </c>
      <c r="G77" s="14" t="str">
        <f>IF(ID!$B$90=E77,F77,"")</f>
        <v/>
      </c>
      <c r="H77" s="427" t="str">
        <f>IFERROR(SMALL($G$8:$G$105,ROWS(G$8:$G77)),"")</f>
        <v/>
      </c>
    </row>
    <row r="78" spans="2:8" x14ac:dyDescent="0.25">
      <c r="B78" s="498">
        <v>50</v>
      </c>
      <c r="C78" s="500">
        <v>2.1</v>
      </c>
      <c r="D78" s="846"/>
      <c r="E78" s="812" t="s">
        <v>475</v>
      </c>
      <c r="F78" s="426">
        <f>ROWS(E$8:$E78)</f>
        <v>71</v>
      </c>
      <c r="G78" s="14" t="str">
        <f>IF(ID!$B$90=E78,F78,"")</f>
        <v/>
      </c>
      <c r="H78" s="427" t="str">
        <f>IFERROR(SMALL($G$8:$G$105,ROWS(G$8:$G78)),"")</f>
        <v/>
      </c>
    </row>
    <row r="79" spans="2:8" x14ac:dyDescent="0.25">
      <c r="B79" s="498">
        <v>100</v>
      </c>
      <c r="C79" s="500">
        <v>3.7</v>
      </c>
      <c r="D79" s="846"/>
      <c r="E79" s="812" t="s">
        <v>475</v>
      </c>
      <c r="F79" s="426">
        <f>ROWS(E$8:$E79)</f>
        <v>72</v>
      </c>
      <c r="G79" s="14" t="str">
        <f>IF(ID!$B$90=E79,F79,"")</f>
        <v/>
      </c>
      <c r="H79" s="427" t="str">
        <f>IFERROR(SMALL($G$8:$G$105,ROWS(G$8:$G79)),"")</f>
        <v/>
      </c>
    </row>
    <row r="80" spans="2:8" x14ac:dyDescent="0.25">
      <c r="B80" s="501">
        <v>500</v>
      </c>
      <c r="C80" s="500">
        <v>8.3000000000000007</v>
      </c>
      <c r="D80" s="846"/>
      <c r="E80" s="812" t="s">
        <v>475</v>
      </c>
      <c r="F80" s="426">
        <f>ROWS(E$8:$E80)</f>
        <v>73</v>
      </c>
      <c r="G80" s="14" t="str">
        <f>IF(ID!$B$90=E80,F80,"")</f>
        <v/>
      </c>
      <c r="H80" s="427" t="str">
        <f>IFERROR(SMALL($G$8:$G$105,ROWS(G$8:$G80)),"")</f>
        <v/>
      </c>
    </row>
    <row r="81" spans="2:8" ht="13.8" thickBot="1" x14ac:dyDescent="0.3">
      <c r="B81" s="833">
        <v>700</v>
      </c>
      <c r="C81" s="834">
        <f>C80</f>
        <v>8.3000000000000007</v>
      </c>
      <c r="D81" s="846"/>
      <c r="E81" s="822" t="s">
        <v>475</v>
      </c>
      <c r="F81" s="426">
        <f>ROWS(E$8:$E81)</f>
        <v>74</v>
      </c>
      <c r="G81" s="14" t="str">
        <f>IF(ID!$B$90=E81,F81,"")</f>
        <v/>
      </c>
      <c r="H81" s="427" t="str">
        <f>IFERROR(SMALL($G$8:$G$105,ROWS(G$8:$G81)),"")</f>
        <v/>
      </c>
    </row>
    <row r="82" spans="2:8" x14ac:dyDescent="0.25">
      <c r="B82" s="847"/>
      <c r="C82" s="848"/>
      <c r="D82" s="849"/>
      <c r="E82" s="824"/>
      <c r="F82" s="426">
        <f>ROWS(E$8:$E82)</f>
        <v>75</v>
      </c>
      <c r="G82" s="14" t="str">
        <f>IF(ID!$B$90=E82,F82,"")</f>
        <v/>
      </c>
      <c r="H82" s="427" t="str">
        <f>IFERROR(SMALL($G$8:$G$105,ROWS(G$8:$G82)),"")</f>
        <v/>
      </c>
    </row>
    <row r="83" spans="2:8" x14ac:dyDescent="0.25">
      <c r="B83" s="836"/>
      <c r="C83"/>
      <c r="D83"/>
      <c r="E83"/>
      <c r="F83" s="426">
        <f>ROWS(E$8:$E83)</f>
        <v>76</v>
      </c>
      <c r="G83" s="14" t="str">
        <f>IF(ID!$B$90=E83,F83,"")</f>
        <v/>
      </c>
      <c r="H83" s="427" t="str">
        <f>IFERROR(SMALL($G$8:$G$105,ROWS(G$8:$G83)),"")</f>
        <v/>
      </c>
    </row>
    <row r="84" spans="2:8" x14ac:dyDescent="0.25">
      <c r="B84" s="836"/>
      <c r="C84"/>
      <c r="D84"/>
      <c r="E84"/>
      <c r="F84" s="426">
        <f>ROWS(E$8:$E84)</f>
        <v>77</v>
      </c>
      <c r="G84" s="14" t="str">
        <f>IF(ID!$B$90=E84,F84,"")</f>
        <v/>
      </c>
      <c r="H84" s="427" t="str">
        <f>IFERROR(SMALL($G$8:$G$105,ROWS(G$8:$G84)),"")</f>
        <v/>
      </c>
    </row>
    <row r="85" spans="2:8" x14ac:dyDescent="0.25">
      <c r="B85" s="836"/>
      <c r="C85"/>
      <c r="D85"/>
      <c r="E85"/>
      <c r="F85" s="426">
        <f>ROWS(E$8:$E85)</f>
        <v>78</v>
      </c>
      <c r="G85" s="14" t="str">
        <f>IF(ID!$B$90=E85,F85,"")</f>
        <v/>
      </c>
      <c r="H85" s="427" t="str">
        <f>IFERROR(SMALL($G$8:$G$105,ROWS(G$8:$G85)),"")</f>
        <v/>
      </c>
    </row>
    <row r="86" spans="2:8" x14ac:dyDescent="0.25">
      <c r="B86" s="836"/>
      <c r="C86"/>
      <c r="D86"/>
      <c r="E86"/>
      <c r="F86" s="426">
        <f>ROWS(E$8:$E86)</f>
        <v>79</v>
      </c>
      <c r="G86" s="14" t="str">
        <f>IF(ID!$B$90=E86,F86,"")</f>
        <v/>
      </c>
      <c r="H86" s="427" t="str">
        <f>IFERROR(SMALL($G$8:$G$105,ROWS(G$8:$G86)),"")</f>
        <v/>
      </c>
    </row>
    <row r="87" spans="2:8" ht="13.8" x14ac:dyDescent="0.25">
      <c r="B87" s="495">
        <v>0</v>
      </c>
      <c r="C87" s="483">
        <v>9.9999999999999995E-7</v>
      </c>
      <c r="D87" s="846">
        <v>2020</v>
      </c>
      <c r="E87" s="812" t="s">
        <v>476</v>
      </c>
      <c r="F87" s="426">
        <f>ROWS(E$8:$E87)</f>
        <v>80</v>
      </c>
      <c r="G87" s="14" t="str">
        <f>IF(ID!$B$90=E87,F87,"")</f>
        <v/>
      </c>
      <c r="H87" s="427" t="str">
        <f>IFERROR(SMALL($G$8:$G$105,ROWS(G$8:$G87)),"")</f>
        <v/>
      </c>
    </row>
    <row r="88" spans="2:8" x14ac:dyDescent="0.25">
      <c r="B88" s="498">
        <v>20</v>
      </c>
      <c r="C88" s="496">
        <v>0.8</v>
      </c>
      <c r="D88" s="850"/>
      <c r="E88" s="812" t="s">
        <v>476</v>
      </c>
      <c r="F88" s="426">
        <f>ROWS(E$8:$E88)</f>
        <v>81</v>
      </c>
      <c r="G88" s="14" t="str">
        <f>IF(ID!$B$90=E88,F88,"")</f>
        <v/>
      </c>
      <c r="H88" s="427" t="str">
        <f>IFERROR(SMALL($G$8:$G$105,ROWS(G$8:$G88)),"")</f>
        <v/>
      </c>
    </row>
    <row r="89" spans="2:8" x14ac:dyDescent="0.25">
      <c r="B89" s="498">
        <v>50</v>
      </c>
      <c r="C89" s="500">
        <v>1.7</v>
      </c>
      <c r="D89" s="850"/>
      <c r="E89" s="812" t="s">
        <v>476</v>
      </c>
      <c r="F89" s="426">
        <f>ROWS(E$8:$E89)</f>
        <v>82</v>
      </c>
      <c r="G89" s="14" t="str">
        <f>IF(ID!$B$90=E89,F89,"")</f>
        <v/>
      </c>
      <c r="H89" s="427" t="str">
        <f>IFERROR(SMALL($G$8:$G$105,ROWS(G$8:$G89)),"")</f>
        <v/>
      </c>
    </row>
    <row r="90" spans="2:8" x14ac:dyDescent="0.25">
      <c r="B90" s="498">
        <v>100</v>
      </c>
      <c r="C90" s="500">
        <v>3.4</v>
      </c>
      <c r="D90" s="850"/>
      <c r="E90" s="812" t="s">
        <v>476</v>
      </c>
      <c r="F90" s="426">
        <f>ROWS(E$8:$E90)</f>
        <v>83</v>
      </c>
      <c r="G90" s="14" t="str">
        <f>IF(ID!$B$90=E90,F90,"")</f>
        <v/>
      </c>
      <c r="H90" s="427" t="str">
        <f>IFERROR(SMALL($G$8:$G$105,ROWS(G$8:$G90)),"")</f>
        <v/>
      </c>
    </row>
    <row r="91" spans="2:8" x14ac:dyDescent="0.25">
      <c r="B91" s="501">
        <v>500</v>
      </c>
      <c r="C91" s="500">
        <v>7.2</v>
      </c>
      <c r="D91" s="850"/>
      <c r="E91" s="812" t="s">
        <v>476</v>
      </c>
      <c r="F91" s="426">
        <f>ROWS(E$8:$E91)</f>
        <v>84</v>
      </c>
      <c r="G91" s="14" t="str">
        <f>IF(ID!$B$90=E91,F91,"")</f>
        <v/>
      </c>
      <c r="H91" s="427" t="str">
        <f>IFERROR(SMALL($G$8:$G$105,ROWS(G$8:$G91)),"")</f>
        <v/>
      </c>
    </row>
    <row r="92" spans="2:8" ht="13.8" thickBot="1" x14ac:dyDescent="0.3">
      <c r="B92" s="833">
        <v>700</v>
      </c>
      <c r="C92" s="834">
        <f>C91</f>
        <v>7.2</v>
      </c>
      <c r="D92" s="850"/>
      <c r="E92" s="822" t="s">
        <v>476</v>
      </c>
      <c r="F92" s="426">
        <f>ROWS(E$8:$E92)</f>
        <v>85</v>
      </c>
      <c r="G92" s="14" t="str">
        <f>IF(ID!$B$90=E92,F92,"")</f>
        <v/>
      </c>
      <c r="H92" s="427" t="str">
        <f>IFERROR(SMALL($G$8:$G$105,ROWS(G$8:$G92)),"")</f>
        <v/>
      </c>
    </row>
    <row r="93" spans="2:8" x14ac:dyDescent="0.25">
      <c r="B93" s="847"/>
      <c r="C93" s="848"/>
      <c r="D93" s="851"/>
      <c r="E93" s="824"/>
      <c r="F93" s="426">
        <f>ROWS(E$8:$E93)</f>
        <v>86</v>
      </c>
      <c r="G93" s="14" t="str">
        <f>IF(ID!$B$90=E93,F93,"")</f>
        <v/>
      </c>
      <c r="H93" s="427" t="str">
        <f>IFERROR(SMALL($G$8:$G$105,ROWS(G$8:$G93)),"")</f>
        <v/>
      </c>
    </row>
    <row r="94" spans="2:8" x14ac:dyDescent="0.25">
      <c r="B94" s="836"/>
      <c r="C94"/>
      <c r="D94"/>
      <c r="E94"/>
      <c r="F94" s="426">
        <f>ROWS(E$8:$E94)</f>
        <v>87</v>
      </c>
      <c r="G94" s="14" t="str">
        <f>IF(ID!$B$90=E94,F94,"")</f>
        <v/>
      </c>
      <c r="H94" s="427" t="str">
        <f>IFERROR(SMALL($G$8:$G$105,ROWS(G$8:$G94)),"")</f>
        <v/>
      </c>
    </row>
    <row r="95" spans="2:8" x14ac:dyDescent="0.25">
      <c r="B95" s="836"/>
      <c r="C95"/>
      <c r="D95"/>
      <c r="E95"/>
      <c r="F95" s="426">
        <f>ROWS(E$8:$E95)</f>
        <v>88</v>
      </c>
      <c r="G95" s="14" t="str">
        <f>IF(ID!$B$90=E95,F95,"")</f>
        <v/>
      </c>
      <c r="H95" s="427" t="str">
        <f>IFERROR(SMALL($G$8:$G$105,ROWS(G$8:$G95)),"")</f>
        <v/>
      </c>
    </row>
    <row r="96" spans="2:8" x14ac:dyDescent="0.25">
      <c r="B96" s="836"/>
      <c r="C96"/>
      <c r="D96"/>
      <c r="E96"/>
      <c r="F96" s="426">
        <f>ROWS(E$8:$E96)</f>
        <v>89</v>
      </c>
      <c r="G96" s="14" t="str">
        <f>IF(ID!$B$90=E96,F96,"")</f>
        <v/>
      </c>
      <c r="H96" s="427" t="str">
        <f>IFERROR(SMALL($G$8:$G$105,ROWS(G$8:$G96)),"")</f>
        <v/>
      </c>
    </row>
    <row r="97" spans="2:8" x14ac:dyDescent="0.25">
      <c r="B97" s="836"/>
      <c r="C97"/>
      <c r="D97"/>
      <c r="E97"/>
      <c r="F97" s="426">
        <f>ROWS(E$8:$E97)</f>
        <v>90</v>
      </c>
      <c r="G97" s="14" t="str">
        <f>IF(ID!$B$90=E97,F97,"")</f>
        <v/>
      </c>
      <c r="H97" s="427" t="str">
        <f>IFERROR(SMALL($G$8:$G$105,ROWS(G$8:$G97)),"")</f>
        <v/>
      </c>
    </row>
    <row r="98" spans="2:8" ht="13.8" x14ac:dyDescent="0.25">
      <c r="B98" s="495">
        <v>0</v>
      </c>
      <c r="C98" s="483">
        <v>9.9999999999999995E-7</v>
      </c>
      <c r="D98" s="846">
        <v>2021</v>
      </c>
      <c r="E98" s="812"/>
      <c r="F98" s="426">
        <f>ROWS(E$8:$E98)</f>
        <v>91</v>
      </c>
      <c r="G98" s="14" t="str">
        <f>IF(ID!$B$90=E98,F98,"")</f>
        <v/>
      </c>
      <c r="H98" s="427" t="str">
        <f>IFERROR(SMALL($G$8:$G$105,ROWS(G$8:$G98)),"")</f>
        <v/>
      </c>
    </row>
    <row r="99" spans="2:8" x14ac:dyDescent="0.25">
      <c r="B99" s="498">
        <v>20</v>
      </c>
      <c r="C99" s="496">
        <v>0.3</v>
      </c>
      <c r="D99" s="850"/>
      <c r="E99" s="812"/>
      <c r="F99" s="426">
        <f>ROWS(E$8:$E99)</f>
        <v>92</v>
      </c>
      <c r="G99" s="14" t="str">
        <f>IF(ID!$B$90=E99,F99,"")</f>
        <v/>
      </c>
      <c r="H99" s="427" t="str">
        <f>IFERROR(SMALL($G$8:$G$105,ROWS(G$8:$G99)),"")</f>
        <v/>
      </c>
    </row>
    <row r="100" spans="2:8" x14ac:dyDescent="0.25">
      <c r="B100" s="498">
        <v>50</v>
      </c>
      <c r="C100" s="500">
        <v>0.4</v>
      </c>
      <c r="D100" s="850"/>
      <c r="E100" s="812"/>
      <c r="F100" s="426">
        <f>ROWS(E$8:$E100)</f>
        <v>93</v>
      </c>
      <c r="G100" s="14" t="str">
        <f>IF(ID!$B$90=E100,F100,"")</f>
        <v/>
      </c>
      <c r="H100" s="427" t="str">
        <f>IFERROR(SMALL($G$8:$G$105,ROWS(G$8:$G100)),"")</f>
        <v/>
      </c>
    </row>
    <row r="101" spans="2:8" x14ac:dyDescent="0.25">
      <c r="B101" s="498">
        <v>100</v>
      </c>
      <c r="C101" s="500">
        <v>0.4</v>
      </c>
      <c r="D101" s="850"/>
      <c r="E101" s="812"/>
      <c r="F101" s="426">
        <f>ROWS(E$8:$E101)</f>
        <v>94</v>
      </c>
      <c r="G101" s="14" t="str">
        <f>IF(ID!$B$90=E101,F101,"")</f>
        <v/>
      </c>
      <c r="H101" s="427" t="str">
        <f>IFERROR(SMALL($G$8:$G$105,ROWS(G$8:$G101)),"")</f>
        <v/>
      </c>
    </row>
    <row r="102" spans="2:8" x14ac:dyDescent="0.25">
      <c r="B102" s="501">
        <v>500</v>
      </c>
      <c r="C102" s="500">
        <v>1.5</v>
      </c>
      <c r="D102" s="850"/>
      <c r="E102" s="812"/>
      <c r="F102" s="426">
        <f>ROWS(E$8:$E102)</f>
        <v>95</v>
      </c>
      <c r="G102" s="14" t="str">
        <f>IF(ID!$B$90=E102,F102,"")</f>
        <v/>
      </c>
      <c r="H102" s="427" t="str">
        <f>IFERROR(SMALL($G$8:$G$105,ROWS(G$8:$G102)),"")</f>
        <v/>
      </c>
    </row>
    <row r="103" spans="2:8" ht="13.8" thickBot="1" x14ac:dyDescent="0.3">
      <c r="B103" s="833">
        <v>700</v>
      </c>
      <c r="C103" s="834">
        <f>C102</f>
        <v>1.5</v>
      </c>
      <c r="D103" s="850"/>
      <c r="E103" s="822"/>
      <c r="F103" s="426">
        <f>ROWS(E$8:$E103)</f>
        <v>96</v>
      </c>
      <c r="G103" s="14" t="str">
        <f>IF(ID!$B$90=E103,F103,"")</f>
        <v/>
      </c>
      <c r="H103" s="427" t="str">
        <f>IFERROR(SMALL($G$8:$G$105,ROWS(G$8:$G103)),"")</f>
        <v/>
      </c>
    </row>
    <row r="104" spans="2:8" x14ac:dyDescent="0.25">
      <c r="B104" s="847"/>
      <c r="C104" s="848"/>
      <c r="D104" s="851"/>
      <c r="E104"/>
      <c r="F104" s="426">
        <f>ROWS(E$8:$E104)</f>
        <v>97</v>
      </c>
      <c r="G104" s="14" t="str">
        <f>IF(ID!$B$90=E104,F104,"")</f>
        <v/>
      </c>
      <c r="H104" s="427" t="str">
        <f>IFERROR(SMALL($G$8:$G$105,ROWS(G$8:$G104)),"")</f>
        <v/>
      </c>
    </row>
    <row r="105" spans="2:8" x14ac:dyDescent="0.25">
      <c r="B105" s="836"/>
      <c r="C105"/>
      <c r="D105"/>
      <c r="E105"/>
      <c r="F105" s="426">
        <f>ROWS(E$8:$E105)</f>
        <v>98</v>
      </c>
      <c r="G105" s="14" t="str">
        <f>IF(ID!$B$90=E105,F105,"")</f>
        <v/>
      </c>
      <c r="H105" s="427" t="str">
        <f>IFERROR(SMALL($G$8:$G$105,ROWS(G$8:$G105)),"")</f>
        <v/>
      </c>
    </row>
  </sheetData>
  <sheetProtection algorithmName="SHA-512" hashValue="DetpQZiPN8etzzPHj3gsbAzlA+RWfr2jPynRD9io9ylUn8SRs/URVxsB4HR4UcCiaBFWiP0iNVL34HlAfJOAtg==" saltValue="KdTLbeTjo1F1oKWzuUzef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B2:Q114"/>
  <sheetViews>
    <sheetView topLeftCell="G1" workbookViewId="0">
      <selection activeCell="N20" sqref="N20"/>
    </sheetView>
  </sheetViews>
  <sheetFormatPr defaultColWidth="9.109375" defaultRowHeight="13.2" x14ac:dyDescent="0.25"/>
  <cols>
    <col min="1" max="4" width="9.109375" style="412"/>
    <col min="5" max="5" width="67.33203125" style="412" customWidth="1"/>
    <col min="6" max="14" width="9.109375" style="412"/>
    <col min="15" max="15" width="65.44140625" style="412" customWidth="1"/>
    <col min="16" max="16384" width="9.109375" style="412"/>
  </cols>
  <sheetData>
    <row r="2" spans="2:17" x14ac:dyDescent="0.25">
      <c r="K2" s="420"/>
      <c r="L2" s="420"/>
      <c r="M2" s="420"/>
      <c r="N2" s="420"/>
      <c r="O2" s="421" t="s">
        <v>304</v>
      </c>
      <c r="P2" s="429"/>
      <c r="Q2" s="429"/>
    </row>
    <row r="3" spans="2:17" x14ac:dyDescent="0.25">
      <c r="K3" s="420"/>
      <c r="L3" s="420"/>
      <c r="M3" s="420"/>
      <c r="N3" s="420"/>
      <c r="O3" s="414" t="s">
        <v>319</v>
      </c>
    </row>
    <row r="4" spans="2:17" x14ac:dyDescent="0.25">
      <c r="K4" s="420"/>
      <c r="L4" s="420"/>
      <c r="M4" s="420"/>
      <c r="N4" s="420"/>
      <c r="O4" s="414" t="s">
        <v>319</v>
      </c>
    </row>
    <row r="5" spans="2:17" x14ac:dyDescent="0.25">
      <c r="K5" s="420"/>
      <c r="L5" s="420"/>
      <c r="M5" s="420"/>
      <c r="N5" s="420"/>
      <c r="O5" s="414" t="s">
        <v>320</v>
      </c>
    </row>
    <row r="6" spans="2:17" x14ac:dyDescent="0.25">
      <c r="K6" s="420"/>
      <c r="L6" s="420"/>
      <c r="M6" s="420"/>
      <c r="N6" s="420"/>
      <c r="O6" s="414" t="s">
        <v>321</v>
      </c>
    </row>
    <row r="7" spans="2:17" x14ac:dyDescent="0.25">
      <c r="B7" s="475" t="s">
        <v>328</v>
      </c>
      <c r="C7" s="852" t="s">
        <v>310</v>
      </c>
      <c r="D7" s="477" t="s">
        <v>311</v>
      </c>
      <c r="E7" s="2" t="s">
        <v>304</v>
      </c>
      <c r="F7" s="425" t="s">
        <v>313</v>
      </c>
      <c r="G7" s="425" t="s">
        <v>314</v>
      </c>
      <c r="H7" s="425" t="s">
        <v>315</v>
      </c>
      <c r="K7" s="422" t="s">
        <v>328</v>
      </c>
      <c r="L7" s="423" t="s">
        <v>310</v>
      </c>
      <c r="M7" s="424" t="s">
        <v>311</v>
      </c>
      <c r="N7" s="420"/>
      <c r="O7" s="414" t="s">
        <v>324</v>
      </c>
    </row>
    <row r="8" spans="2:17" ht="13.8" x14ac:dyDescent="0.25">
      <c r="B8" s="853">
        <v>0</v>
      </c>
      <c r="C8" s="872">
        <v>9.9999999999999995E-7</v>
      </c>
      <c r="D8" s="846">
        <v>2020</v>
      </c>
      <c r="E8" s="812" t="s">
        <v>280</v>
      </c>
      <c r="F8" s="426">
        <f>ROWS(E$8:$E8)</f>
        <v>1</v>
      </c>
      <c r="G8" s="14" t="str">
        <f>IF(ID!$B$90=E8,F8,"")</f>
        <v/>
      </c>
      <c r="H8" s="427">
        <f>IFERROR(SMALL($G$8:$G$114,ROWS(G$8:$G8)),"")</f>
        <v>31</v>
      </c>
      <c r="K8" s="427">
        <f>IFERROR(INDEX($B$8:$D$114,$H8,COLUMNS(J$8:$J8)),"")</f>
        <v>0</v>
      </c>
      <c r="L8" s="430">
        <f>IFERROR(INDEX($B$8:$D$114,$H8,COLUMNS($J$8:K8)),"")</f>
        <v>9.9999999999999995E-7</v>
      </c>
      <c r="M8" s="427">
        <f>IFERROR(INDEX($B$8:$D$114,$H8,COLUMNS($J$8:L8)),"")</f>
        <v>2021</v>
      </c>
      <c r="N8" s="420"/>
      <c r="O8" s="414" t="s">
        <v>325</v>
      </c>
    </row>
    <row r="9" spans="2:17" x14ac:dyDescent="0.25">
      <c r="B9" s="501">
        <v>1</v>
      </c>
      <c r="C9" s="872">
        <v>9.9999999999999995E-7</v>
      </c>
      <c r="D9" s="846"/>
      <c r="E9" s="812" t="s">
        <v>280</v>
      </c>
      <c r="F9" s="426">
        <f>ROWS(E$8:$E9)</f>
        <v>2</v>
      </c>
      <c r="G9" s="14" t="str">
        <f>IF(ID!$B$90=E9,F9,"")</f>
        <v/>
      </c>
      <c r="H9" s="427">
        <f>IFERROR(SMALL($G$8:$G$114,ROWS(G$8:$G9)),"")</f>
        <v>32</v>
      </c>
      <c r="K9" s="427">
        <f>IFERROR(INDEX($B$8:$D$114,$H9,COLUMNS(J$8:$J9)),"")</f>
        <v>1</v>
      </c>
      <c r="L9" s="430">
        <f>IFERROR(INDEX($B$8:$D$114,$H9,COLUMNS($J$8:K9)),"")</f>
        <v>9.9999999999999995E-7</v>
      </c>
      <c r="M9" s="427"/>
      <c r="N9" s="420"/>
      <c r="O9" s="414" t="s">
        <v>326</v>
      </c>
    </row>
    <row r="10" spans="2:17" x14ac:dyDescent="0.25">
      <c r="B10" s="501">
        <v>2</v>
      </c>
      <c r="C10" s="872">
        <v>9.9999999999999995E-7</v>
      </c>
      <c r="D10" s="846"/>
      <c r="E10" s="812" t="s">
        <v>280</v>
      </c>
      <c r="F10" s="426">
        <f>ROWS(E$8:$E10)</f>
        <v>3</v>
      </c>
      <c r="G10" s="14" t="str">
        <f>IF(ID!$B$90=E10,F10,"")</f>
        <v/>
      </c>
      <c r="H10" s="427">
        <f>IFERROR(SMALL($G$8:$G$114,ROWS(G$8:$G10)),"")</f>
        <v>33</v>
      </c>
      <c r="K10" s="427">
        <f>IFERROR(INDEX($B$8:$D$114,$H10,COLUMNS(J$8:$J10)),"")</f>
        <v>2</v>
      </c>
      <c r="L10" s="430">
        <f>IFERROR(INDEX($B$8:$D$114,$H10,COLUMNS($J$8:K10)),"")</f>
        <v>9.9999999999999995E-7</v>
      </c>
      <c r="M10" s="427"/>
      <c r="N10" s="420"/>
      <c r="O10" s="428" t="s">
        <v>2</v>
      </c>
    </row>
    <row r="11" spans="2:17" x14ac:dyDescent="0.25">
      <c r="B11" s="501">
        <v>5</v>
      </c>
      <c r="C11" s="872">
        <v>9.9999999999999995E-7</v>
      </c>
      <c r="D11" s="846"/>
      <c r="E11" s="812" t="s">
        <v>280</v>
      </c>
      <c r="F11" s="426">
        <f>ROWS(E$8:$E11)</f>
        <v>4</v>
      </c>
      <c r="G11" s="14" t="str">
        <f>IF(ID!$B$90=E11,F11,"")</f>
        <v/>
      </c>
      <c r="H11" s="427">
        <f>IFERROR(SMALL($G$8:$G$114,ROWS(G$8:$G11)),"")</f>
        <v>34</v>
      </c>
      <c r="K11" s="427">
        <f>IFERROR(INDEX($B$8:$D$114,$H11,COLUMNS(J$8:$J11)),"")</f>
        <v>5</v>
      </c>
      <c r="L11" s="430">
        <f>IFERROR(INDEX($B$8:$D$114,$H11,COLUMNS($J$8:K11)),"")</f>
        <v>9.9999999999999995E-7</v>
      </c>
      <c r="M11" s="427"/>
      <c r="N11" s="420"/>
      <c r="O11" s="428" t="s">
        <v>2</v>
      </c>
    </row>
    <row r="12" spans="2:17" x14ac:dyDescent="0.25">
      <c r="B12" s="501">
        <v>10</v>
      </c>
      <c r="C12" s="872">
        <v>9.9999999999999995E-7</v>
      </c>
      <c r="D12" s="846"/>
      <c r="E12" s="812" t="s">
        <v>280</v>
      </c>
      <c r="F12" s="426">
        <f>ROWS(E$8:$E12)</f>
        <v>5</v>
      </c>
      <c r="G12" s="14" t="str">
        <f>IF(ID!$B$90=E12,F12,"")</f>
        <v/>
      </c>
      <c r="H12" s="427">
        <f>IFERROR(SMALL($G$8:$G$114,ROWS(G$8:$G12)),"")</f>
        <v>35</v>
      </c>
      <c r="K12" s="427">
        <f>IFERROR(INDEX($B$8:$D$114,$H12,COLUMNS(J$8:$J12)),"")</f>
        <v>10</v>
      </c>
      <c r="L12" s="430">
        <f>IFERROR(INDEX($B$8:$D$114,$H12,COLUMNS($J$8:K12)),"")</f>
        <v>9.9999999999999995E-7</v>
      </c>
      <c r="M12" s="427"/>
      <c r="N12" s="420"/>
      <c r="O12" s="428" t="s">
        <v>2</v>
      </c>
    </row>
    <row r="13" spans="2:17" x14ac:dyDescent="0.25">
      <c r="B13" s="501">
        <v>20</v>
      </c>
      <c r="C13" s="872">
        <v>9.9999999999999995E-7</v>
      </c>
      <c r="D13" s="846"/>
      <c r="E13" s="812" t="s">
        <v>280</v>
      </c>
      <c r="F13" s="426">
        <f>ROWS(E$8:$E13)</f>
        <v>6</v>
      </c>
      <c r="G13" s="14" t="str">
        <f>IF(ID!$B$90=E13,F13,"")</f>
        <v/>
      </c>
      <c r="H13" s="427">
        <f>IFERROR(SMALL($G$8:$G$114,ROWS(G$8:$G13)),"")</f>
        <v>36</v>
      </c>
      <c r="K13" s="427">
        <f>IFERROR(INDEX($B$8:$D$114,$H13,COLUMNS(J$8:$J13)),"")</f>
        <v>19.899999999999999</v>
      </c>
      <c r="L13" s="430">
        <f>IFERROR(INDEX($B$8:$D$114,$H13,COLUMNS($J$8:K13)),"")</f>
        <v>0.1</v>
      </c>
      <c r="M13" s="427"/>
      <c r="N13" s="420"/>
      <c r="O13" s="428" t="s">
        <v>2</v>
      </c>
    </row>
    <row r="14" spans="2:17" x14ac:dyDescent="0.25">
      <c r="B14" s="501">
        <v>50</v>
      </c>
      <c r="C14" s="872">
        <v>9.9999999999999995E-7</v>
      </c>
      <c r="D14" s="846"/>
      <c r="E14" s="812" t="s">
        <v>280</v>
      </c>
      <c r="F14" s="426">
        <f>ROWS(E$8:$E14)</f>
        <v>7</v>
      </c>
      <c r="G14" s="14" t="str">
        <f>IF(ID!$B$90=E14,F14,"")</f>
        <v/>
      </c>
      <c r="H14" s="427">
        <f>IFERROR(SMALL($G$8:$G$114,ROWS(G$8:$G14)),"")</f>
        <v>37</v>
      </c>
      <c r="K14" s="427">
        <f>IFERROR(INDEX($B$8:$D$114,$H14,COLUMNS(J$8:$J14)),"")</f>
        <v>49.6</v>
      </c>
      <c r="L14" s="430">
        <f>IFERROR(INDEX($B$8:$D$114,$H14,COLUMNS($J$8:K14)),"")</f>
        <v>0.4</v>
      </c>
      <c r="M14" s="427"/>
      <c r="N14" s="420"/>
      <c r="O14" s="428"/>
    </row>
    <row r="15" spans="2:17" x14ac:dyDescent="0.25">
      <c r="B15" s="501">
        <v>100</v>
      </c>
      <c r="C15" s="872">
        <v>9.9999999999999995E-7</v>
      </c>
      <c r="D15" s="846"/>
      <c r="E15" s="812" t="s">
        <v>280</v>
      </c>
      <c r="F15" s="426">
        <f>ROWS(E$8:$E15)</f>
        <v>8</v>
      </c>
      <c r="G15" s="14" t="str">
        <f>IF(ID!$B$90=E15,F15,"")</f>
        <v/>
      </c>
      <c r="H15" s="427">
        <f>IFERROR(SMALL($G$8:$G$114,ROWS(G$8:$G15)),"")</f>
        <v>38</v>
      </c>
      <c r="K15" s="427">
        <f>IFERROR(INDEX($B$8:$D$114,$H15,COLUMNS(J$8:$J15)),"")</f>
        <v>98.6</v>
      </c>
      <c r="L15" s="430">
        <f>IFERROR(INDEX($B$8:$D$114,$H15,COLUMNS($J$8:K15)),"")</f>
        <v>1.4</v>
      </c>
      <c r="M15" s="427"/>
      <c r="N15" s="420"/>
      <c r="O15" s="428"/>
    </row>
    <row r="16" spans="2:17" x14ac:dyDescent="0.25">
      <c r="B16" s="854">
        <v>200</v>
      </c>
      <c r="C16" s="855">
        <f>C15</f>
        <v>9.9999999999999995E-7</v>
      </c>
      <c r="D16" s="856"/>
      <c r="E16" s="822" t="s">
        <v>280</v>
      </c>
      <c r="F16" s="426">
        <f>ROWS(E$8:$E16)</f>
        <v>9</v>
      </c>
      <c r="G16" s="14" t="str">
        <f>IF(ID!$B$90=E16,F16,"")</f>
        <v/>
      </c>
      <c r="H16" s="427">
        <f>IFERROR(SMALL($G$8:$G$114,ROWS(G$8:$G16)),"")</f>
        <v>39</v>
      </c>
      <c r="K16" s="427">
        <f>IFERROR(INDEX($B$8:$D$114,$H16,COLUMNS(J$8:$J16)),"")</f>
        <v>200</v>
      </c>
      <c r="L16" s="430">
        <f>IFERROR(INDEX($B$8:$D$114,$H16,COLUMNS($J$8:K16)),"")</f>
        <v>1.4</v>
      </c>
      <c r="M16" s="427"/>
      <c r="N16" s="420"/>
      <c r="O16" s="428"/>
    </row>
    <row r="17" spans="2:15" x14ac:dyDescent="0.25">
      <c r="B17"/>
      <c r="C17" s="805"/>
      <c r="D17"/>
      <c r="E17"/>
      <c r="F17" s="426">
        <f>ROWS(E$8:$E17)</f>
        <v>10</v>
      </c>
      <c r="G17" s="14" t="str">
        <f>IF(ID!$B$90=E17,F17,"")</f>
        <v/>
      </c>
      <c r="H17" s="427" t="str">
        <f>IFERROR(SMALL($G$8:$G$114,ROWS(G$8:$G17)),"")</f>
        <v/>
      </c>
      <c r="K17" s="427" t="str">
        <f>IFERROR(INDEX($B$8:$D$114,$H17,COLUMNS(J$8:$J17)),"")</f>
        <v/>
      </c>
      <c r="L17" s="430" t="str">
        <f>IFERROR(INDEX($B$8:$D$114,$H17,COLUMNS($J$8:K17)),"")</f>
        <v/>
      </c>
      <c r="M17" s="427"/>
      <c r="N17" s="420"/>
      <c r="O17" s="428" t="s">
        <v>2</v>
      </c>
    </row>
    <row r="18" spans="2:15" x14ac:dyDescent="0.25">
      <c r="B18" s="836">
        <v>0</v>
      </c>
      <c r="C18" s="872">
        <v>9.9999999999999995E-7</v>
      </c>
      <c r="D18" s="832">
        <v>2019</v>
      </c>
      <c r="E18" s="812" t="s">
        <v>282</v>
      </c>
      <c r="F18" s="426">
        <f>ROWS(E$8:$E18)</f>
        <v>11</v>
      </c>
      <c r="G18" s="14" t="str">
        <f>IF(ID!$B$90=E18,F18,"")</f>
        <v/>
      </c>
      <c r="H18" s="427" t="str">
        <f>IFERROR(SMALL($G$8:$G$114,ROWS(G$8:$G18)),"")</f>
        <v/>
      </c>
    </row>
    <row r="19" spans="2:15" ht="13.8" x14ac:dyDescent="0.25">
      <c r="B19" s="502">
        <v>1</v>
      </c>
      <c r="C19" s="872">
        <v>9.9999999999999995E-7</v>
      </c>
      <c r="D19" s="832"/>
      <c r="E19" s="812" t="s">
        <v>282</v>
      </c>
      <c r="F19" s="426">
        <f>ROWS(E$8:$E19)</f>
        <v>12</v>
      </c>
      <c r="G19" s="14" t="str">
        <f>IF(ID!$B$90=E19,F19,"")</f>
        <v/>
      </c>
      <c r="H19" s="427" t="str">
        <f>IFERROR(SMALL($G$8:$G$114,ROWS(G$8:$G19)),"")</f>
        <v/>
      </c>
    </row>
    <row r="20" spans="2:15" x14ac:dyDescent="0.25">
      <c r="B20" s="486">
        <v>2</v>
      </c>
      <c r="C20" s="872">
        <v>9.9999999999999995E-7</v>
      </c>
      <c r="D20" s="832"/>
      <c r="E20" s="812" t="s">
        <v>282</v>
      </c>
      <c r="F20" s="426">
        <f>ROWS(E$8:$E20)</f>
        <v>13</v>
      </c>
      <c r="G20" s="14" t="str">
        <f>IF(ID!$B$90=E20,F20,"")</f>
        <v/>
      </c>
      <c r="H20" s="427" t="str">
        <f>IFERROR(SMALL($G$8:$G$114,ROWS(G$8:$G20)),"")</f>
        <v/>
      </c>
    </row>
    <row r="21" spans="2:15" x14ac:dyDescent="0.25">
      <c r="B21" s="486">
        <v>5</v>
      </c>
      <c r="C21" s="872">
        <v>9.9999999999999995E-7</v>
      </c>
      <c r="D21" s="832"/>
      <c r="E21" s="812" t="s">
        <v>282</v>
      </c>
      <c r="F21" s="426">
        <f>ROWS(E$8:$E21)</f>
        <v>14</v>
      </c>
      <c r="G21" s="14" t="str">
        <f>IF(ID!$B$90=E21,F21,"")</f>
        <v/>
      </c>
      <c r="H21" s="427" t="str">
        <f>IFERROR(SMALL($G$8:$G$114,ROWS(G$8:$G21)),"")</f>
        <v/>
      </c>
    </row>
    <row r="22" spans="2:15" ht="13.8" thickBot="1" x14ac:dyDescent="0.3">
      <c r="B22" s="857">
        <v>9.9</v>
      </c>
      <c r="C22" s="805">
        <v>0.1</v>
      </c>
      <c r="D22" s="832"/>
      <c r="E22" s="812" t="s">
        <v>282</v>
      </c>
      <c r="F22" s="426">
        <f>ROWS(E$8:$E22)</f>
        <v>15</v>
      </c>
      <c r="G22" s="14" t="str">
        <f>IF(ID!$B$90=E22,F22,"")</f>
        <v/>
      </c>
      <c r="H22" s="427" t="str">
        <f>IFERROR(SMALL($G$8:$G$114,ROWS(G$8:$G22)),"")</f>
        <v/>
      </c>
    </row>
    <row r="23" spans="2:15" x14ac:dyDescent="0.25">
      <c r="B23" s="858">
        <v>19.8</v>
      </c>
      <c r="C23" s="805">
        <v>0.2</v>
      </c>
      <c r="D23" s="832"/>
      <c r="E23" s="812" t="s">
        <v>282</v>
      </c>
      <c r="F23" s="426">
        <f>ROWS(E$8:$E23)</f>
        <v>16</v>
      </c>
      <c r="G23" s="14" t="str">
        <f>IF(ID!$B$90=E23,F23,"")</f>
        <v/>
      </c>
      <c r="H23" s="427" t="str">
        <f>IFERROR(SMALL($G$8:$G$114,ROWS(G$8:$G23)),"")</f>
        <v/>
      </c>
    </row>
    <row r="24" spans="2:15" x14ac:dyDescent="0.25">
      <c r="B24" s="858">
        <v>49.7</v>
      </c>
      <c r="C24" s="805">
        <v>0.3</v>
      </c>
      <c r="D24" s="832"/>
      <c r="E24" s="812" t="s">
        <v>282</v>
      </c>
      <c r="F24" s="426">
        <f>ROWS(E$8:$E24)</f>
        <v>17</v>
      </c>
      <c r="G24" s="14" t="str">
        <f>IF(ID!$B$90=E24,F24,"")</f>
        <v/>
      </c>
      <c r="H24" s="427" t="str">
        <f>IFERROR(SMALL($G$8:$G$114,ROWS(G$8:$G24)),"")</f>
        <v/>
      </c>
    </row>
    <row r="25" spans="2:15" x14ac:dyDescent="0.25">
      <c r="B25" s="858">
        <v>99.7</v>
      </c>
      <c r="C25" s="805">
        <v>0.3</v>
      </c>
      <c r="D25" s="832"/>
      <c r="E25" s="812" t="s">
        <v>282</v>
      </c>
      <c r="F25" s="426">
        <f>ROWS(E$8:$E25)</f>
        <v>18</v>
      </c>
      <c r="G25" s="14" t="str">
        <f>IF(ID!$B$90=E25,F25,"")</f>
        <v/>
      </c>
      <c r="H25" s="427" t="str">
        <f>IFERROR(SMALL($G$8:$G$114,ROWS(G$8:$G25)),"")</f>
        <v/>
      </c>
    </row>
    <row r="26" spans="2:15" x14ac:dyDescent="0.25">
      <c r="B26" s="854">
        <v>200</v>
      </c>
      <c r="C26" s="855">
        <f>C25</f>
        <v>0.3</v>
      </c>
      <c r="D26"/>
      <c r="E26" s="822" t="s">
        <v>282</v>
      </c>
      <c r="F26" s="426">
        <f>ROWS(E$8:$E26)</f>
        <v>19</v>
      </c>
      <c r="G26" s="14" t="str">
        <f>IF(ID!$B$90=E26,F26,"")</f>
        <v/>
      </c>
      <c r="H26" s="427" t="str">
        <f>IFERROR(SMALL($G$8:$G$114,ROWS(G$8:$G26)),"")</f>
        <v/>
      </c>
    </row>
    <row r="27" spans="2:15" x14ac:dyDescent="0.25">
      <c r="B27"/>
      <c r="C27" s="805"/>
      <c r="D27"/>
      <c r="E27" s="859"/>
      <c r="F27" s="426">
        <f>ROWS(E$8:$E27)</f>
        <v>20</v>
      </c>
      <c r="G27" s="14" t="str">
        <f>IF(ID!$B$90=E27,F27,"")</f>
        <v/>
      </c>
      <c r="H27" s="427" t="str">
        <f>IFERROR(SMALL($G$8:$G$114,ROWS(G$8:$G27)),"")</f>
        <v/>
      </c>
    </row>
    <row r="28" spans="2:15" x14ac:dyDescent="0.25">
      <c r="B28" s="860">
        <v>0</v>
      </c>
      <c r="C28" s="872">
        <v>9.9999999999999995E-7</v>
      </c>
      <c r="D28" s="846">
        <v>2021</v>
      </c>
      <c r="E28" s="812" t="s">
        <v>284</v>
      </c>
      <c r="F28" s="426">
        <f>ROWS(E$8:$E28)</f>
        <v>21</v>
      </c>
      <c r="G28" s="14" t="str">
        <f>IF(ID!$B$90=E28,F28,"")</f>
        <v/>
      </c>
      <c r="H28" s="427" t="str">
        <f>IFERROR(SMALL($G$8:$G$114,ROWS(G$8:$G28)),"")</f>
        <v/>
      </c>
    </row>
    <row r="29" spans="2:15" ht="13.8" x14ac:dyDescent="0.25">
      <c r="B29" s="853">
        <v>1</v>
      </c>
      <c r="C29" s="872">
        <v>9.9999999999999995E-7</v>
      </c>
      <c r="D29" s="862"/>
      <c r="E29" s="812" t="s">
        <v>284</v>
      </c>
      <c r="F29" s="426">
        <f>ROWS(E$8:$E29)</f>
        <v>22</v>
      </c>
      <c r="G29" s="14" t="str">
        <f>IF(ID!$B$90=E29,F29,"")</f>
        <v/>
      </c>
      <c r="H29" s="427" t="str">
        <f>IFERROR(SMALL($G$8:$G$114,ROWS(G$8:$G29)),"")</f>
        <v/>
      </c>
    </row>
    <row r="30" spans="2:15" x14ac:dyDescent="0.25">
      <c r="B30" s="501">
        <v>2</v>
      </c>
      <c r="C30" s="872">
        <v>9.9999999999999995E-7</v>
      </c>
      <c r="D30" s="862"/>
      <c r="E30" s="812" t="s">
        <v>284</v>
      </c>
      <c r="F30" s="426">
        <f>ROWS(E$8:$E30)</f>
        <v>23</v>
      </c>
      <c r="G30" s="14" t="str">
        <f>IF(ID!$B$90=E30,F30,"")</f>
        <v/>
      </c>
      <c r="H30" s="427" t="str">
        <f>IFERROR(SMALL($G$8:$G$114,ROWS(G$8:$G30)),"")</f>
        <v/>
      </c>
    </row>
    <row r="31" spans="2:15" x14ac:dyDescent="0.25">
      <c r="B31" s="501">
        <v>5</v>
      </c>
      <c r="C31" s="872">
        <v>9.9999999999999995E-7</v>
      </c>
      <c r="D31" s="862"/>
      <c r="E31" s="812" t="s">
        <v>284</v>
      </c>
      <c r="F31" s="426">
        <f>ROWS(E$8:$E31)</f>
        <v>24</v>
      </c>
      <c r="G31" s="14" t="str">
        <f>IF(ID!$B$90=E31,F31,"")</f>
        <v/>
      </c>
      <c r="H31" s="427" t="str">
        <f>IFERROR(SMALL($G$8:$G$114,ROWS(G$8:$G31)),"")</f>
        <v/>
      </c>
    </row>
    <row r="32" spans="2:15" x14ac:dyDescent="0.25">
      <c r="B32" s="501">
        <v>10</v>
      </c>
      <c r="C32" s="872">
        <v>9.9999999999999995E-7</v>
      </c>
      <c r="D32" s="862"/>
      <c r="E32" s="812" t="s">
        <v>284</v>
      </c>
      <c r="F32" s="426">
        <f>ROWS(E$8:$E32)</f>
        <v>25</v>
      </c>
      <c r="G32" s="14" t="str">
        <f>IF(ID!$B$90=E32,F32,"")</f>
        <v/>
      </c>
      <c r="H32" s="427" t="str">
        <f>IFERROR(SMALL($G$8:$G$114,ROWS(G$8:$G32)),"")</f>
        <v/>
      </c>
    </row>
    <row r="33" spans="2:8" x14ac:dyDescent="0.25">
      <c r="B33" s="501">
        <v>20</v>
      </c>
      <c r="C33" s="872">
        <v>9.9999999999999995E-7</v>
      </c>
      <c r="D33" s="862"/>
      <c r="E33" s="812" t="s">
        <v>284</v>
      </c>
      <c r="F33" s="426">
        <f>ROWS(E$8:$E33)</f>
        <v>26</v>
      </c>
      <c r="G33" s="14" t="str">
        <f>IF(ID!$B$90=E33,F33,"")</f>
        <v/>
      </c>
      <c r="H33" s="427" t="str">
        <f>IFERROR(SMALL($G$8:$G$114,ROWS(G$8:$G33)),"")</f>
        <v/>
      </c>
    </row>
    <row r="34" spans="2:8" x14ac:dyDescent="0.25">
      <c r="B34" s="501">
        <v>49.6</v>
      </c>
      <c r="C34" s="861">
        <v>0.4</v>
      </c>
      <c r="D34" s="862"/>
      <c r="E34" s="812" t="s">
        <v>284</v>
      </c>
      <c r="F34" s="426">
        <f>ROWS(E$8:$E34)</f>
        <v>27</v>
      </c>
      <c r="G34" s="14" t="str">
        <f>IF(ID!$B$90=E34,F34,"")</f>
        <v/>
      </c>
      <c r="H34" s="427" t="str">
        <f>IFERROR(SMALL($G$8:$G$114,ROWS(G$8:$G34)),"")</f>
        <v/>
      </c>
    </row>
    <row r="35" spans="2:8" x14ac:dyDescent="0.25">
      <c r="B35" s="501">
        <v>98.9</v>
      </c>
      <c r="C35" s="861">
        <v>1.1000000000000001</v>
      </c>
      <c r="D35" s="862"/>
      <c r="E35" s="812" t="s">
        <v>284</v>
      </c>
      <c r="F35" s="426">
        <f>ROWS(E$8:$E35)</f>
        <v>28</v>
      </c>
      <c r="G35" s="14" t="str">
        <f>IF(ID!$B$90=E35,F35,"")</f>
        <v/>
      </c>
      <c r="H35" s="427" t="str">
        <f>IFERROR(SMALL($G$8:$G$114,ROWS(G$8:$G35)),"")</f>
        <v/>
      </c>
    </row>
    <row r="36" spans="2:8" x14ac:dyDescent="0.25">
      <c r="B36" s="854">
        <v>200</v>
      </c>
      <c r="C36" s="855">
        <f>C35</f>
        <v>1.1000000000000001</v>
      </c>
      <c r="D36" s="863"/>
      <c r="E36" s="822" t="s">
        <v>284</v>
      </c>
      <c r="F36" s="426">
        <f>ROWS(E$8:$E36)</f>
        <v>29</v>
      </c>
      <c r="G36" s="14" t="str">
        <f>IF(ID!$B$90=E36,F36,"")</f>
        <v/>
      </c>
      <c r="H36" s="427" t="str">
        <f>IFERROR(SMALL($G$8:$G$114,ROWS(G$8:$G36)),"")</f>
        <v/>
      </c>
    </row>
    <row r="37" spans="2:8" x14ac:dyDescent="0.25">
      <c r="B37"/>
      <c r="C37" s="805"/>
      <c r="D37"/>
      <c r="E37" s="864"/>
      <c r="F37" s="426">
        <f>ROWS(E$8:$E37)</f>
        <v>30</v>
      </c>
      <c r="G37" s="14" t="str">
        <f>IF(ID!$B$90=E37,F37,"")</f>
        <v/>
      </c>
      <c r="H37" s="427" t="str">
        <f>IFERROR(SMALL($G$8:$G$114,ROWS(G$8:$G37)),"")</f>
        <v/>
      </c>
    </row>
    <row r="38" spans="2:8" x14ac:dyDescent="0.25">
      <c r="B38" s="860">
        <v>0</v>
      </c>
      <c r="C38" s="872">
        <v>9.9999999999999995E-7</v>
      </c>
      <c r="D38" s="846">
        <v>2021</v>
      </c>
      <c r="E38" s="824" t="s">
        <v>164</v>
      </c>
      <c r="F38" s="426">
        <f>ROWS(E$8:$E38)</f>
        <v>31</v>
      </c>
      <c r="G38" s="14">
        <f>IF(ID!$B$90=E38,F38,"")</f>
        <v>31</v>
      </c>
      <c r="H38" s="427" t="str">
        <f>IFERROR(SMALL($G$8:$G$114,ROWS(G$8:$G38)),"")</f>
        <v/>
      </c>
    </row>
    <row r="39" spans="2:8" ht="13.8" x14ac:dyDescent="0.25">
      <c r="B39" s="853">
        <v>1</v>
      </c>
      <c r="C39" s="872">
        <v>9.9999999999999995E-7</v>
      </c>
      <c r="D39" s="862"/>
      <c r="E39" s="824" t="s">
        <v>164</v>
      </c>
      <c r="F39" s="426">
        <f>ROWS(E$8:$E39)</f>
        <v>32</v>
      </c>
      <c r="G39" s="14">
        <f>IF(ID!$B$90=E39,F39,"")</f>
        <v>32</v>
      </c>
      <c r="H39" s="427" t="str">
        <f>IFERROR(SMALL($G$8:$G$114,ROWS(G$8:$G39)),"")</f>
        <v/>
      </c>
    </row>
    <row r="40" spans="2:8" x14ac:dyDescent="0.25">
      <c r="B40" s="501">
        <v>2</v>
      </c>
      <c r="C40" s="872">
        <v>9.9999999999999995E-7</v>
      </c>
      <c r="D40" s="862"/>
      <c r="E40" s="824" t="s">
        <v>164</v>
      </c>
      <c r="F40" s="426">
        <f>ROWS(E$8:$E40)</f>
        <v>33</v>
      </c>
      <c r="G40" s="14">
        <f>IF(ID!$B$90=E40,F40,"")</f>
        <v>33</v>
      </c>
      <c r="H40" s="427" t="str">
        <f>IFERROR(SMALL($G$8:$G$114,ROWS(G$8:$G40)),"")</f>
        <v/>
      </c>
    </row>
    <row r="41" spans="2:8" x14ac:dyDescent="0.25">
      <c r="B41" s="501">
        <v>5</v>
      </c>
      <c r="C41" s="872">
        <v>9.9999999999999995E-7</v>
      </c>
      <c r="D41" s="862"/>
      <c r="E41" s="824" t="s">
        <v>164</v>
      </c>
      <c r="F41" s="426">
        <f>ROWS(E$8:$E41)</f>
        <v>34</v>
      </c>
      <c r="G41" s="14">
        <f>IF(ID!$B$90=E41,F41,"")</f>
        <v>34</v>
      </c>
      <c r="H41" s="427" t="str">
        <f>IFERROR(SMALL($G$8:$G$114,ROWS(G$8:$G41)),"")</f>
        <v/>
      </c>
    </row>
    <row r="42" spans="2:8" x14ac:dyDescent="0.25">
      <c r="B42" s="501">
        <v>10</v>
      </c>
      <c r="C42" s="872">
        <v>9.9999999999999995E-7</v>
      </c>
      <c r="D42" s="862"/>
      <c r="E42" s="824" t="s">
        <v>164</v>
      </c>
      <c r="F42" s="426">
        <f>ROWS(E$8:$E42)</f>
        <v>35</v>
      </c>
      <c r="G42" s="14">
        <f>IF(ID!$B$90=E42,F42,"")</f>
        <v>35</v>
      </c>
      <c r="H42" s="427" t="str">
        <f>IFERROR(SMALL($G$8:$G$114,ROWS(G$8:$G42)),"")</f>
        <v/>
      </c>
    </row>
    <row r="43" spans="2:8" x14ac:dyDescent="0.25">
      <c r="B43" s="501">
        <v>19.899999999999999</v>
      </c>
      <c r="C43" s="861">
        <v>0.1</v>
      </c>
      <c r="D43" s="862"/>
      <c r="E43" s="824" t="s">
        <v>164</v>
      </c>
      <c r="F43" s="426">
        <f>ROWS(E$8:$E43)</f>
        <v>36</v>
      </c>
      <c r="G43" s="14">
        <f>IF(ID!$B$90=E43,F43,"")</f>
        <v>36</v>
      </c>
      <c r="H43" s="427" t="str">
        <f>IFERROR(SMALL($G$8:$G$114,ROWS(G$8:$G43)),"")</f>
        <v/>
      </c>
    </row>
    <row r="44" spans="2:8" x14ac:dyDescent="0.25">
      <c r="B44" s="501">
        <v>49.6</v>
      </c>
      <c r="C44" s="861">
        <v>0.4</v>
      </c>
      <c r="D44" s="865"/>
      <c r="E44" s="824" t="s">
        <v>164</v>
      </c>
      <c r="F44" s="426">
        <f>ROWS(E$8:$E44)</f>
        <v>37</v>
      </c>
      <c r="G44" s="14">
        <f>IF(ID!$B$90=E44,F44,"")</f>
        <v>37</v>
      </c>
      <c r="H44" s="427" t="str">
        <f>IFERROR(SMALL($G$8:$G$114,ROWS(G$8:$G44)),"")</f>
        <v/>
      </c>
    </row>
    <row r="45" spans="2:8" x14ac:dyDescent="0.25">
      <c r="B45" s="501">
        <v>98.6</v>
      </c>
      <c r="C45" s="861">
        <v>1.4</v>
      </c>
      <c r="D45" s="862"/>
      <c r="E45" s="824" t="s">
        <v>164</v>
      </c>
      <c r="F45" s="426">
        <f>ROWS(E$8:$E45)</f>
        <v>38</v>
      </c>
      <c r="G45" s="14">
        <f>IF(ID!$B$90=E45,F45,"")</f>
        <v>38</v>
      </c>
      <c r="H45" s="427" t="str">
        <f>IFERROR(SMALL($G$8:$G$114,ROWS(G$8:$G45)),"")</f>
        <v/>
      </c>
    </row>
    <row r="46" spans="2:8" x14ac:dyDescent="0.25">
      <c r="B46" s="854">
        <v>200</v>
      </c>
      <c r="C46" s="855">
        <f>C45</f>
        <v>1.4</v>
      </c>
      <c r="D46" s="863"/>
      <c r="E46" s="822" t="s">
        <v>164</v>
      </c>
      <c r="F46" s="426">
        <f>ROWS(E$8:$E46)</f>
        <v>39</v>
      </c>
      <c r="G46" s="14">
        <f>IF(ID!$B$90=E46,F46,"")</f>
        <v>39</v>
      </c>
      <c r="H46" s="427" t="str">
        <f>IFERROR(SMALL($G$8:$G$114,ROWS(G$8:$G46)),"")</f>
        <v/>
      </c>
    </row>
    <row r="47" spans="2:8" x14ac:dyDescent="0.25">
      <c r="B47"/>
      <c r="C47" s="805"/>
      <c r="D47"/>
      <c r="E47" s="864"/>
      <c r="F47" s="426">
        <f>ROWS(E$8:$E47)</f>
        <v>40</v>
      </c>
      <c r="G47" s="14" t="str">
        <f>IF(ID!$B$90=E47,F47,"")</f>
        <v/>
      </c>
      <c r="H47" s="427" t="str">
        <f>IFERROR(SMALL($G$8:$G$114,ROWS(G$8:$G47)),"")</f>
        <v/>
      </c>
    </row>
    <row r="48" spans="2:8" x14ac:dyDescent="0.25">
      <c r="B48" s="501">
        <v>0</v>
      </c>
      <c r="C48" s="872">
        <v>9.9999999999999995E-7</v>
      </c>
      <c r="D48" s="846">
        <v>2021</v>
      </c>
      <c r="E48" s="812" t="s">
        <v>289</v>
      </c>
      <c r="F48" s="426">
        <f>ROWS(E$8:$E48)</f>
        <v>41</v>
      </c>
      <c r="G48" s="14" t="str">
        <f>IF(ID!$B$90=E48,F48,"")</f>
        <v/>
      </c>
      <c r="H48" s="427" t="str">
        <f>IFERROR(SMALL($G$8:$G$114,ROWS(G$8:$G48)),"")</f>
        <v/>
      </c>
    </row>
    <row r="49" spans="2:8" ht="13.8" x14ac:dyDescent="0.25">
      <c r="B49" s="853">
        <v>1</v>
      </c>
      <c r="C49" s="872">
        <v>9.9999999999999995E-7</v>
      </c>
      <c r="D49" s="862"/>
      <c r="E49" s="812" t="s">
        <v>289</v>
      </c>
      <c r="F49" s="426">
        <f>ROWS(E$8:$E49)</f>
        <v>42</v>
      </c>
      <c r="G49" s="14" t="str">
        <f>IF(ID!$B$90=E49,F49,"")</f>
        <v/>
      </c>
      <c r="H49" s="427" t="str">
        <f>IFERROR(SMALL($G$8:$G$114,ROWS(G$8:$G49)),"")</f>
        <v/>
      </c>
    </row>
    <row r="50" spans="2:8" x14ac:dyDescent="0.25">
      <c r="B50" s="501">
        <v>2</v>
      </c>
      <c r="C50" s="872">
        <v>9.9999999999999995E-7</v>
      </c>
      <c r="D50" s="862"/>
      <c r="E50" s="812" t="s">
        <v>289</v>
      </c>
      <c r="F50" s="426">
        <f>ROWS(E$8:$E50)</f>
        <v>43</v>
      </c>
      <c r="G50" s="14" t="str">
        <f>IF(ID!$B$90=E50,F50,"")</f>
        <v/>
      </c>
      <c r="H50" s="427" t="str">
        <f>IFERROR(SMALL($G$8:$G$114,ROWS(G$8:$G50)),"")</f>
        <v/>
      </c>
    </row>
    <row r="51" spans="2:8" x14ac:dyDescent="0.25">
      <c r="B51" s="501">
        <v>5</v>
      </c>
      <c r="C51" s="872">
        <v>9.9999999999999995E-7</v>
      </c>
      <c r="D51" s="862"/>
      <c r="E51" s="812" t="s">
        <v>289</v>
      </c>
      <c r="F51" s="426">
        <f>ROWS(E$8:$E51)</f>
        <v>44</v>
      </c>
      <c r="G51" s="14" t="str">
        <f>IF(ID!$B$90=E51,F51,"")</f>
        <v/>
      </c>
      <c r="H51" s="427" t="str">
        <f>IFERROR(SMALL($G$8:$G$114,ROWS(G$8:$G51)),"")</f>
        <v/>
      </c>
    </row>
    <row r="52" spans="2:8" x14ac:dyDescent="0.25">
      <c r="B52" s="501">
        <v>10</v>
      </c>
      <c r="C52" s="872">
        <v>9.9999999999999995E-7</v>
      </c>
      <c r="D52" s="862"/>
      <c r="E52" s="812" t="s">
        <v>289</v>
      </c>
      <c r="F52" s="426">
        <f>ROWS(E$8:$E52)</f>
        <v>45</v>
      </c>
      <c r="G52" s="14" t="str">
        <f>IF(ID!$B$90=E52,F52,"")</f>
        <v/>
      </c>
      <c r="H52" s="427" t="str">
        <f>IFERROR(SMALL($G$8:$G$114,ROWS(G$8:$G52)),"")</f>
        <v/>
      </c>
    </row>
    <row r="53" spans="2:8" x14ac:dyDescent="0.25">
      <c r="B53" s="501">
        <v>19.899999999999999</v>
      </c>
      <c r="C53" s="866">
        <v>0.1</v>
      </c>
      <c r="D53" s="862"/>
      <c r="E53" s="812" t="s">
        <v>289</v>
      </c>
      <c r="F53" s="426">
        <f>ROWS(E$8:$E53)</f>
        <v>46</v>
      </c>
      <c r="G53" s="14" t="str">
        <f>IF(ID!$B$90=E53,F53,"")</f>
        <v/>
      </c>
      <c r="H53" s="427" t="str">
        <f>IFERROR(SMALL($G$8:$G$114,ROWS(G$8:$G53)),"")</f>
        <v/>
      </c>
    </row>
    <row r="54" spans="2:8" x14ac:dyDescent="0.25">
      <c r="B54" s="501">
        <v>49.4</v>
      </c>
      <c r="C54" s="866">
        <v>0.6</v>
      </c>
      <c r="D54" s="862"/>
      <c r="E54" s="812" t="s">
        <v>289</v>
      </c>
      <c r="F54" s="426">
        <f>ROWS(E$8:$E54)</f>
        <v>47</v>
      </c>
      <c r="G54" s="14" t="str">
        <f>IF(ID!$B$90=E54,F54,"")</f>
        <v/>
      </c>
      <c r="H54" s="427" t="str">
        <f>IFERROR(SMALL($G$8:$G$114,ROWS(G$8:$G54)),"")</f>
        <v/>
      </c>
    </row>
    <row r="55" spans="2:8" x14ac:dyDescent="0.25">
      <c r="B55" s="501">
        <v>98.5</v>
      </c>
      <c r="C55" s="866">
        <v>1.5</v>
      </c>
      <c r="D55" s="862"/>
      <c r="E55" s="812" t="s">
        <v>289</v>
      </c>
      <c r="F55" s="426">
        <f>ROWS(E$8:$E55)</f>
        <v>48</v>
      </c>
      <c r="G55" s="14" t="str">
        <f>IF(ID!$B$90=E55,F55,"")</f>
        <v/>
      </c>
      <c r="H55" s="427" t="str">
        <f>IFERROR(SMALL($G$8:$G$114,ROWS(G$8:$G55)),"")</f>
        <v/>
      </c>
    </row>
    <row r="56" spans="2:8" x14ac:dyDescent="0.25">
      <c r="B56" s="854">
        <v>200</v>
      </c>
      <c r="C56" s="855">
        <f>C55</f>
        <v>1.5</v>
      </c>
      <c r="D56" s="863"/>
      <c r="E56" s="822" t="s">
        <v>289</v>
      </c>
      <c r="F56" s="426">
        <f>ROWS(E$8:$E56)</f>
        <v>49</v>
      </c>
      <c r="G56" s="14" t="str">
        <f>IF(ID!$B$90=E56,F56,"")</f>
        <v/>
      </c>
      <c r="H56" s="427" t="str">
        <f>IFERROR(SMALL($G$8:$G$114,ROWS(G$8:$G56)),"")</f>
        <v/>
      </c>
    </row>
    <row r="57" spans="2:8" x14ac:dyDescent="0.25">
      <c r="B57"/>
      <c r="C57" s="805"/>
      <c r="D57"/>
      <c r="E57" s="867"/>
      <c r="F57" s="426">
        <f>ROWS(E$8:$E57)</f>
        <v>50</v>
      </c>
      <c r="G57" s="14" t="str">
        <f>IF(ID!$B$90=E57,F57,"")</f>
        <v/>
      </c>
      <c r="H57" s="427" t="str">
        <f>IFERROR(SMALL($G$8:$G$114,ROWS(G$8:$G57)),"")</f>
        <v/>
      </c>
    </row>
    <row r="58" spans="2:8" x14ac:dyDescent="0.25">
      <c r="B58" s="858">
        <v>0</v>
      </c>
      <c r="C58" s="872">
        <v>9.9999999999999995E-7</v>
      </c>
      <c r="D58" s="832">
        <v>2019</v>
      </c>
      <c r="E58" s="812" t="s">
        <v>292</v>
      </c>
      <c r="F58" s="426">
        <f>ROWS(E$8:$E58)</f>
        <v>51</v>
      </c>
      <c r="G58" s="14" t="str">
        <f>IF(ID!$B$90=E58,F58,"")</f>
        <v/>
      </c>
      <c r="H58" s="427" t="str">
        <f>IFERROR(SMALL($G$8:$G$114,ROWS(G$8:$G58)),"")</f>
        <v/>
      </c>
    </row>
    <row r="59" spans="2:8" ht="13.8" x14ac:dyDescent="0.25">
      <c r="B59" s="502">
        <v>1</v>
      </c>
      <c r="C59" s="872">
        <v>9.9999999999999995E-7</v>
      </c>
      <c r="D59" s="832"/>
      <c r="E59" s="812" t="s">
        <v>292</v>
      </c>
      <c r="F59" s="426">
        <f>ROWS(E$8:$E59)</f>
        <v>52</v>
      </c>
      <c r="G59" s="14" t="str">
        <f>IF(ID!$B$90=E59,F59,"")</f>
        <v/>
      </c>
      <c r="H59" s="427" t="str">
        <f>IFERROR(SMALL($G$8:$G$114,ROWS(G$8:$G59)),"")</f>
        <v/>
      </c>
    </row>
    <row r="60" spans="2:8" x14ac:dyDescent="0.25">
      <c r="B60" s="486">
        <v>2</v>
      </c>
      <c r="C60" s="872">
        <v>9.9999999999999995E-7</v>
      </c>
      <c r="D60" s="832"/>
      <c r="E60" s="812" t="s">
        <v>292</v>
      </c>
      <c r="F60" s="426">
        <f>ROWS(E$8:$E60)</f>
        <v>53</v>
      </c>
      <c r="G60" s="14" t="str">
        <f>IF(ID!$B$90=E60,F60,"")</f>
        <v/>
      </c>
      <c r="H60" s="427" t="str">
        <f>IFERROR(SMALL($G$8:$G$114,ROWS(G$8:$G60)),"")</f>
        <v/>
      </c>
    </row>
    <row r="61" spans="2:8" x14ac:dyDescent="0.25">
      <c r="B61" s="486">
        <v>5</v>
      </c>
      <c r="C61" s="872">
        <v>9.9999999999999995E-7</v>
      </c>
      <c r="D61" s="832"/>
      <c r="E61" s="812" t="s">
        <v>292</v>
      </c>
      <c r="F61" s="426">
        <f>ROWS(E$8:$E61)</f>
        <v>54</v>
      </c>
      <c r="G61" s="14" t="str">
        <f>IF(ID!$B$90=E61,F61,"")</f>
        <v/>
      </c>
      <c r="H61" s="427" t="str">
        <f>IFERROR(SMALL($G$8:$G$114,ROWS(G$8:$G61)),"")</f>
        <v/>
      </c>
    </row>
    <row r="62" spans="2:8" ht="13.8" thickBot="1" x14ac:dyDescent="0.3">
      <c r="B62" s="857">
        <v>9.9</v>
      </c>
      <c r="C62" s="869">
        <v>0.1</v>
      </c>
      <c r="D62" s="832"/>
      <c r="E62" s="812" t="s">
        <v>292</v>
      </c>
      <c r="F62" s="426">
        <f>ROWS(E$8:$E62)</f>
        <v>55</v>
      </c>
      <c r="G62" s="14" t="str">
        <f>IF(ID!$B$90=E62,F62,"")</f>
        <v/>
      </c>
      <c r="H62" s="427" t="str">
        <f>IFERROR(SMALL($G$8:$G$114,ROWS(G$8:$G62)),"")</f>
        <v/>
      </c>
    </row>
    <row r="63" spans="2:8" x14ac:dyDescent="0.25">
      <c r="B63" s="858">
        <v>19.899999999999999</v>
      </c>
      <c r="C63" s="868">
        <v>0.1</v>
      </c>
      <c r="D63" s="832"/>
      <c r="E63" s="812" t="s">
        <v>292</v>
      </c>
      <c r="F63" s="426">
        <f>ROWS(E$8:$E63)</f>
        <v>56</v>
      </c>
      <c r="G63" s="14" t="str">
        <f>IF(ID!$B$90=E63,F63,"")</f>
        <v/>
      </c>
      <c r="H63" s="427" t="str">
        <f>IFERROR(SMALL($G$8:$G$114,ROWS(G$8:$G63)),"")</f>
        <v/>
      </c>
    </row>
    <row r="64" spans="2:8" x14ac:dyDescent="0.25">
      <c r="B64" s="858">
        <v>49.7</v>
      </c>
      <c r="C64" s="868">
        <v>0.3</v>
      </c>
      <c r="D64" s="832"/>
      <c r="E64" s="812" t="s">
        <v>292</v>
      </c>
      <c r="F64" s="426">
        <f>ROWS(E$8:$E64)</f>
        <v>57</v>
      </c>
      <c r="G64" s="14" t="str">
        <f>IF(ID!$B$90=E64,F64,"")</f>
        <v/>
      </c>
      <c r="H64" s="427" t="str">
        <f>IFERROR(SMALL($G$8:$G$114,ROWS(G$8:$G64)),"")</f>
        <v/>
      </c>
    </row>
    <row r="65" spans="2:8" x14ac:dyDescent="0.25">
      <c r="B65" s="858">
        <v>99.4</v>
      </c>
      <c r="C65" s="868">
        <v>0.6</v>
      </c>
      <c r="D65" s="832"/>
      <c r="E65" s="812" t="s">
        <v>292</v>
      </c>
      <c r="F65" s="426">
        <f>ROWS(E$8:$E65)</f>
        <v>58</v>
      </c>
      <c r="G65" s="14" t="str">
        <f>IF(ID!$B$90=E65,F65,"")</f>
        <v/>
      </c>
      <c r="H65" s="427" t="str">
        <f>IFERROR(SMALL($G$8:$G$114,ROWS(G$8:$G65)),"")</f>
        <v/>
      </c>
    </row>
    <row r="66" spans="2:8" x14ac:dyDescent="0.25">
      <c r="B66" s="854">
        <v>200</v>
      </c>
      <c r="C66" s="855">
        <f>C65</f>
        <v>0.6</v>
      </c>
      <c r="D66" s="870"/>
      <c r="E66" s="822" t="s">
        <v>292</v>
      </c>
      <c r="F66" s="426">
        <f>ROWS(E$8:$E66)</f>
        <v>59</v>
      </c>
      <c r="G66" s="14" t="str">
        <f>IF(ID!$B$90=E66,F66,"")</f>
        <v/>
      </c>
      <c r="H66" s="427" t="str">
        <f>IFERROR(SMALL($G$8:$G$114,ROWS(G$8:$G66)),"")</f>
        <v/>
      </c>
    </row>
    <row r="67" spans="2:8" x14ac:dyDescent="0.25">
      <c r="B67"/>
      <c r="C67" s="805"/>
      <c r="D67"/>
      <c r="E67" s="29"/>
      <c r="F67" s="426">
        <f>ROWS(E$8:$E67)</f>
        <v>60</v>
      </c>
      <c r="G67" s="14" t="str">
        <f>IF(ID!$B$90=E67,F67,"")</f>
        <v/>
      </c>
      <c r="H67" s="427" t="str">
        <f>IFERROR(SMALL($G$8:$G$114,ROWS(G$8:$G67)),"")</f>
        <v/>
      </c>
    </row>
    <row r="68" spans="2:8" x14ac:dyDescent="0.25">
      <c r="B68"/>
      <c r="C68" s="805"/>
      <c r="D68"/>
      <c r="E68" s="29"/>
      <c r="F68" s="426">
        <f>ROWS(E$8:$E68)</f>
        <v>61</v>
      </c>
      <c r="G68" s="14" t="str">
        <f>IF(ID!$B$90=E68,F68,"")</f>
        <v/>
      </c>
      <c r="H68" s="427" t="str">
        <f>IFERROR(SMALL($G$8:$G$114,ROWS(G$8:$G68)),"")</f>
        <v/>
      </c>
    </row>
    <row r="69" spans="2:8" x14ac:dyDescent="0.25">
      <c r="B69"/>
      <c r="C69" s="805"/>
      <c r="D69"/>
      <c r="E69" s="29"/>
      <c r="F69" s="426">
        <f>ROWS(E$8:$E69)</f>
        <v>62</v>
      </c>
      <c r="G69" s="14" t="str">
        <f>IF(ID!$B$90=E69,F69,"")</f>
        <v/>
      </c>
      <c r="H69" s="427" t="str">
        <f>IFERROR(SMALL($G$8:$G$114,ROWS(G$8:$G69)),"")</f>
        <v/>
      </c>
    </row>
    <row r="70" spans="2:8" x14ac:dyDescent="0.25">
      <c r="B70" s="858">
        <v>0</v>
      </c>
      <c r="C70" s="872">
        <v>9.9999999999999995E-7</v>
      </c>
      <c r="D70" s="832">
        <v>2020</v>
      </c>
      <c r="E70" s="812" t="s">
        <v>293</v>
      </c>
      <c r="F70" s="426">
        <f>ROWS(E$8:$E70)</f>
        <v>63</v>
      </c>
      <c r="G70" s="14" t="str">
        <f>IF(ID!$B$90=E70,F70,"")</f>
        <v/>
      </c>
      <c r="H70" s="427" t="str">
        <f>IFERROR(SMALL($G$8:$G$114,ROWS(G$8:$G70)),"")</f>
        <v/>
      </c>
    </row>
    <row r="71" spans="2:8" ht="13.8" x14ac:dyDescent="0.25">
      <c r="B71" s="502">
        <v>1</v>
      </c>
      <c r="C71" s="872">
        <v>9.9999999999999995E-7</v>
      </c>
      <c r="D71" s="832"/>
      <c r="E71" s="812" t="s">
        <v>293</v>
      </c>
      <c r="F71" s="426">
        <f>ROWS(E$8:$E71)</f>
        <v>64</v>
      </c>
      <c r="G71" s="14" t="str">
        <f>IF(ID!$B$90=E71,F71,"")</f>
        <v/>
      </c>
      <c r="H71" s="427" t="str">
        <f>IFERROR(SMALL($G$8:$G$114,ROWS(G$8:$G71)),"")</f>
        <v/>
      </c>
    </row>
    <row r="72" spans="2:8" x14ac:dyDescent="0.25">
      <c r="B72" s="486">
        <v>2</v>
      </c>
      <c r="C72" s="872">
        <v>9.9999999999999995E-7</v>
      </c>
      <c r="D72" s="832"/>
      <c r="E72" s="812" t="s">
        <v>293</v>
      </c>
      <c r="F72" s="426">
        <f>ROWS(E$8:$E72)</f>
        <v>65</v>
      </c>
      <c r="G72" s="14" t="str">
        <f>IF(ID!$B$90=E72,F72,"")</f>
        <v/>
      </c>
      <c r="H72" s="427" t="str">
        <f>IFERROR(SMALL($G$8:$G$114,ROWS(G$8:$G72)),"")</f>
        <v/>
      </c>
    </row>
    <row r="73" spans="2:8" x14ac:dyDescent="0.25">
      <c r="B73" s="486">
        <v>5</v>
      </c>
      <c r="C73" s="872">
        <v>9.9999999999999995E-7</v>
      </c>
      <c r="D73" s="832"/>
      <c r="E73" s="812" t="s">
        <v>293</v>
      </c>
      <c r="F73" s="426">
        <f>ROWS(E$8:$E73)</f>
        <v>66</v>
      </c>
      <c r="G73" s="14" t="str">
        <f>IF(ID!$B$90=E73,F73,"")</f>
        <v/>
      </c>
      <c r="H73" s="427" t="str">
        <f>IFERROR(SMALL($G$8:$G$114,ROWS(G$8:$G73)),"")</f>
        <v/>
      </c>
    </row>
    <row r="74" spans="2:8" ht="13.8" thickBot="1" x14ac:dyDescent="0.3">
      <c r="B74" s="857">
        <v>10</v>
      </c>
      <c r="C74" s="872">
        <v>9.9999999999999995E-7</v>
      </c>
      <c r="D74" s="832"/>
      <c r="E74" s="812" t="s">
        <v>293</v>
      </c>
      <c r="F74" s="426">
        <f>ROWS(E$8:$E74)</f>
        <v>67</v>
      </c>
      <c r="G74" s="14" t="str">
        <f>IF(ID!$B$90=E74,F74,"")</f>
        <v/>
      </c>
      <c r="H74" s="427" t="str">
        <f>IFERROR(SMALL($G$8:$G$114,ROWS(G$8:$G74)),"")</f>
        <v/>
      </c>
    </row>
    <row r="75" spans="2:8" x14ac:dyDescent="0.25">
      <c r="B75" s="858">
        <v>20</v>
      </c>
      <c r="C75" s="872">
        <v>9.9999999999999995E-7</v>
      </c>
      <c r="D75" s="832"/>
      <c r="E75" s="812" t="s">
        <v>293</v>
      </c>
      <c r="F75" s="426">
        <f>ROWS(E$8:$E75)</f>
        <v>68</v>
      </c>
      <c r="G75" s="14" t="str">
        <f>IF(ID!$B$90=E75,F75,"")</f>
        <v/>
      </c>
      <c r="H75" s="427" t="str">
        <f>IFERROR(SMALL($G$8:$G$114,ROWS(G$8:$G75)),"")</f>
        <v/>
      </c>
    </row>
    <row r="76" spans="2:8" x14ac:dyDescent="0.25">
      <c r="B76" s="858">
        <v>50</v>
      </c>
      <c r="C76" s="872">
        <v>9.9999999999999995E-7</v>
      </c>
      <c r="D76" s="832"/>
      <c r="E76" s="812" t="s">
        <v>293</v>
      </c>
      <c r="F76" s="426">
        <f>ROWS(E$8:$E76)</f>
        <v>69</v>
      </c>
      <c r="G76" s="14" t="str">
        <f>IF(ID!$B$90=E76,F76,"")</f>
        <v/>
      </c>
      <c r="H76" s="427" t="str">
        <f>IFERROR(SMALL($G$8:$G$114,ROWS(G$8:$G76)),"")</f>
        <v/>
      </c>
    </row>
    <row r="77" spans="2:8" x14ac:dyDescent="0.25">
      <c r="B77" s="858">
        <v>100</v>
      </c>
      <c r="C77" s="872">
        <v>9.9999999999999995E-7</v>
      </c>
      <c r="D77" s="832"/>
      <c r="E77" s="812" t="s">
        <v>293</v>
      </c>
      <c r="F77" s="426">
        <f>ROWS(E$8:$E77)</f>
        <v>70</v>
      </c>
      <c r="G77" s="14" t="str">
        <f>IF(ID!$B$90=E77,F77,"")</f>
        <v/>
      </c>
      <c r="H77" s="427" t="str">
        <f>IFERROR(SMALL($G$8:$G$114,ROWS(G$8:$G77)),"")</f>
        <v/>
      </c>
    </row>
    <row r="78" spans="2:8" x14ac:dyDescent="0.25">
      <c r="B78" s="854">
        <v>200</v>
      </c>
      <c r="C78" s="855">
        <f>C77</f>
        <v>9.9999999999999995E-7</v>
      </c>
      <c r="D78"/>
      <c r="E78" s="822" t="s">
        <v>293</v>
      </c>
      <c r="F78" s="426">
        <f>ROWS(E$8:$E78)</f>
        <v>71</v>
      </c>
      <c r="G78" s="14" t="str">
        <f>IF(ID!$B$90=E78,F78,"")</f>
        <v/>
      </c>
      <c r="H78" s="427" t="str">
        <f>IFERROR(SMALL($G$8:$G$114,ROWS(G$8:$G78)),"")</f>
        <v/>
      </c>
    </row>
    <row r="79" spans="2:8" x14ac:dyDescent="0.25">
      <c r="B79"/>
      <c r="C79" s="805"/>
      <c r="D79"/>
      <c r="E79"/>
      <c r="F79" s="426">
        <f>ROWS(E$8:$E79)</f>
        <v>72</v>
      </c>
      <c r="G79" s="14" t="str">
        <f>IF(ID!$B$90=E79,F79,"")</f>
        <v/>
      </c>
      <c r="H79" s="427" t="str">
        <f>IFERROR(SMALL($G$8:$G$114,ROWS(G$8:$G79)),"")</f>
        <v/>
      </c>
    </row>
    <row r="80" spans="2:8" x14ac:dyDescent="0.25">
      <c r="B80"/>
      <c r="C80" s="805"/>
      <c r="D80"/>
      <c r="E80"/>
      <c r="F80" s="426">
        <f>ROWS(E$8:$E80)</f>
        <v>73</v>
      </c>
      <c r="G80" s="14" t="str">
        <f>IF(ID!$B$90=E80,F80,"")</f>
        <v/>
      </c>
      <c r="H80" s="427" t="str">
        <f>IFERROR(SMALL($G$8:$G$114,ROWS(G$8:$G80)),"")</f>
        <v/>
      </c>
    </row>
    <row r="81" spans="2:8" x14ac:dyDescent="0.25">
      <c r="B81" s="858">
        <v>0</v>
      </c>
      <c r="C81" s="872">
        <v>9.9999999999999995E-7</v>
      </c>
      <c r="D81" s="832">
        <v>2020</v>
      </c>
      <c r="E81" s="824" t="s">
        <v>475</v>
      </c>
      <c r="F81" s="426">
        <f>ROWS(E$8:$E81)</f>
        <v>74</v>
      </c>
      <c r="G81" s="14" t="str">
        <f>IF(ID!$B$90=E81,F81,"")</f>
        <v/>
      </c>
      <c r="H81" s="427" t="str">
        <f>IFERROR(SMALL($G$8:$G$114,ROWS(G$8:$G81)),"")</f>
        <v/>
      </c>
    </row>
    <row r="82" spans="2:8" ht="13.8" x14ac:dyDescent="0.25">
      <c r="B82" s="502">
        <v>1</v>
      </c>
      <c r="C82" s="872">
        <v>9.9999999999999995E-7</v>
      </c>
      <c r="D82" s="832"/>
      <c r="E82" s="824" t="s">
        <v>475</v>
      </c>
      <c r="F82" s="426">
        <f>ROWS(E$8:$E82)</f>
        <v>75</v>
      </c>
      <c r="G82" s="14" t="str">
        <f>IF(ID!$B$90=E82,F82,"")</f>
        <v/>
      </c>
      <c r="H82" s="427" t="str">
        <f>IFERROR(SMALL($G$8:$G$114,ROWS(G$8:$G82)),"")</f>
        <v/>
      </c>
    </row>
    <row r="83" spans="2:8" x14ac:dyDescent="0.25">
      <c r="B83" s="486">
        <v>2</v>
      </c>
      <c r="C83" s="872">
        <v>9.9999999999999995E-7</v>
      </c>
      <c r="D83" s="832"/>
      <c r="E83" s="824" t="s">
        <v>475</v>
      </c>
      <c r="F83" s="426">
        <f>ROWS(E$8:$E83)</f>
        <v>76</v>
      </c>
      <c r="G83" s="14" t="str">
        <f>IF(ID!$B$90=E83,F83,"")</f>
        <v/>
      </c>
      <c r="H83" s="427" t="str">
        <f>IFERROR(SMALL($G$8:$G$114,ROWS(G$8:$G83)),"")</f>
        <v/>
      </c>
    </row>
    <row r="84" spans="2:8" x14ac:dyDescent="0.25">
      <c r="B84" s="486">
        <v>5</v>
      </c>
      <c r="C84" s="872">
        <v>9.9999999999999995E-7</v>
      </c>
      <c r="D84" s="832"/>
      <c r="E84" s="824" t="s">
        <v>475</v>
      </c>
      <c r="F84" s="426">
        <f>ROWS(E$8:$E84)</f>
        <v>77</v>
      </c>
      <c r="G84" s="14" t="str">
        <f>IF(ID!$B$90=E84,F84,"")</f>
        <v/>
      </c>
      <c r="H84" s="427" t="str">
        <f>IFERROR(SMALL($G$8:$G$114,ROWS(G$8:$G84)),"")</f>
        <v/>
      </c>
    </row>
    <row r="85" spans="2:8" ht="13.8" thickBot="1" x14ac:dyDescent="0.3">
      <c r="B85" s="857">
        <v>10</v>
      </c>
      <c r="C85" s="872">
        <v>9.9999999999999995E-7</v>
      </c>
      <c r="D85" s="832"/>
      <c r="E85" s="824" t="s">
        <v>475</v>
      </c>
      <c r="F85" s="426">
        <f>ROWS(E$8:$E85)</f>
        <v>78</v>
      </c>
      <c r="G85" s="14" t="str">
        <f>IF(ID!$B$90=E85,F85,"")</f>
        <v/>
      </c>
      <c r="H85" s="427" t="str">
        <f>IFERROR(SMALL($G$8:$G$114,ROWS(G$8:$G85)),"")</f>
        <v/>
      </c>
    </row>
    <row r="86" spans="2:8" x14ac:dyDescent="0.25">
      <c r="B86" s="858">
        <v>20</v>
      </c>
      <c r="C86" s="872">
        <v>9.9999999999999995E-7</v>
      </c>
      <c r="D86" s="832"/>
      <c r="E86" s="824" t="s">
        <v>475</v>
      </c>
      <c r="F86" s="426">
        <f>ROWS(E$8:$E86)</f>
        <v>79</v>
      </c>
      <c r="G86" s="14" t="str">
        <f>IF(ID!$B$90=E86,F86,"")</f>
        <v/>
      </c>
      <c r="H86" s="427" t="str">
        <f>IFERROR(SMALL($G$8:$G$114,ROWS(G$8:$G86)),"")</f>
        <v/>
      </c>
    </row>
    <row r="87" spans="2:8" x14ac:dyDescent="0.25">
      <c r="B87" s="858">
        <v>50</v>
      </c>
      <c r="C87" s="872">
        <v>9.9999999999999995E-7</v>
      </c>
      <c r="D87" s="871"/>
      <c r="E87" s="824" t="s">
        <v>475</v>
      </c>
      <c r="F87" s="426">
        <f>ROWS(E$8:$E87)</f>
        <v>80</v>
      </c>
      <c r="G87" s="14" t="str">
        <f>IF(ID!$B$90=E87,F87,"")</f>
        <v/>
      </c>
      <c r="H87" s="427" t="str">
        <f>IFERROR(SMALL($G$8:$G$114,ROWS(G$8:$G87)),"")</f>
        <v/>
      </c>
    </row>
    <row r="88" spans="2:8" x14ac:dyDescent="0.25">
      <c r="B88" s="858">
        <v>100</v>
      </c>
      <c r="C88" s="872">
        <v>9.9999999999999995E-7</v>
      </c>
      <c r="D88" s="832"/>
      <c r="E88" s="824" t="s">
        <v>475</v>
      </c>
      <c r="F88" s="426">
        <f>ROWS(E$8:$E88)</f>
        <v>81</v>
      </c>
      <c r="G88" s="14" t="str">
        <f>IF(ID!$B$90=E88,F88,"")</f>
        <v/>
      </c>
      <c r="H88" s="427" t="str">
        <f>IFERROR(SMALL($G$8:$G$114,ROWS(G$8:$G88)),"")</f>
        <v/>
      </c>
    </row>
    <row r="89" spans="2:8" x14ac:dyDescent="0.25">
      <c r="B89" s="854">
        <v>200</v>
      </c>
      <c r="C89" s="855">
        <f>C88</f>
        <v>9.9999999999999995E-7</v>
      </c>
      <c r="D89"/>
      <c r="E89" s="822" t="s">
        <v>475</v>
      </c>
      <c r="F89" s="426">
        <f>ROWS(E$8:$E89)</f>
        <v>82</v>
      </c>
      <c r="G89" s="14" t="str">
        <f>IF(ID!$B$90=E89,F89,"")</f>
        <v/>
      </c>
      <c r="H89" s="427" t="str">
        <f>IFERROR(SMALL($G$8:$G$114,ROWS(G$8:$G89)),"")</f>
        <v/>
      </c>
    </row>
    <row r="90" spans="2:8" x14ac:dyDescent="0.25">
      <c r="B90"/>
      <c r="C90" s="805"/>
      <c r="D90"/>
      <c r="E90"/>
      <c r="F90" s="426">
        <f>ROWS(E$8:$E90)</f>
        <v>83</v>
      </c>
      <c r="G90" s="14" t="str">
        <f>IF(ID!$B$90=E90,F90,"")</f>
        <v/>
      </c>
      <c r="H90" s="427" t="str">
        <f>IFERROR(SMALL($G$8:$G$114,ROWS(G$8:$G90)),"")</f>
        <v/>
      </c>
    </row>
    <row r="91" spans="2:8" x14ac:dyDescent="0.25">
      <c r="B91"/>
      <c r="C91" s="805"/>
      <c r="D91"/>
      <c r="E91"/>
      <c r="F91" s="426">
        <f>ROWS(E$8:$E91)</f>
        <v>84</v>
      </c>
      <c r="G91" s="14" t="str">
        <f>IF(ID!$B$90=E91,F91,"")</f>
        <v/>
      </c>
      <c r="H91" s="427" t="str">
        <f>IFERROR(SMALL($G$8:$G$114,ROWS(G$8:$G91)),"")</f>
        <v/>
      </c>
    </row>
    <row r="92" spans="2:8" x14ac:dyDescent="0.25">
      <c r="B92" s="501">
        <v>0</v>
      </c>
      <c r="C92" s="872">
        <v>9.9999999999999995E-7</v>
      </c>
      <c r="D92" s="846">
        <v>2020</v>
      </c>
      <c r="E92" s="824" t="s">
        <v>476</v>
      </c>
      <c r="F92" s="426">
        <f>ROWS(E$8:$E92)</f>
        <v>85</v>
      </c>
      <c r="G92" s="14" t="str">
        <f>IF(ID!$B$90=E92,F92,"")</f>
        <v/>
      </c>
      <c r="H92" s="427" t="str">
        <f>IFERROR(SMALL($G$8:$G$114,ROWS(G$8:$G92)),"")</f>
        <v/>
      </c>
    </row>
    <row r="93" spans="2:8" ht="13.8" x14ac:dyDescent="0.25">
      <c r="B93" s="853">
        <v>1</v>
      </c>
      <c r="C93" s="872">
        <v>9.9999999999999995E-7</v>
      </c>
      <c r="D93" s="850"/>
      <c r="E93" s="824" t="s">
        <v>476</v>
      </c>
      <c r="F93" s="426">
        <f>ROWS(E$8:$E93)</f>
        <v>86</v>
      </c>
      <c r="G93" s="14" t="str">
        <f>IF(ID!$B$90=E93,F93,"")</f>
        <v/>
      </c>
      <c r="H93" s="427" t="str">
        <f>IFERROR(SMALL($G$8:$G$114,ROWS(G$8:$G93)),"")</f>
        <v/>
      </c>
    </row>
    <row r="94" spans="2:8" x14ac:dyDescent="0.25">
      <c r="B94" s="501">
        <v>2</v>
      </c>
      <c r="C94" s="872">
        <v>9.9999999999999995E-7</v>
      </c>
      <c r="D94" s="850"/>
      <c r="E94" s="824" t="s">
        <v>476</v>
      </c>
      <c r="F94" s="426">
        <f>ROWS(E$8:$E94)</f>
        <v>87</v>
      </c>
      <c r="G94" s="14" t="str">
        <f>IF(ID!$B$90=E94,F94,"")</f>
        <v/>
      </c>
      <c r="H94" s="427" t="str">
        <f>IFERROR(SMALL($G$8:$G$114,ROWS(G$8:$G94)),"")</f>
        <v/>
      </c>
    </row>
    <row r="95" spans="2:8" x14ac:dyDescent="0.25">
      <c r="B95" s="501">
        <v>5</v>
      </c>
      <c r="C95" s="872">
        <v>9.9999999999999995E-7</v>
      </c>
      <c r="D95" s="850"/>
      <c r="E95" s="824" t="s">
        <v>476</v>
      </c>
      <c r="F95" s="426">
        <f>ROWS(E$8:$E95)</f>
        <v>88</v>
      </c>
      <c r="G95" s="14" t="str">
        <f>IF(ID!$B$90=E95,F95,"")</f>
        <v/>
      </c>
      <c r="H95" s="427" t="str">
        <f>IFERROR(SMALL($G$8:$G$114,ROWS(G$8:$G95)),"")</f>
        <v/>
      </c>
    </row>
    <row r="96" spans="2:8" x14ac:dyDescent="0.25">
      <c r="B96" s="501">
        <v>10</v>
      </c>
      <c r="C96" s="872">
        <v>9.9999999999999995E-7</v>
      </c>
      <c r="D96" s="850"/>
      <c r="E96" s="824" t="s">
        <v>476</v>
      </c>
      <c r="F96" s="426">
        <f>ROWS(E$8:$E96)</f>
        <v>89</v>
      </c>
      <c r="G96" s="14" t="str">
        <f>IF(ID!$B$90=E96,F96,"")</f>
        <v/>
      </c>
      <c r="H96" s="427" t="str">
        <f>IFERROR(SMALL($G$8:$G$114,ROWS(G$8:$G96)),"")</f>
        <v/>
      </c>
    </row>
    <row r="97" spans="2:8" x14ac:dyDescent="0.25">
      <c r="B97" s="501">
        <v>20</v>
      </c>
      <c r="C97" s="872">
        <v>9.9999999999999995E-7</v>
      </c>
      <c r="D97" s="850"/>
      <c r="E97" s="824" t="s">
        <v>476</v>
      </c>
      <c r="F97" s="426">
        <f>ROWS(E$8:$E97)</f>
        <v>90</v>
      </c>
      <c r="G97" s="14" t="str">
        <f>IF(ID!$B$90=E97,F97,"")</f>
        <v/>
      </c>
      <c r="H97" s="427" t="str">
        <f>IFERROR(SMALL($G$8:$G$114,ROWS(G$8:$G97)),"")</f>
        <v/>
      </c>
    </row>
    <row r="98" spans="2:8" x14ac:dyDescent="0.25">
      <c r="B98" s="501">
        <v>50</v>
      </c>
      <c r="C98" s="872">
        <v>9.9999999999999995E-7</v>
      </c>
      <c r="D98" s="851"/>
      <c r="E98" s="824" t="s">
        <v>476</v>
      </c>
      <c r="F98" s="426">
        <f>ROWS(E$8:$E98)</f>
        <v>91</v>
      </c>
      <c r="G98" s="14" t="str">
        <f>IF(ID!$B$90=E98,F98,"")</f>
        <v/>
      </c>
      <c r="H98" s="427" t="str">
        <f>IFERROR(SMALL($G$8:$G$114,ROWS(G$8:$G98)),"")</f>
        <v/>
      </c>
    </row>
    <row r="99" spans="2:8" x14ac:dyDescent="0.25">
      <c r="B99" s="501">
        <v>100</v>
      </c>
      <c r="C99" s="872">
        <v>9.9999999999999995E-7</v>
      </c>
      <c r="D99" s="862"/>
      <c r="E99" s="824" t="s">
        <v>476</v>
      </c>
      <c r="F99" s="426">
        <f>ROWS(E$8:$E99)</f>
        <v>92</v>
      </c>
      <c r="G99" s="14" t="str">
        <f>IF(ID!$B$90=E99,F99,"")</f>
        <v/>
      </c>
      <c r="H99" s="427" t="str">
        <f>IFERROR(SMALL($G$8:$G$114,ROWS(G$8:$G99)),"")</f>
        <v/>
      </c>
    </row>
    <row r="100" spans="2:8" x14ac:dyDescent="0.25">
      <c r="B100" s="854">
        <v>200</v>
      </c>
      <c r="C100" s="855">
        <f>C99</f>
        <v>9.9999999999999995E-7</v>
      </c>
      <c r="D100"/>
      <c r="E100" s="822" t="s">
        <v>476</v>
      </c>
      <c r="F100" s="426">
        <f>ROWS(E$8:$E100)</f>
        <v>93</v>
      </c>
      <c r="G100" s="14" t="str">
        <f>IF(ID!$B$90=E100,F100,"")</f>
        <v/>
      </c>
      <c r="H100" s="427" t="str">
        <f>IFERROR(SMALL($G$8:$G$114,ROWS(G$8:$G100)),"")</f>
        <v/>
      </c>
    </row>
    <row r="101" spans="2:8" x14ac:dyDescent="0.25">
      <c r="B101"/>
      <c r="C101" s="805"/>
      <c r="D101"/>
      <c r="E101"/>
      <c r="F101" s="426">
        <f>ROWS(E$8:$E101)</f>
        <v>94</v>
      </c>
      <c r="G101" s="14" t="str">
        <f>IF(ID!$B$90=E101,F101,"")</f>
        <v/>
      </c>
      <c r="H101" s="427" t="str">
        <f>IFERROR(SMALL($G$8:$G$114,ROWS(G$8:$G101)),"")</f>
        <v/>
      </c>
    </row>
    <row r="102" spans="2:8" x14ac:dyDescent="0.25">
      <c r="B102"/>
      <c r="C102" s="805"/>
      <c r="D102"/>
      <c r="E102"/>
      <c r="F102" s="426">
        <f>ROWS(E$8:$E102)</f>
        <v>95</v>
      </c>
      <c r="G102" s="14" t="str">
        <f>IF(ID!$B$90=E102,F102,"")</f>
        <v/>
      </c>
      <c r="H102" s="427" t="str">
        <f>IFERROR(SMALL($G$8:$G$114,ROWS(G$8:$G102)),"")</f>
        <v/>
      </c>
    </row>
    <row r="103" spans="2:8" x14ac:dyDescent="0.25">
      <c r="B103" s="501">
        <v>0</v>
      </c>
      <c r="C103" s="872">
        <v>9.9999999999999995E-7</v>
      </c>
      <c r="D103" s="846">
        <v>2021</v>
      </c>
      <c r="E103" s="812"/>
      <c r="F103" s="426">
        <f>ROWS(E$8:$E103)</f>
        <v>96</v>
      </c>
      <c r="G103" s="14" t="str">
        <f>IF(ID!$B$90=E103,F103,"")</f>
        <v/>
      </c>
      <c r="H103" s="427" t="str">
        <f>IFERROR(SMALL($G$8:$G$114,ROWS(G$8:$G103)),"")</f>
        <v/>
      </c>
    </row>
    <row r="104" spans="2:8" ht="13.8" x14ac:dyDescent="0.25">
      <c r="B104" s="853">
        <v>1</v>
      </c>
      <c r="C104" s="872">
        <v>9.9999999999999995E-7</v>
      </c>
      <c r="D104" s="862"/>
      <c r="E104" s="812"/>
      <c r="F104" s="426">
        <f>ROWS(E$8:$E104)</f>
        <v>97</v>
      </c>
      <c r="G104" s="14" t="str">
        <f>IF(ID!$B$90=E104,F104,"")</f>
        <v/>
      </c>
      <c r="H104" s="427" t="str">
        <f>IFERROR(SMALL($G$8:$G$114,ROWS(G$8:$G104)),"")</f>
        <v/>
      </c>
    </row>
    <row r="105" spans="2:8" x14ac:dyDescent="0.25">
      <c r="B105" s="501">
        <v>2</v>
      </c>
      <c r="C105" s="872">
        <v>9.9999999999999995E-7</v>
      </c>
      <c r="D105" s="862"/>
      <c r="E105" s="812"/>
      <c r="F105" s="426">
        <f>ROWS(E$8:$E105)</f>
        <v>98</v>
      </c>
      <c r="G105" s="14" t="str">
        <f>IF(ID!$B$90=E105,F105,"")</f>
        <v/>
      </c>
      <c r="H105" s="427" t="str">
        <f>IFERROR(SMALL($G$8:$G$114,ROWS(G$8:$G105)),"")</f>
        <v/>
      </c>
    </row>
    <row r="106" spans="2:8" x14ac:dyDescent="0.25">
      <c r="B106" s="501">
        <v>5</v>
      </c>
      <c r="C106" s="872">
        <v>9.9999999999999995E-7</v>
      </c>
      <c r="D106" s="862"/>
      <c r="E106" s="812"/>
      <c r="F106" s="426">
        <f>ROWS(E$8:$E106)</f>
        <v>99</v>
      </c>
      <c r="G106" s="14" t="str">
        <f>IF(ID!$B$90=E106,F106,"")</f>
        <v/>
      </c>
      <c r="H106" s="427" t="str">
        <f>IFERROR(SMALL($G$8:$G$114,ROWS(G$8:$G106)),"")</f>
        <v/>
      </c>
    </row>
    <row r="107" spans="2:8" x14ac:dyDescent="0.25">
      <c r="B107" s="501">
        <v>10</v>
      </c>
      <c r="C107" s="872">
        <v>9.9999999999999995E-7</v>
      </c>
      <c r="D107" s="862"/>
      <c r="E107" s="812"/>
      <c r="F107" s="426">
        <f>ROWS(E$8:$E107)</f>
        <v>100</v>
      </c>
      <c r="G107" s="14" t="str">
        <f>IF(ID!$B$90=E107,F107,"")</f>
        <v/>
      </c>
      <c r="H107" s="427" t="str">
        <f>IFERROR(SMALL($G$8:$G$114,ROWS(G$8:$G107)),"")</f>
        <v/>
      </c>
    </row>
    <row r="108" spans="2:8" x14ac:dyDescent="0.25">
      <c r="B108" s="501">
        <v>19.899999999999999</v>
      </c>
      <c r="C108" s="866">
        <v>0.1</v>
      </c>
      <c r="D108" s="862"/>
      <c r="E108" s="812"/>
      <c r="F108" s="426">
        <f>ROWS(E$8:$E108)</f>
        <v>101</v>
      </c>
      <c r="G108" s="14" t="str">
        <f>IF(ID!$B$90=E108,F108,"")</f>
        <v/>
      </c>
      <c r="H108" s="427" t="str">
        <f>IFERROR(SMALL($G$8:$G$114,ROWS(G$8:$G108)),"")</f>
        <v/>
      </c>
    </row>
    <row r="109" spans="2:8" x14ac:dyDescent="0.25">
      <c r="B109" s="501">
        <v>49.6</v>
      </c>
      <c r="C109" s="866">
        <v>0.4</v>
      </c>
      <c r="D109" s="862"/>
      <c r="E109" s="812"/>
      <c r="F109" s="426">
        <f>ROWS(E$8:$E109)</f>
        <v>102</v>
      </c>
      <c r="G109" s="14" t="str">
        <f>IF(ID!$B$90=E109,F109,"")</f>
        <v/>
      </c>
      <c r="H109" s="427" t="str">
        <f>IFERROR(SMALL($G$8:$G$114,ROWS(G$8:$G109)),"")</f>
        <v/>
      </c>
    </row>
    <row r="110" spans="2:8" x14ac:dyDescent="0.25">
      <c r="B110" s="501">
        <v>98.6</v>
      </c>
      <c r="C110" s="866">
        <v>1.4</v>
      </c>
      <c r="D110" s="862"/>
      <c r="E110" s="812"/>
      <c r="F110" s="426">
        <f>ROWS(E$8:$E110)</f>
        <v>103</v>
      </c>
      <c r="G110" s="14" t="str">
        <f>IF(ID!$B$90=E110,F110,"")</f>
        <v/>
      </c>
      <c r="H110" s="427" t="str">
        <f>IFERROR(SMALL($G$8:$G$114,ROWS(G$8:$G110)),"")</f>
        <v/>
      </c>
    </row>
    <row r="111" spans="2:8" x14ac:dyDescent="0.25">
      <c r="B111" s="854">
        <v>200</v>
      </c>
      <c r="C111" s="855">
        <f>C110</f>
        <v>1.4</v>
      </c>
      <c r="D111" s="863"/>
      <c r="E111" s="822"/>
      <c r="F111" s="426">
        <f>ROWS(E$8:$E111)</f>
        <v>104</v>
      </c>
      <c r="G111" s="14" t="str">
        <f>IF(ID!$B$90=E111,F111,"")</f>
        <v/>
      </c>
      <c r="H111" s="427" t="str">
        <f>IFERROR(SMALL($G$8:$G$114,ROWS(G$8:$G111)),"")</f>
        <v/>
      </c>
    </row>
    <row r="112" spans="2:8" x14ac:dyDescent="0.25">
      <c r="B112"/>
      <c r="C112" s="805"/>
      <c r="D112"/>
      <c r="E112"/>
      <c r="F112" s="426">
        <f>ROWS(E$8:$E112)</f>
        <v>105</v>
      </c>
      <c r="G112" s="14" t="str">
        <f>IF(ID!$B$90=E112,F112,"")</f>
        <v/>
      </c>
      <c r="H112" s="427" t="str">
        <f>IFERROR(SMALL($G$8:$G$114,ROWS(G$8:$G112)),"")</f>
        <v/>
      </c>
    </row>
    <row r="113" spans="2:8" x14ac:dyDescent="0.25">
      <c r="B113"/>
      <c r="C113" s="805"/>
      <c r="D113"/>
      <c r="E113"/>
      <c r="F113" s="426">
        <f>ROWS(E$8:$E113)</f>
        <v>106</v>
      </c>
      <c r="G113" s="14" t="str">
        <f>IF(ID!$B$90=E113,F113,"")</f>
        <v/>
      </c>
      <c r="H113" s="427" t="str">
        <f>IFERROR(SMALL($G$8:$G$114,ROWS(G$8:$G113)),"")</f>
        <v/>
      </c>
    </row>
    <row r="114" spans="2:8" x14ac:dyDescent="0.25">
      <c r="F114" s="426">
        <f>ROWS(E$8:$E114)</f>
        <v>107</v>
      </c>
      <c r="G114" s="14" t="str">
        <f>IF(ID!$B$90=E114,F114,"")</f>
        <v/>
      </c>
      <c r="H114" s="427" t="str">
        <f>IFERROR(SMALL($G$8:$G$114,ROWS(G$8:$G114)),"")</f>
        <v/>
      </c>
    </row>
  </sheetData>
  <sheetProtection algorithmName="SHA-512" hashValue="xYcwO0gZMg6NVmrKDiPE9UU/9mmK4pW/4ggwG7+Er6ZSnHJ2jrZfljWz7hCWaGFXiMZP7Y/QHpvB4ZpU051BsQ==" saltValue="CLJsthWwqMoTlODZW0tp/A==" spinCount="100000" sheet="1" objects="1" scenarios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B2:Q111"/>
  <sheetViews>
    <sheetView topLeftCell="G1" workbookViewId="0">
      <selection activeCell="M23" sqref="M23"/>
    </sheetView>
  </sheetViews>
  <sheetFormatPr defaultColWidth="9.109375" defaultRowHeight="13.2" x14ac:dyDescent="0.25"/>
  <cols>
    <col min="1" max="4" width="9.109375" style="412"/>
    <col min="5" max="5" width="67.33203125" style="412" customWidth="1"/>
    <col min="6" max="14" width="9.109375" style="412"/>
    <col min="15" max="15" width="65.44140625" style="412" customWidth="1"/>
    <col min="16" max="16384" width="9.109375" style="412"/>
  </cols>
  <sheetData>
    <row r="2" spans="2:17" x14ac:dyDescent="0.25">
      <c r="K2" s="420"/>
      <c r="L2" s="420"/>
      <c r="M2" s="420"/>
      <c r="N2" s="420"/>
      <c r="O2" s="421" t="s">
        <v>304</v>
      </c>
      <c r="P2" s="429"/>
      <c r="Q2" s="429"/>
    </row>
    <row r="3" spans="2:17" x14ac:dyDescent="0.25">
      <c r="K3" s="420"/>
      <c r="L3" s="420"/>
      <c r="M3" s="420"/>
      <c r="N3" s="420"/>
      <c r="O3" s="414" t="s">
        <v>305</v>
      </c>
    </row>
    <row r="4" spans="2:17" x14ac:dyDescent="0.25">
      <c r="K4" s="420"/>
      <c r="L4" s="420"/>
      <c r="M4" s="420"/>
      <c r="N4" s="420"/>
      <c r="O4" s="414" t="s">
        <v>306</v>
      </c>
    </row>
    <row r="5" spans="2:17" x14ac:dyDescent="0.25">
      <c r="K5" s="420"/>
      <c r="L5" s="420"/>
      <c r="M5" s="420"/>
      <c r="N5" s="420"/>
      <c r="O5" s="414" t="s">
        <v>307</v>
      </c>
    </row>
    <row r="6" spans="2:17" x14ac:dyDescent="0.25">
      <c r="K6" s="420"/>
      <c r="L6" s="420"/>
      <c r="M6" s="420"/>
      <c r="N6" s="420"/>
      <c r="O6" s="414" t="s">
        <v>308</v>
      </c>
    </row>
    <row r="7" spans="2:17" x14ac:dyDescent="0.25">
      <c r="B7" s="475" t="s">
        <v>329</v>
      </c>
      <c r="C7" s="873" t="s">
        <v>310</v>
      </c>
      <c r="D7" s="477" t="s">
        <v>311</v>
      </c>
      <c r="E7" s="2" t="s">
        <v>304</v>
      </c>
      <c r="F7" s="425" t="s">
        <v>313</v>
      </c>
      <c r="G7" s="425" t="s">
        <v>314</v>
      </c>
      <c r="H7" s="425" t="s">
        <v>315</v>
      </c>
      <c r="K7" s="422" t="s">
        <v>329</v>
      </c>
      <c r="L7" s="423" t="s">
        <v>310</v>
      </c>
      <c r="M7" s="424" t="s">
        <v>311</v>
      </c>
      <c r="N7" s="420"/>
      <c r="O7" s="414" t="s">
        <v>316</v>
      </c>
    </row>
    <row r="8" spans="2:17" x14ac:dyDescent="0.25">
      <c r="B8" s="501">
        <v>0</v>
      </c>
      <c r="C8" s="874">
        <v>9.9999999999999995E-7</v>
      </c>
      <c r="D8" s="846">
        <v>2020</v>
      </c>
      <c r="E8" s="812" t="s">
        <v>280</v>
      </c>
      <c r="F8" s="412">
        <v>1</v>
      </c>
      <c r="G8" s="14" t="str">
        <f>IF(ID!$B$90=E8,F8,"")</f>
        <v/>
      </c>
      <c r="H8" s="427">
        <f>IFERROR(SMALL($G$8:$G$110,ROWS(G$8:$G8)),"")</f>
        <v>31</v>
      </c>
      <c r="K8" s="427">
        <f>IFERROR(INDEX($B$8:$D$110,$H8,COLUMNS(J$8:$J8)),"")</f>
        <v>0</v>
      </c>
      <c r="L8" s="427">
        <f>IFERROR(INDEX($B$8:$D$110,$H8,COLUMNS($J$8:K8)),"")</f>
        <v>9.9999999999999995E-7</v>
      </c>
      <c r="M8" s="427">
        <f>IFERROR(INDEX($B$8:$D$110,$H8,COLUMNS($J$8:L8)),"")</f>
        <v>2021</v>
      </c>
      <c r="N8" s="420"/>
      <c r="O8" s="414" t="s">
        <v>317</v>
      </c>
    </row>
    <row r="9" spans="2:17" x14ac:dyDescent="0.25">
      <c r="B9" s="501">
        <v>0.10100000000000001</v>
      </c>
      <c r="C9" s="866">
        <v>-1E-3</v>
      </c>
      <c r="D9" s="846"/>
      <c r="E9" s="812" t="s">
        <v>280</v>
      </c>
      <c r="F9" s="412">
        <v>2</v>
      </c>
      <c r="G9" s="14" t="str">
        <f>IF(ID!$B$90=E9,F9,"")</f>
        <v/>
      </c>
      <c r="H9" s="427">
        <f>IFERROR(SMALL($G$8:$G$110,ROWS(G$8:$G9)),"")</f>
        <v>32</v>
      </c>
      <c r="K9" s="427">
        <f>IFERROR(INDEX($B$8:$D$110,$H9,COLUMNS(J$8:$J9)),"")</f>
        <v>0.10199999999999999</v>
      </c>
      <c r="L9" s="427">
        <f>IFERROR(INDEX($B$8:$D$110,$H9,COLUMNS($J$8:K9)),"")</f>
        <v>-2E-3</v>
      </c>
      <c r="M9" s="427"/>
      <c r="N9" s="420"/>
      <c r="O9" s="414" t="s">
        <v>318</v>
      </c>
    </row>
    <row r="10" spans="2:17" x14ac:dyDescent="0.25">
      <c r="B10" s="501">
        <v>0.19900000000000001</v>
      </c>
      <c r="C10" s="866">
        <v>1E-3</v>
      </c>
      <c r="D10" s="846"/>
      <c r="E10" s="812" t="s">
        <v>280</v>
      </c>
      <c r="F10" s="412">
        <v>3</v>
      </c>
      <c r="G10" s="14" t="str">
        <f>IF(ID!$B$90=E10,F10,"")</f>
        <v/>
      </c>
      <c r="H10" s="427">
        <f>IFERROR(SMALL($G$8:$G$110,ROWS(G$8:$G10)),"")</f>
        <v>33</v>
      </c>
      <c r="K10" s="427">
        <f>IFERROR(INDEX($B$8:$D$110,$H10,COLUMNS(J$8:$J10)),"")</f>
        <v>0.19900000000000001</v>
      </c>
      <c r="L10" s="427">
        <f>IFERROR(INDEX($B$8:$D$110,$H10,COLUMNS($J$8:K10)),"")</f>
        <v>1E-3</v>
      </c>
      <c r="M10" s="427"/>
      <c r="N10" s="420"/>
      <c r="O10" s="428" t="s">
        <v>2</v>
      </c>
    </row>
    <row r="11" spans="2:17" x14ac:dyDescent="0.25">
      <c r="B11" s="501">
        <v>0.497</v>
      </c>
      <c r="C11" s="875">
        <v>3.0000000000000001E-3</v>
      </c>
      <c r="D11" s="846"/>
      <c r="E11" s="812" t="s">
        <v>280</v>
      </c>
      <c r="F11" s="412">
        <v>4</v>
      </c>
      <c r="G11" s="14" t="str">
        <f>IF(ID!$B$90=E11,F11,"")</f>
        <v/>
      </c>
      <c r="H11" s="427">
        <f>IFERROR(SMALL($G$8:$G$110,ROWS(G$8:$G11)),"")</f>
        <v>34</v>
      </c>
      <c r="K11" s="427">
        <f>IFERROR(INDEX($B$8:$D$110,$H11,COLUMNS(J$8:$J11)),"")</f>
        <v>0.499</v>
      </c>
      <c r="L11" s="427">
        <f>IFERROR(INDEX($B$8:$D$110,$H11,COLUMNS($J$8:K11)),"")</f>
        <v>1E-3</v>
      </c>
      <c r="M11" s="427"/>
      <c r="N11" s="420"/>
      <c r="O11" s="428" t="s">
        <v>2</v>
      </c>
    </row>
    <row r="12" spans="2:17" x14ac:dyDescent="0.25">
      <c r="B12" s="501">
        <v>0.996</v>
      </c>
      <c r="C12" s="866">
        <v>4.0000000000000001E-3</v>
      </c>
      <c r="D12" s="846"/>
      <c r="E12" s="812" t="s">
        <v>280</v>
      </c>
      <c r="F12" s="412">
        <v>5</v>
      </c>
      <c r="G12" s="14" t="str">
        <f>IF(ID!$B$90=E12,F12,"")</f>
        <v/>
      </c>
      <c r="H12" s="427">
        <f>IFERROR(SMALL($G$8:$G$110,ROWS(G$8:$G12)),"")</f>
        <v>35</v>
      </c>
      <c r="K12" s="427">
        <f>IFERROR(INDEX($B$8:$D$110,$H12,COLUMNS(J$8:$J12)),"")</f>
        <v>1.008</v>
      </c>
      <c r="L12" s="427">
        <f>IFERROR(INDEX($B$8:$D$110,$H12,COLUMNS($J$8:K12)),"")</f>
        <v>-8.0000000000000002E-3</v>
      </c>
      <c r="M12" s="427"/>
      <c r="N12" s="420"/>
      <c r="O12" s="428" t="s">
        <v>2</v>
      </c>
    </row>
    <row r="13" spans="2:17" x14ac:dyDescent="0.25">
      <c r="B13" s="876">
        <v>1.9930000000000001</v>
      </c>
      <c r="C13" s="877">
        <v>7.0000000000000001E-3</v>
      </c>
      <c r="D13" s="846"/>
      <c r="E13" s="812" t="s">
        <v>280</v>
      </c>
      <c r="F13" s="412">
        <v>6</v>
      </c>
      <c r="G13" s="14" t="str">
        <f>IF(ID!$B$90=E13,F13,"")</f>
        <v/>
      </c>
      <c r="H13" s="427">
        <f>IFERROR(SMALL($G$8:$G$110,ROWS(G$8:$G13)),"")</f>
        <v>36</v>
      </c>
      <c r="K13" s="427">
        <f>IFERROR(INDEX($B$8:$D$110,$H13,COLUMNS(J$8:$J13)),"")</f>
        <v>2.0070000000000001</v>
      </c>
      <c r="L13" s="427">
        <f>IFERROR(INDEX($B$8:$D$110,$H13,COLUMNS($J$8:K13)),"")</f>
        <v>-7.0000000000000001E-3</v>
      </c>
      <c r="M13" s="427"/>
      <c r="N13" s="420"/>
      <c r="O13" s="428" t="s">
        <v>2</v>
      </c>
    </row>
    <row r="14" spans="2:17" x14ac:dyDescent="0.25">
      <c r="B14" s="878">
        <v>10</v>
      </c>
      <c r="C14" s="879">
        <f>C13</f>
        <v>7.0000000000000001E-3</v>
      </c>
      <c r="D14" s="880"/>
      <c r="E14" s="816" t="s">
        <v>280</v>
      </c>
      <c r="F14" s="412">
        <v>7</v>
      </c>
      <c r="G14" s="14" t="str">
        <f>IF(ID!$B$90=E14,F14,"")</f>
        <v/>
      </c>
      <c r="H14" s="427">
        <f>IFERROR(SMALL($G$8:$G$110,ROWS(G$8:$G14)),"")</f>
        <v>37</v>
      </c>
      <c r="K14" s="427">
        <f>IFERROR(INDEX($B$8:$D$110,$H14,COLUMNS(J$8:$J14)),"")</f>
        <v>10</v>
      </c>
      <c r="L14" s="427">
        <f>IFERROR(INDEX($B$8:$D$110,$H14,COLUMNS($J$8:K14)),"")</f>
        <v>-7.0000000000000001E-3</v>
      </c>
      <c r="M14" s="427"/>
      <c r="N14" s="420"/>
      <c r="O14" s="428" t="s">
        <v>2</v>
      </c>
    </row>
    <row r="15" spans="2:17" x14ac:dyDescent="0.25">
      <c r="B15" s="881"/>
      <c r="C15" s="882"/>
      <c r="D15" s="528"/>
      <c r="E15" s="883"/>
      <c r="F15" s="412">
        <v>8</v>
      </c>
      <c r="G15" s="14" t="str">
        <f>IF(ID!$B$90=E15,F15,"")</f>
        <v/>
      </c>
      <c r="H15" s="427" t="str">
        <f>IFERROR(SMALL($G$8:$G$110,ROWS(G$8:$G15)),"")</f>
        <v/>
      </c>
    </row>
    <row r="16" spans="2:17" x14ac:dyDescent="0.25">
      <c r="B16" s="881"/>
      <c r="C16" s="882"/>
      <c r="D16" s="528"/>
      <c r="E16" s="884"/>
      <c r="F16" s="412">
        <v>9</v>
      </c>
      <c r="G16" s="14" t="str">
        <f>IF(ID!$B$90=E16,F16,"")</f>
        <v/>
      </c>
      <c r="H16" s="427" t="str">
        <f>IFERROR(SMALL($G$8:$G$110,ROWS(G$8:$G16)),"")</f>
        <v/>
      </c>
    </row>
    <row r="17" spans="2:8" x14ac:dyDescent="0.25">
      <c r="B17" s="501">
        <v>0</v>
      </c>
      <c r="C17" s="885">
        <v>9.9999999999999995E-7</v>
      </c>
      <c r="D17" s="832">
        <v>2019</v>
      </c>
      <c r="E17" s="812" t="s">
        <v>282</v>
      </c>
      <c r="F17" s="412">
        <v>10</v>
      </c>
      <c r="G17" s="14" t="str">
        <f>IF(ID!$B$90=E17,F17,"")</f>
        <v/>
      </c>
      <c r="H17" s="427" t="str">
        <f>IFERROR(SMALL($G$8:$G$110,ROWS(G$8:$G17)),"")</f>
        <v/>
      </c>
    </row>
    <row r="18" spans="2:8" x14ac:dyDescent="0.25">
      <c r="B18" s="501">
        <v>0.01</v>
      </c>
      <c r="C18" s="885">
        <v>9.9999999999999995E-7</v>
      </c>
      <c r="D18" s="832"/>
      <c r="E18" s="812" t="s">
        <v>282</v>
      </c>
      <c r="F18" s="412">
        <v>11</v>
      </c>
      <c r="G18" s="14" t="str">
        <f>IF(ID!$B$90=E18,F18,"")</f>
        <v/>
      </c>
      <c r="H18" s="427" t="str">
        <f>IFERROR(SMALL($G$8:$G$110,ROWS(G$8:$G18)),"")</f>
        <v/>
      </c>
    </row>
    <row r="19" spans="2:8" x14ac:dyDescent="0.25">
      <c r="B19" s="501">
        <v>9.4E-2</v>
      </c>
      <c r="C19" s="885">
        <v>6.0000000000000001E-3</v>
      </c>
      <c r="D19" s="832"/>
      <c r="E19" s="812" t="s">
        <v>282</v>
      </c>
      <c r="F19" s="412">
        <v>12</v>
      </c>
      <c r="G19" s="14" t="str">
        <f>IF(ID!$B$90=E19,F19,"")</f>
        <v/>
      </c>
      <c r="H19" s="427" t="str">
        <f>IFERROR(SMALL($G$8:$G$110,ROWS(G$8:$G19)),"")</f>
        <v/>
      </c>
    </row>
    <row r="20" spans="2:8" x14ac:dyDescent="0.25">
      <c r="B20" s="501">
        <v>0.95499999999999996</v>
      </c>
      <c r="C20" s="885">
        <v>4.4999999999999998E-2</v>
      </c>
      <c r="D20" s="832"/>
      <c r="E20" s="812" t="s">
        <v>282</v>
      </c>
      <c r="F20" s="412">
        <v>13</v>
      </c>
      <c r="G20" s="14" t="str">
        <f>IF(ID!$B$90=E20,F20,"")</f>
        <v/>
      </c>
      <c r="H20" s="427" t="str">
        <f>IFERROR(SMALL($G$8:$G$110,ROWS(G$8:$G20)),"")</f>
        <v/>
      </c>
    </row>
    <row r="21" spans="2:8" x14ac:dyDescent="0.25">
      <c r="B21" s="878">
        <v>10</v>
      </c>
      <c r="C21" s="879">
        <f>C20</f>
        <v>4.4999999999999998E-2</v>
      </c>
      <c r="D21" s="832"/>
      <c r="E21" s="822" t="s">
        <v>282</v>
      </c>
      <c r="F21" s="412">
        <v>14</v>
      </c>
      <c r="G21" s="14" t="str">
        <f>IF(ID!$B$90=E21,F21,"")</f>
        <v/>
      </c>
      <c r="H21" s="427" t="str">
        <f>IFERROR(SMALL($G$8:$G$110,ROWS(G$8:$G21)),"")</f>
        <v/>
      </c>
    </row>
    <row r="22" spans="2:8" x14ac:dyDescent="0.25">
      <c r="B22" s="876"/>
      <c r="C22" s="885"/>
      <c r="D22"/>
      <c r="E22" s="812"/>
      <c r="F22" s="412">
        <v>15</v>
      </c>
      <c r="G22" s="14" t="str">
        <f>IF(ID!$B$90=E22,F22,"")</f>
        <v/>
      </c>
      <c r="H22" s="427" t="str">
        <f>IFERROR(SMALL($G$8:$G$110,ROWS(G$8:$G22)),"")</f>
        <v/>
      </c>
    </row>
    <row r="23" spans="2:8" x14ac:dyDescent="0.25">
      <c r="B23" s="878"/>
      <c r="C23" s="885"/>
      <c r="D23"/>
      <c r="E23" s="812"/>
      <c r="F23" s="412">
        <v>16</v>
      </c>
      <c r="G23" s="14" t="str">
        <f>IF(ID!$B$90=E23,F23,"")</f>
        <v/>
      </c>
      <c r="H23" s="427" t="str">
        <f>IFERROR(SMALL($G$8:$G$110,ROWS(G$8:$G23)),"")</f>
        <v/>
      </c>
    </row>
    <row r="24" spans="2:8" x14ac:dyDescent="0.25">
      <c r="B24" s="858"/>
      <c r="C24" s="886"/>
      <c r="D24"/>
      <c r="E24" s="29"/>
      <c r="F24" s="412">
        <v>17</v>
      </c>
      <c r="G24" s="14" t="str">
        <f>IF(ID!$B$90=E24,F24,"")</f>
        <v/>
      </c>
      <c r="H24" s="427" t="str">
        <f>IFERROR(SMALL($G$8:$G$110,ROWS(G$8:$G24)),"")</f>
        <v/>
      </c>
    </row>
    <row r="25" spans="2:8" x14ac:dyDescent="0.25">
      <c r="B25" s="858"/>
      <c r="C25" s="886"/>
      <c r="D25"/>
      <c r="E25" s="29"/>
      <c r="F25" s="412">
        <v>18</v>
      </c>
      <c r="G25" s="14" t="str">
        <f>IF(ID!$B$90=E25,F25,"")</f>
        <v/>
      </c>
      <c r="H25" s="427" t="str">
        <f>IFERROR(SMALL($G$8:$G$110,ROWS(G$8:$G25)),"")</f>
        <v/>
      </c>
    </row>
    <row r="26" spans="2:8" x14ac:dyDescent="0.25">
      <c r="B26" s="858"/>
      <c r="C26" s="886"/>
      <c r="D26"/>
      <c r="E26" s="29"/>
      <c r="F26" s="412">
        <v>19</v>
      </c>
      <c r="G26" s="14" t="str">
        <f>IF(ID!$B$90=E26,F26,"")</f>
        <v/>
      </c>
      <c r="H26" s="427" t="str">
        <f>IFERROR(SMALL($G$8:$G$110,ROWS(G$8:$G26)),"")</f>
        <v/>
      </c>
    </row>
    <row r="27" spans="2:8" x14ac:dyDescent="0.25">
      <c r="B27" s="836"/>
      <c r="C27" s="886"/>
      <c r="D27"/>
      <c r="E27" s="29"/>
      <c r="F27" s="412">
        <v>20</v>
      </c>
      <c r="G27" s="14" t="str">
        <f>IF(ID!$B$90=E27,F27,"")</f>
        <v/>
      </c>
      <c r="H27" s="427" t="str">
        <f>IFERROR(SMALL($G$8:$G$110,ROWS(G$8:$G27)),"")</f>
        <v/>
      </c>
    </row>
    <row r="28" spans="2:8" x14ac:dyDescent="0.25">
      <c r="B28" s="887">
        <v>1E-3</v>
      </c>
      <c r="C28" s="888">
        <v>-1E-3</v>
      </c>
      <c r="D28" s="849">
        <v>2021</v>
      </c>
      <c r="E28" s="824" t="s">
        <v>284</v>
      </c>
      <c r="F28" s="412">
        <v>21</v>
      </c>
      <c r="G28" s="14" t="str">
        <f>IF(ID!$B$90=E28,F28,"")</f>
        <v/>
      </c>
      <c r="H28" s="427" t="str">
        <f>IFERROR(SMALL($G$8:$G$110,ROWS(G$8:$G28)),"")</f>
        <v/>
      </c>
    </row>
    <row r="29" spans="2:8" x14ac:dyDescent="0.25">
      <c r="B29" s="887">
        <v>0.1</v>
      </c>
      <c r="C29" s="412">
        <v>9.9999999999999995E-7</v>
      </c>
      <c r="D29" s="889"/>
      <c r="E29" s="824" t="s">
        <v>284</v>
      </c>
      <c r="F29" s="412">
        <v>22</v>
      </c>
      <c r="G29" s="14" t="str">
        <f>IF(ID!$B$90=E29,F29,"")</f>
        <v/>
      </c>
      <c r="H29" s="427" t="str">
        <f>IFERROR(SMALL($G$8:$G$110,ROWS(G$8:$G29)),"")</f>
        <v/>
      </c>
    </row>
    <row r="30" spans="2:8" x14ac:dyDescent="0.25">
      <c r="B30" s="887">
        <v>0.19800000000000001</v>
      </c>
      <c r="C30" s="888">
        <v>2E-3</v>
      </c>
      <c r="D30" s="889"/>
      <c r="E30" s="824" t="s">
        <v>284</v>
      </c>
      <c r="F30" s="412">
        <v>23</v>
      </c>
      <c r="G30" s="14" t="str">
        <f>IF(ID!$B$90=E30,F30,"")</f>
        <v/>
      </c>
      <c r="H30" s="427" t="str">
        <f>IFERROR(SMALL($G$8:$G$110,ROWS(G$8:$G30)),"")</f>
        <v/>
      </c>
    </row>
    <row r="31" spans="2:8" x14ac:dyDescent="0.25">
      <c r="B31" s="887">
        <v>0.495</v>
      </c>
      <c r="C31" s="888">
        <v>5.0000000000000001E-3</v>
      </c>
      <c r="D31" s="889"/>
      <c r="E31" s="824" t="s">
        <v>284</v>
      </c>
      <c r="F31" s="412">
        <v>24</v>
      </c>
      <c r="G31" s="14" t="str">
        <f>IF(ID!$B$90=E31,F31,"")</f>
        <v/>
      </c>
      <c r="H31" s="427" t="str">
        <f>IFERROR(SMALL($G$8:$G$110,ROWS(G$8:$G31)),"")</f>
        <v/>
      </c>
    </row>
    <row r="32" spans="2:8" x14ac:dyDescent="0.25">
      <c r="B32" s="887">
        <v>0.99399999999999999</v>
      </c>
      <c r="C32" s="888">
        <v>6.0000000000000001E-3</v>
      </c>
      <c r="D32" s="889"/>
      <c r="E32" s="824" t="s">
        <v>284</v>
      </c>
      <c r="F32" s="412">
        <v>25</v>
      </c>
      <c r="G32" s="14" t="str">
        <f>IF(ID!$B$90=E32,F32,"")</f>
        <v/>
      </c>
      <c r="H32" s="427" t="str">
        <f>IFERROR(SMALL($G$8:$G$110,ROWS(G$8:$G32)),"")</f>
        <v/>
      </c>
    </row>
    <row r="33" spans="2:15" x14ac:dyDescent="0.25">
      <c r="B33" s="887">
        <v>1.9870000000000001</v>
      </c>
      <c r="C33" s="890">
        <v>1.2999999999999999E-2</v>
      </c>
      <c r="D33" s="891"/>
      <c r="E33" s="824" t="s">
        <v>284</v>
      </c>
      <c r="F33" s="412">
        <v>26</v>
      </c>
      <c r="G33" s="14" t="str">
        <f>IF(ID!$B$90=E33,F33,"")</f>
        <v/>
      </c>
      <c r="H33" s="427" t="str">
        <f>IFERROR(SMALL($G$8:$G$110,ROWS(G$8:$G33)),"")</f>
        <v/>
      </c>
    </row>
    <row r="34" spans="2:15" x14ac:dyDescent="0.25">
      <c r="B34" s="878">
        <v>10</v>
      </c>
      <c r="C34" s="879">
        <f>C33</f>
        <v>1.2999999999999999E-2</v>
      </c>
      <c r="D34" s="863"/>
      <c r="E34" s="822" t="s">
        <v>284</v>
      </c>
      <c r="F34" s="412">
        <v>27</v>
      </c>
      <c r="G34" s="14" t="str">
        <f>IF(ID!$B$90=E34,F34,"")</f>
        <v/>
      </c>
      <c r="H34" s="427" t="str">
        <f>IFERROR(SMALL($G$8:$G$110,ROWS(G$8:$G34)),"")</f>
        <v/>
      </c>
    </row>
    <row r="35" spans="2:15" x14ac:dyDescent="0.25">
      <c r="B35" s="858"/>
      <c r="C35" s="886"/>
      <c r="D35"/>
      <c r="E35" s="867"/>
      <c r="F35" s="412">
        <v>28</v>
      </c>
      <c r="G35" s="14" t="str">
        <f>IF(ID!$B$90=E35,F35,"")</f>
        <v/>
      </c>
      <c r="H35" s="427" t="str">
        <f>IFERROR(SMALL($G$8:$G$110,ROWS(G$8:$G35)),"")</f>
        <v/>
      </c>
    </row>
    <row r="36" spans="2:15" x14ac:dyDescent="0.25">
      <c r="B36" s="858"/>
      <c r="C36" s="886"/>
      <c r="D36"/>
      <c r="E36" s="29"/>
      <c r="F36" s="412">
        <v>29</v>
      </c>
      <c r="G36" s="14" t="str">
        <f>IF(ID!$B$90=E36,F36,"")</f>
        <v/>
      </c>
      <c r="H36" s="427" t="str">
        <f>IFERROR(SMALL($G$8:$G$110,ROWS(G$8:$G36)),"")</f>
        <v/>
      </c>
    </row>
    <row r="37" spans="2:15" x14ac:dyDescent="0.25">
      <c r="B37" s="836"/>
      <c r="C37" s="886"/>
      <c r="D37"/>
      <c r="E37" s="29"/>
      <c r="F37" s="412">
        <v>30</v>
      </c>
      <c r="G37" s="14" t="str">
        <f>IF(ID!$B$90=E37,F37,"")</f>
        <v/>
      </c>
      <c r="H37" s="427" t="str">
        <f>IFERROR(SMALL($G$8:$G$110,ROWS(G$8:$G37)),"")</f>
        <v/>
      </c>
    </row>
    <row r="38" spans="2:15" x14ac:dyDescent="0.25">
      <c r="B38" s="892">
        <v>0</v>
      </c>
      <c r="C38" s="412">
        <v>9.9999999999999995E-7</v>
      </c>
      <c r="D38" s="846">
        <v>2021</v>
      </c>
      <c r="E38" s="812" t="s">
        <v>164</v>
      </c>
      <c r="F38" s="412">
        <v>31</v>
      </c>
      <c r="G38" s="14">
        <f>IF(ID!$B$90=E38,F38,"")</f>
        <v>31</v>
      </c>
      <c r="H38" s="427" t="str">
        <f>IFERROR(SMALL($G$8:$G$110,ROWS(G$8:$G38)),"")</f>
        <v/>
      </c>
      <c r="O38" s="412">
        <v>9.9999999999999995E-7</v>
      </c>
    </row>
    <row r="39" spans="2:15" x14ac:dyDescent="0.25">
      <c r="B39" s="892">
        <v>0.10199999999999999</v>
      </c>
      <c r="C39" s="888">
        <v>-2E-3</v>
      </c>
      <c r="D39" s="862"/>
      <c r="E39" s="812" t="s">
        <v>164</v>
      </c>
      <c r="F39" s="412">
        <v>32</v>
      </c>
      <c r="G39" s="14">
        <f>IF(ID!$B$90=E39,F39,"")</f>
        <v>32</v>
      </c>
      <c r="H39" s="427" t="str">
        <f>IFERROR(SMALL($G$8:$G$110,ROWS(G$8:$G39)),"")</f>
        <v/>
      </c>
    </row>
    <row r="40" spans="2:15" x14ac:dyDescent="0.25">
      <c r="B40" s="892">
        <v>0.19900000000000001</v>
      </c>
      <c r="C40" s="888">
        <v>1E-3</v>
      </c>
      <c r="D40" s="862"/>
      <c r="E40" s="812" t="s">
        <v>164</v>
      </c>
      <c r="F40" s="412">
        <v>33</v>
      </c>
      <c r="G40" s="14">
        <f>IF(ID!$B$90=E40,F40,"")</f>
        <v>33</v>
      </c>
      <c r="H40" s="427" t="str">
        <f>IFERROR(SMALL($G$8:$G$110,ROWS(G$8:$G40)),"")</f>
        <v/>
      </c>
    </row>
    <row r="41" spans="2:15" x14ac:dyDescent="0.25">
      <c r="B41" s="892">
        <v>0.499</v>
      </c>
      <c r="C41" s="875">
        <v>1E-3</v>
      </c>
      <c r="D41" s="862"/>
      <c r="E41" s="812" t="s">
        <v>164</v>
      </c>
      <c r="F41" s="412">
        <v>34</v>
      </c>
      <c r="G41" s="14">
        <f>IF(ID!$B$90=E41,F41,"")</f>
        <v>34</v>
      </c>
      <c r="H41" s="427" t="str">
        <f>IFERROR(SMALL($G$8:$G$110,ROWS(G$8:$G41)),"")</f>
        <v/>
      </c>
    </row>
    <row r="42" spans="2:15" x14ac:dyDescent="0.25">
      <c r="B42" s="893">
        <v>1.008</v>
      </c>
      <c r="C42" s="888">
        <v>-8.0000000000000002E-3</v>
      </c>
      <c r="D42" s="862"/>
      <c r="E42" s="812" t="s">
        <v>164</v>
      </c>
      <c r="F42" s="412">
        <v>35</v>
      </c>
      <c r="G42" s="14">
        <f>IF(ID!$B$90=E42,F42,"")</f>
        <v>35</v>
      </c>
      <c r="H42" s="427" t="str">
        <f>IFERROR(SMALL($G$8:$G$110,ROWS(G$8:$G42)),"")</f>
        <v/>
      </c>
    </row>
    <row r="43" spans="2:15" x14ac:dyDescent="0.25">
      <c r="B43" s="892">
        <v>2.0070000000000001</v>
      </c>
      <c r="C43" s="894">
        <v>-7.0000000000000001E-3</v>
      </c>
      <c r="D43" s="895"/>
      <c r="E43" s="812" t="s">
        <v>164</v>
      </c>
      <c r="F43" s="412">
        <v>36</v>
      </c>
      <c r="G43" s="14">
        <f>IF(ID!$B$90=E43,F43,"")</f>
        <v>36</v>
      </c>
      <c r="H43" s="427" t="str">
        <f>IFERROR(SMALL($G$8:$G$110,ROWS(G$8:$G43)),"")</f>
        <v/>
      </c>
    </row>
    <row r="44" spans="2:15" x14ac:dyDescent="0.25">
      <c r="B44" s="878">
        <v>10</v>
      </c>
      <c r="C44" s="879">
        <f>C43</f>
        <v>-7.0000000000000001E-3</v>
      </c>
      <c r="D44" s="863"/>
      <c r="E44" s="822" t="s">
        <v>164</v>
      </c>
      <c r="F44" s="412">
        <v>37</v>
      </c>
      <c r="G44" s="14">
        <f>IF(ID!$B$90=E44,F44,"")</f>
        <v>37</v>
      </c>
      <c r="H44" s="427" t="str">
        <f>IFERROR(SMALL($G$8:$G$110,ROWS(G$8:$G44)),"")</f>
        <v/>
      </c>
    </row>
    <row r="45" spans="2:15" x14ac:dyDescent="0.25">
      <c r="B45" s="896"/>
      <c r="C45" s="897"/>
      <c r="D45" s="47"/>
      <c r="E45" s="898"/>
      <c r="F45" s="412">
        <v>38</v>
      </c>
      <c r="G45" s="14" t="str">
        <f>IF(ID!$B$90=E45,F45,"")</f>
        <v/>
      </c>
      <c r="H45" s="427" t="str">
        <f>IFERROR(SMALL($G$8:$G$110,ROWS(G$8:$G45)),"")</f>
        <v/>
      </c>
    </row>
    <row r="46" spans="2:15" x14ac:dyDescent="0.25">
      <c r="B46" s="836"/>
      <c r="C46" s="899"/>
      <c r="D46"/>
      <c r="E46"/>
      <c r="F46" s="412">
        <v>39</v>
      </c>
      <c r="G46" s="14" t="str">
        <f>IF(ID!$B$90=E46,F46,"")</f>
        <v/>
      </c>
      <c r="H46" s="427" t="str">
        <f>IFERROR(SMALL($G$8:$G$110,ROWS(G$8:$G46)),"")</f>
        <v/>
      </c>
    </row>
    <row r="47" spans="2:15" x14ac:dyDescent="0.25">
      <c r="B47" s="501">
        <v>0</v>
      </c>
      <c r="C47" s="412">
        <v>9.9999999999999995E-7</v>
      </c>
      <c r="D47" s="846">
        <v>2021</v>
      </c>
      <c r="E47" s="812" t="s">
        <v>289</v>
      </c>
      <c r="F47" s="412">
        <v>40</v>
      </c>
      <c r="G47" s="14" t="str">
        <f>IF(ID!$B$90=E47,F47,"")</f>
        <v/>
      </c>
      <c r="H47" s="427" t="str">
        <f>IFERROR(SMALL($G$8:$G$110,ROWS(G$8:$G47)),"")</f>
        <v/>
      </c>
    </row>
    <row r="48" spans="2:15" x14ac:dyDescent="0.25">
      <c r="B48" s="501">
        <v>0.10199999999999999</v>
      </c>
      <c r="C48" s="888">
        <v>-2E-3</v>
      </c>
      <c r="D48" s="862"/>
      <c r="E48" s="812" t="s">
        <v>289</v>
      </c>
      <c r="F48" s="412">
        <v>41</v>
      </c>
      <c r="G48" s="14" t="str">
        <f>IF(ID!$B$90=E48,F48,"")</f>
        <v/>
      </c>
      <c r="H48" s="427" t="str">
        <f>IFERROR(SMALL($G$8:$G$110,ROWS(G$8:$G48)),"")</f>
        <v/>
      </c>
    </row>
    <row r="49" spans="2:8" x14ac:dyDescent="0.25">
      <c r="B49" s="501">
        <v>0.20499999999999999</v>
      </c>
      <c r="C49" s="888">
        <v>-5.0000000000000001E-3</v>
      </c>
      <c r="D49" s="862"/>
      <c r="E49" s="812" t="s">
        <v>289</v>
      </c>
      <c r="F49" s="412">
        <v>42</v>
      </c>
      <c r="G49" s="14" t="str">
        <f>IF(ID!$B$90=E49,F49,"")</f>
        <v/>
      </c>
      <c r="H49" s="427" t="str">
        <f>IFERROR(SMALL($G$8:$G$110,ROWS(G$8:$G49)),"")</f>
        <v/>
      </c>
    </row>
    <row r="50" spans="2:8" x14ac:dyDescent="0.25">
      <c r="B50" s="501">
        <v>0.50600000000000001</v>
      </c>
      <c r="C50" s="875">
        <v>-6.0000000000000001E-3</v>
      </c>
      <c r="D50" s="862"/>
      <c r="E50" s="812" t="s">
        <v>289</v>
      </c>
      <c r="F50" s="412">
        <v>43</v>
      </c>
      <c r="G50" s="14" t="str">
        <f>IF(ID!$B$90=E50,F50,"")</f>
        <v/>
      </c>
      <c r="H50" s="427" t="str">
        <f>IFERROR(SMALL($G$8:$G$110,ROWS(G$8:$G50)),"")</f>
        <v/>
      </c>
    </row>
    <row r="51" spans="2:8" x14ac:dyDescent="0.25">
      <c r="B51" s="501">
        <v>0.93799999999999994</v>
      </c>
      <c r="C51" s="888">
        <v>6.3E-2</v>
      </c>
      <c r="D51" s="862"/>
      <c r="E51" s="812" t="s">
        <v>289</v>
      </c>
      <c r="F51" s="412">
        <v>44</v>
      </c>
      <c r="G51" s="14" t="str">
        <f>IF(ID!$B$90=E51,F51,"")</f>
        <v/>
      </c>
      <c r="H51" s="427" t="str">
        <f>IFERROR(SMALL($G$8:$G$110,ROWS(G$8:$G51)),"")</f>
        <v/>
      </c>
    </row>
    <row r="52" spans="2:8" x14ac:dyDescent="0.25">
      <c r="B52" s="501">
        <v>1.909</v>
      </c>
      <c r="C52" s="894">
        <v>9.0999999999999998E-2</v>
      </c>
      <c r="D52" s="829"/>
      <c r="E52" s="812" t="s">
        <v>289</v>
      </c>
      <c r="F52" s="412">
        <v>45</v>
      </c>
      <c r="G52" s="14" t="str">
        <f>IF(ID!$B$90=E52,F52,"")</f>
        <v/>
      </c>
      <c r="H52" s="427" t="str">
        <f>IFERROR(SMALL($G$8:$G$110,ROWS(G$8:$G52)),"")</f>
        <v/>
      </c>
    </row>
    <row r="53" spans="2:8" x14ac:dyDescent="0.25">
      <c r="B53" s="878">
        <v>10</v>
      </c>
      <c r="C53" s="879">
        <f>C52</f>
        <v>9.0999999999999998E-2</v>
      </c>
      <c r="D53" s="863"/>
      <c r="E53" s="822" t="s">
        <v>289</v>
      </c>
      <c r="F53" s="412">
        <v>46</v>
      </c>
      <c r="G53" s="14" t="str">
        <f>IF(ID!$B$90=E53,F53,"")</f>
        <v/>
      </c>
      <c r="H53" s="427" t="str">
        <f>IFERROR(SMALL($G$8:$G$110,ROWS(G$8:$G53)),"")</f>
        <v/>
      </c>
    </row>
    <row r="54" spans="2:8" x14ac:dyDescent="0.25">
      <c r="B54" s="858"/>
      <c r="C54" s="886"/>
      <c r="D54"/>
      <c r="E54" s="867"/>
      <c r="F54" s="412">
        <v>47</v>
      </c>
      <c r="G54" s="14" t="str">
        <f>IF(ID!$B$90=E54,F54,"")</f>
        <v/>
      </c>
      <c r="H54" s="427" t="str">
        <f>IFERROR(SMALL($G$8:$G$110,ROWS(G$8:$G54)),"")</f>
        <v/>
      </c>
    </row>
    <row r="55" spans="2:8" x14ac:dyDescent="0.25">
      <c r="B55" s="858"/>
      <c r="C55" s="886"/>
      <c r="D55"/>
      <c r="E55" s="29"/>
      <c r="F55" s="412">
        <v>48</v>
      </c>
      <c r="G55" s="14" t="str">
        <f>IF(ID!$B$90=E55,F55,"")</f>
        <v/>
      </c>
      <c r="H55" s="427" t="str">
        <f>IFERROR(SMALL($G$8:$G$110,ROWS(G$8:$G55)),"")</f>
        <v/>
      </c>
    </row>
    <row r="56" spans="2:8" x14ac:dyDescent="0.25">
      <c r="B56" s="836"/>
      <c r="C56" s="886"/>
      <c r="D56"/>
      <c r="E56" s="29"/>
      <c r="F56" s="412">
        <v>49</v>
      </c>
      <c r="G56" s="14" t="str">
        <f>IF(ID!$B$90=E56,F56,"")</f>
        <v/>
      </c>
      <c r="H56" s="427" t="str">
        <f>IFERROR(SMALL($G$8:$G$110,ROWS(G$8:$G56)),"")</f>
        <v/>
      </c>
    </row>
    <row r="57" spans="2:8" x14ac:dyDescent="0.25">
      <c r="B57" s="501">
        <v>0</v>
      </c>
      <c r="C57" s="412">
        <v>9.9999999999999995E-7</v>
      </c>
      <c r="D57" s="832">
        <v>2019</v>
      </c>
      <c r="E57" s="812" t="s">
        <v>292</v>
      </c>
      <c r="F57" s="412">
        <v>50</v>
      </c>
      <c r="G57" s="14" t="str">
        <f>IF(ID!$B$90=E57,F57,"")</f>
        <v/>
      </c>
      <c r="H57" s="427" t="str">
        <f>IFERROR(SMALL($G$8:$G$110,ROWS(G$8:$G57)),"")</f>
        <v/>
      </c>
    </row>
    <row r="58" spans="2:8" x14ac:dyDescent="0.25">
      <c r="B58" s="501">
        <v>0.01</v>
      </c>
      <c r="C58" s="412">
        <v>9.9999999999999995E-7</v>
      </c>
      <c r="D58" s="832"/>
      <c r="E58" s="812" t="s">
        <v>292</v>
      </c>
      <c r="F58" s="412">
        <v>51</v>
      </c>
      <c r="G58" s="14" t="str">
        <f>IF(ID!$B$90=E58,F58,"")</f>
        <v/>
      </c>
      <c r="H58" s="427" t="str">
        <f>IFERROR(SMALL($G$8:$G$110,ROWS(G$8:$G58)),"")</f>
        <v/>
      </c>
    </row>
    <row r="59" spans="2:8" x14ac:dyDescent="0.25">
      <c r="B59" s="501">
        <v>0.10199999999999999</v>
      </c>
      <c r="C59" s="885">
        <v>-2E-3</v>
      </c>
      <c r="D59" s="832"/>
      <c r="E59" s="812" t="s">
        <v>292</v>
      </c>
      <c r="F59" s="412">
        <v>52</v>
      </c>
      <c r="G59" s="14" t="str">
        <f>IF(ID!$B$90=E59,F59,"")</f>
        <v/>
      </c>
      <c r="H59" s="427" t="str">
        <f>IFERROR(SMALL($G$8:$G$110,ROWS(G$8:$G59)),"")</f>
        <v/>
      </c>
    </row>
    <row r="60" spans="2:8" x14ac:dyDescent="0.25">
      <c r="B60" s="501">
        <v>1.0009999999999999</v>
      </c>
      <c r="C60" s="885">
        <v>-1E-3</v>
      </c>
      <c r="D60" s="832"/>
      <c r="E60" s="812" t="s">
        <v>292</v>
      </c>
      <c r="F60" s="412">
        <v>53</v>
      </c>
      <c r="G60" s="14" t="str">
        <f>IF(ID!$B$90=E60,F60,"")</f>
        <v/>
      </c>
      <c r="H60" s="427" t="str">
        <f>IFERROR(SMALL($G$8:$G$110,ROWS(G$8:$G60)),"")</f>
        <v/>
      </c>
    </row>
    <row r="61" spans="2:8" x14ac:dyDescent="0.25">
      <c r="B61" s="878">
        <v>10</v>
      </c>
      <c r="C61" s="879">
        <f>C60</f>
        <v>-1E-3</v>
      </c>
      <c r="D61" s="832"/>
      <c r="E61" s="822" t="s">
        <v>292</v>
      </c>
      <c r="F61" s="412">
        <v>54</v>
      </c>
      <c r="G61" s="14" t="str">
        <f>IF(ID!$B$90=E61,F61,"")</f>
        <v/>
      </c>
      <c r="H61" s="427" t="str">
        <f>IFERROR(SMALL($G$8:$G$110,ROWS(G$8:$G61)),"")</f>
        <v/>
      </c>
    </row>
    <row r="62" spans="2:8" x14ac:dyDescent="0.25">
      <c r="B62" s="900"/>
      <c r="C62" s="901"/>
      <c r="D62" s="902"/>
      <c r="E62" s="903"/>
      <c r="F62" s="412">
        <v>55</v>
      </c>
      <c r="G62" s="14" t="str">
        <f>IF(ID!$B$90=E62,F62,"")</f>
        <v/>
      </c>
      <c r="H62" s="427" t="str">
        <f>IFERROR(SMALL($G$8:$G$110,ROWS(G$8:$G62)),"")</f>
        <v/>
      </c>
    </row>
    <row r="63" spans="2:8" x14ac:dyDescent="0.25">
      <c r="B63" s="881"/>
      <c r="C63" s="904"/>
      <c r="D63" s="504"/>
      <c r="E63" s="905"/>
      <c r="F63" s="412">
        <v>56</v>
      </c>
      <c r="G63" s="14" t="str">
        <f>IF(ID!$B$90=E63,F63,"")</f>
        <v/>
      </c>
      <c r="H63" s="427" t="str">
        <f>IFERROR(SMALL($G$8:$G$110,ROWS(G$8:$G63)),"")</f>
        <v/>
      </c>
    </row>
    <row r="64" spans="2:8" x14ac:dyDescent="0.25">
      <c r="B64" s="836"/>
      <c r="C64" s="886"/>
      <c r="D64"/>
      <c r="E64" s="906"/>
      <c r="F64" s="412">
        <v>57</v>
      </c>
      <c r="G64" s="14" t="str">
        <f>IF(ID!$B$90=E64,F64,"")</f>
        <v/>
      </c>
      <c r="H64" s="427" t="str">
        <f>IFERROR(SMALL($G$8:$G$110,ROWS(G$8:$G64)),"")</f>
        <v/>
      </c>
    </row>
    <row r="65" spans="2:8" x14ac:dyDescent="0.25">
      <c r="B65" s="836"/>
      <c r="C65" s="886"/>
      <c r="D65"/>
      <c r="E65" s="906"/>
      <c r="F65" s="412">
        <v>58</v>
      </c>
      <c r="G65" s="14" t="str">
        <f>IF(ID!$B$90=E65,F65,"")</f>
        <v/>
      </c>
      <c r="H65" s="427" t="str">
        <f>IFERROR(SMALL($G$8:$G$110,ROWS(G$8:$G65)),"")</f>
        <v/>
      </c>
    </row>
    <row r="66" spans="2:8" x14ac:dyDescent="0.25">
      <c r="B66" s="836"/>
      <c r="C66" s="886"/>
      <c r="D66"/>
      <c r="E66" s="906"/>
      <c r="F66" s="412">
        <v>59</v>
      </c>
      <c r="G66" s="14" t="str">
        <f>IF(ID!$B$90=E66,F66,"")</f>
        <v/>
      </c>
      <c r="H66" s="427" t="str">
        <f>IFERROR(SMALL($G$8:$G$110,ROWS(G$8:$G66)),"")</f>
        <v/>
      </c>
    </row>
    <row r="67" spans="2:8" x14ac:dyDescent="0.25">
      <c r="B67" s="836"/>
      <c r="C67" s="886"/>
      <c r="D67"/>
      <c r="E67" s="906"/>
      <c r="F67" s="412">
        <v>60</v>
      </c>
      <c r="G67" s="14" t="str">
        <f>IF(ID!$B$90=E67,F67,"")</f>
        <v/>
      </c>
      <c r="H67" s="427" t="str">
        <f>IFERROR(SMALL($G$8:$G$110,ROWS(G$8:$G67)),"")</f>
        <v/>
      </c>
    </row>
    <row r="68" spans="2:8" x14ac:dyDescent="0.25">
      <c r="B68" s="836"/>
      <c r="C68" s="886"/>
      <c r="D68"/>
      <c r="E68" s="906"/>
      <c r="F68" s="412">
        <v>61</v>
      </c>
      <c r="G68" s="14" t="str">
        <f>IF(ID!$B$90=E68,F68,"")</f>
        <v/>
      </c>
      <c r="H68" s="427" t="str">
        <f>IFERROR(SMALL($G$8:$G$110,ROWS(G$8:$G68)),"")</f>
        <v/>
      </c>
    </row>
    <row r="69" spans="2:8" x14ac:dyDescent="0.25">
      <c r="B69" s="836"/>
      <c r="C69" s="886"/>
      <c r="D69"/>
      <c r="E69" s="906"/>
      <c r="F69" s="412">
        <v>62</v>
      </c>
      <c r="G69" s="14" t="str">
        <f>IF(ID!$B$90=E69,F69,"")</f>
        <v/>
      </c>
      <c r="H69" s="427" t="str">
        <f>IFERROR(SMALL($G$8:$G$110,ROWS(G$8:$G69)),"")</f>
        <v/>
      </c>
    </row>
    <row r="70" spans="2:8" x14ac:dyDescent="0.25">
      <c r="B70" s="836"/>
      <c r="C70" s="886"/>
      <c r="D70"/>
      <c r="E70" s="906"/>
      <c r="F70" s="412">
        <v>63</v>
      </c>
      <c r="G70" s="14" t="str">
        <f>IF(ID!$B$90=E70,F70,"")</f>
        <v/>
      </c>
      <c r="H70" s="427" t="str">
        <f>IFERROR(SMALL($G$8:$G$110,ROWS(G$8:$G70)),"")</f>
        <v/>
      </c>
    </row>
    <row r="71" spans="2:8" x14ac:dyDescent="0.25">
      <c r="B71" s="907"/>
      <c r="C71" s="908"/>
      <c r="D71" s="909"/>
      <c r="E71" s="910"/>
      <c r="F71" s="412">
        <v>64</v>
      </c>
      <c r="G71" s="14" t="str">
        <f>IF(ID!$B$90=E71,F71,"")</f>
        <v/>
      </c>
      <c r="H71" s="427" t="str">
        <f>IFERROR(SMALL($G$8:$G$110,ROWS(G$8:$G71)),"")</f>
        <v/>
      </c>
    </row>
    <row r="72" spans="2:8" x14ac:dyDescent="0.25">
      <c r="B72" s="501">
        <v>0</v>
      </c>
      <c r="C72" s="412">
        <v>9.9999999999999995E-7</v>
      </c>
      <c r="D72" s="846">
        <v>2020</v>
      </c>
      <c r="E72" s="812" t="s">
        <v>293</v>
      </c>
      <c r="F72" s="412">
        <v>65</v>
      </c>
      <c r="G72" s="14" t="str">
        <f>IF(ID!$B$90=E72,F72,"")</f>
        <v/>
      </c>
      <c r="H72" s="427" t="str">
        <f>IFERROR(SMALL($G$8:$G$110,ROWS(G$8:$G72)),"")</f>
        <v/>
      </c>
    </row>
    <row r="73" spans="2:8" x14ac:dyDescent="0.25">
      <c r="B73" s="501">
        <v>0.1</v>
      </c>
      <c r="C73" s="412">
        <v>9.9999999999999995E-7</v>
      </c>
      <c r="D73" s="846"/>
      <c r="E73" s="812" t="s">
        <v>293</v>
      </c>
      <c r="F73" s="412">
        <v>66</v>
      </c>
      <c r="G73" s="14" t="str">
        <f>IF(ID!$B$90=E73,F73,"")</f>
        <v/>
      </c>
      <c r="H73" s="427" t="str">
        <f>IFERROR(SMALL($G$8:$G$110,ROWS(G$8:$G73)),"")</f>
        <v/>
      </c>
    </row>
    <row r="74" spans="2:8" x14ac:dyDescent="0.25">
      <c r="B74" s="501">
        <v>0.2</v>
      </c>
      <c r="C74" s="412">
        <v>9.9999999999999995E-7</v>
      </c>
      <c r="D74" s="846"/>
      <c r="E74" s="812" t="s">
        <v>293</v>
      </c>
      <c r="F74" s="412">
        <v>67</v>
      </c>
      <c r="G74" s="14" t="str">
        <f>IF(ID!$B$90=E74,F74,"")</f>
        <v/>
      </c>
      <c r="H74" s="427" t="str">
        <f>IFERROR(SMALL($G$8:$G$110,ROWS(G$8:$G74)),"")</f>
        <v/>
      </c>
    </row>
    <row r="75" spans="2:8" x14ac:dyDescent="0.25">
      <c r="B75" s="501">
        <v>0.5</v>
      </c>
      <c r="C75" s="412">
        <v>9.9999999999999995E-7</v>
      </c>
      <c r="D75" s="846"/>
      <c r="E75" s="812" t="s">
        <v>293</v>
      </c>
      <c r="F75" s="412">
        <v>68</v>
      </c>
      <c r="G75" s="14" t="str">
        <f>IF(ID!$B$90=E75,F75,"")</f>
        <v/>
      </c>
      <c r="H75" s="427" t="str">
        <f>IFERROR(SMALL($G$8:$G$110,ROWS(G$8:$G75)),"")</f>
        <v/>
      </c>
    </row>
    <row r="76" spans="2:8" x14ac:dyDescent="0.25">
      <c r="B76" s="501">
        <v>1.002</v>
      </c>
      <c r="C76" s="866">
        <v>-2E-3</v>
      </c>
      <c r="D76" s="846"/>
      <c r="E76" s="812" t="s">
        <v>293</v>
      </c>
      <c r="F76" s="412">
        <v>69</v>
      </c>
      <c r="G76" s="14" t="str">
        <f>IF(ID!$B$90=E76,F76,"")</f>
        <v/>
      </c>
      <c r="H76" s="427" t="str">
        <f>IFERROR(SMALL($G$8:$G$110,ROWS(G$8:$G76)),"")</f>
        <v/>
      </c>
    </row>
    <row r="77" spans="2:8" x14ac:dyDescent="0.25">
      <c r="B77" s="911">
        <v>2</v>
      </c>
      <c r="C77" s="412">
        <v>9.9999999999999995E-7</v>
      </c>
      <c r="D77" s="880"/>
      <c r="E77" s="812" t="s">
        <v>293</v>
      </c>
      <c r="F77" s="412">
        <v>70</v>
      </c>
      <c r="G77" s="14" t="str">
        <f>IF(ID!$B$90=E77,F77,"")</f>
        <v/>
      </c>
      <c r="H77" s="427" t="str">
        <f>IFERROR(SMALL($G$8:$G$110,ROWS(G$8:$G77)),"")</f>
        <v/>
      </c>
    </row>
    <row r="78" spans="2:8" x14ac:dyDescent="0.25">
      <c r="B78" s="878">
        <v>10</v>
      </c>
      <c r="C78" s="879">
        <f>C77</f>
        <v>9.9999999999999995E-7</v>
      </c>
      <c r="D78" s="880"/>
      <c r="E78" s="816" t="s">
        <v>293</v>
      </c>
      <c r="F78" s="412">
        <v>71</v>
      </c>
      <c r="G78" s="14" t="str">
        <f>IF(ID!$B$90=E78,F78,"")</f>
        <v/>
      </c>
      <c r="H78" s="427" t="str">
        <f>IFERROR(SMALL($G$8:$G$110,ROWS(G$8:$G78)),"")</f>
        <v/>
      </c>
    </row>
    <row r="79" spans="2:8" x14ac:dyDescent="0.25">
      <c r="B79" s="836"/>
      <c r="C79" s="886"/>
      <c r="D79"/>
      <c r="E79" s="867"/>
      <c r="F79" s="412">
        <v>72</v>
      </c>
      <c r="G79" s="14" t="str">
        <f>IF(ID!$B$90=E79,F79,"")</f>
        <v/>
      </c>
      <c r="H79" s="427" t="str">
        <f>IFERROR(SMALL($G$8:$G$110,ROWS(G$8:$G79)),"")</f>
        <v/>
      </c>
    </row>
    <row r="80" spans="2:8" x14ac:dyDescent="0.25">
      <c r="B80" s="501">
        <v>0</v>
      </c>
      <c r="C80" s="412">
        <v>9.9999999999999995E-7</v>
      </c>
      <c r="D80" s="846">
        <v>2020</v>
      </c>
      <c r="E80" s="812" t="s">
        <v>475</v>
      </c>
      <c r="F80" s="412">
        <v>73</v>
      </c>
      <c r="G80" s="14" t="str">
        <f>IF(ID!$B$90=E80,F80,"")</f>
        <v/>
      </c>
      <c r="H80" s="427" t="str">
        <f>IFERROR(SMALL($G$8:$G$110,ROWS(G$8:$G80)),"")</f>
        <v/>
      </c>
    </row>
    <row r="81" spans="2:8" x14ac:dyDescent="0.25">
      <c r="B81" s="501">
        <v>1E-3</v>
      </c>
      <c r="C81" s="874">
        <v>-1E-3</v>
      </c>
      <c r="D81" s="846"/>
      <c r="E81" s="812" t="s">
        <v>475</v>
      </c>
      <c r="F81" s="412">
        <v>74</v>
      </c>
      <c r="G81" s="14" t="str">
        <f>IF(ID!$B$90=E81,F81,"")</f>
        <v/>
      </c>
      <c r="H81" s="427" t="str">
        <f>IFERROR(SMALL($G$8:$G$110,ROWS(G$8:$G81)),"")</f>
        <v/>
      </c>
    </row>
    <row r="82" spans="2:8" x14ac:dyDescent="0.25">
      <c r="B82" s="501">
        <v>0.10299999999999999</v>
      </c>
      <c r="C82" s="866">
        <v>-3.0000000000000001E-3</v>
      </c>
      <c r="D82" s="846"/>
      <c r="E82" s="812" t="s">
        <v>475</v>
      </c>
      <c r="F82" s="412">
        <v>75</v>
      </c>
      <c r="G82" s="14" t="str">
        <f>IF(ID!$B$90=E82,F82,"")</f>
        <v/>
      </c>
      <c r="H82" s="427" t="str">
        <f>IFERROR(SMALL($G$8:$G$110,ROWS(G$8:$G82)),"")</f>
        <v/>
      </c>
    </row>
    <row r="83" spans="2:8" x14ac:dyDescent="0.25">
      <c r="B83" s="501">
        <v>0.2</v>
      </c>
      <c r="C83" s="412">
        <v>9.9999999999999995E-7</v>
      </c>
      <c r="D83" s="849"/>
      <c r="E83" s="812" t="s">
        <v>475</v>
      </c>
      <c r="F83" s="412">
        <v>76</v>
      </c>
      <c r="G83" s="14" t="str">
        <f>IF(ID!$B$90=E83,F83,"")</f>
        <v/>
      </c>
      <c r="H83" s="427" t="str">
        <f>IFERROR(SMALL($G$8:$G$110,ROWS(G$8:$G83)),"")</f>
        <v/>
      </c>
    </row>
    <row r="84" spans="2:8" x14ac:dyDescent="0.25">
      <c r="B84" s="501">
        <v>0.499</v>
      </c>
      <c r="C84" s="888">
        <v>1E-3</v>
      </c>
      <c r="D84" s="846"/>
      <c r="E84" s="812" t="s">
        <v>475</v>
      </c>
      <c r="F84" s="412">
        <v>77</v>
      </c>
      <c r="G84" s="14" t="str">
        <f>IF(ID!$B$90=E84,F84,"")</f>
        <v/>
      </c>
      <c r="H84" s="427" t="str">
        <f>IFERROR(SMALL($G$8:$G$110,ROWS(G$8:$G84)),"")</f>
        <v/>
      </c>
    </row>
    <row r="85" spans="2:8" x14ac:dyDescent="0.25">
      <c r="B85" s="501">
        <v>1.0009999999999999</v>
      </c>
      <c r="C85" s="874">
        <v>-1E-3</v>
      </c>
      <c r="D85" s="880"/>
      <c r="E85" s="812" t="s">
        <v>475</v>
      </c>
      <c r="F85" s="412">
        <v>78</v>
      </c>
      <c r="G85" s="14" t="str">
        <f>IF(ID!$B$90=E85,F85,"")</f>
        <v/>
      </c>
      <c r="H85" s="427" t="str">
        <f>IFERROR(SMALL($G$8:$G$110,ROWS(G$8:$G85)),"")</f>
        <v/>
      </c>
    </row>
    <row r="86" spans="2:8" x14ac:dyDescent="0.25">
      <c r="B86" s="501">
        <v>2.0059999999999998</v>
      </c>
      <c r="C86" s="894">
        <v>-6.0000000000000001E-3</v>
      </c>
      <c r="D86" s="880"/>
      <c r="E86" s="812" t="s">
        <v>475</v>
      </c>
      <c r="F86" s="412">
        <v>79</v>
      </c>
      <c r="G86" s="14" t="str">
        <f>IF(ID!$B$90=E86,F86,"")</f>
        <v/>
      </c>
      <c r="H86" s="427" t="str">
        <f>IFERROR(SMALL($G$8:$G$110,ROWS(G$8:$G86)),"")</f>
        <v/>
      </c>
    </row>
    <row r="87" spans="2:8" x14ac:dyDescent="0.25">
      <c r="B87" s="878">
        <v>10</v>
      </c>
      <c r="C87" s="879">
        <f>C86</f>
        <v>-6.0000000000000001E-3</v>
      </c>
      <c r="D87" s="912"/>
      <c r="E87" s="816" t="s">
        <v>475</v>
      </c>
      <c r="F87" s="412">
        <v>80</v>
      </c>
      <c r="G87" s="14" t="str">
        <f>IF(ID!$B$90=E87,F87,"")</f>
        <v/>
      </c>
      <c r="H87" s="427" t="str">
        <f>IFERROR(SMALL($G$8:$G$110,ROWS(G$8:$G87)),"")</f>
        <v/>
      </c>
    </row>
    <row r="88" spans="2:8" x14ac:dyDescent="0.25">
      <c r="B88" s="836"/>
      <c r="C88" s="886"/>
      <c r="D88"/>
      <c r="E88"/>
      <c r="F88" s="412">
        <v>81</v>
      </c>
      <c r="G88" s="14" t="str">
        <f>IF(ID!$B$90=E88,F88,"")</f>
        <v/>
      </c>
      <c r="H88" s="427" t="str">
        <f>IFERROR(SMALL($G$8:$G$110,ROWS(G$8:$G88)),"")</f>
        <v/>
      </c>
    </row>
    <row r="89" spans="2:8" x14ac:dyDescent="0.25">
      <c r="B89" s="836"/>
      <c r="C89" s="886"/>
      <c r="D89"/>
      <c r="E89"/>
      <c r="F89" s="412">
        <v>82</v>
      </c>
      <c r="G89" s="14" t="str">
        <f>IF(ID!$B$90=E89,F89,"")</f>
        <v/>
      </c>
      <c r="H89" s="427" t="str">
        <f>IFERROR(SMALL($G$8:$G$110,ROWS(G$8:$G89)),"")</f>
        <v/>
      </c>
    </row>
    <row r="90" spans="2:8" x14ac:dyDescent="0.25">
      <c r="B90" s="892">
        <v>1E-3</v>
      </c>
      <c r="C90" s="894">
        <v>-1E-3</v>
      </c>
      <c r="D90" s="846">
        <v>2020</v>
      </c>
      <c r="E90" s="812" t="s">
        <v>476</v>
      </c>
      <c r="F90" s="412">
        <v>83</v>
      </c>
      <c r="G90" s="14" t="str">
        <f>IF(ID!$B$90=E90,F90,"")</f>
        <v/>
      </c>
      <c r="H90" s="427" t="str">
        <f>IFERROR(SMALL($G$8:$G$110,ROWS(G$8:$G90)),"")</f>
        <v/>
      </c>
    </row>
    <row r="91" spans="2:8" x14ac:dyDescent="0.25">
      <c r="B91" s="892">
        <v>0.10199999999999999</v>
      </c>
      <c r="C91" s="866">
        <v>-2E-3</v>
      </c>
      <c r="D91" s="862"/>
      <c r="E91" s="812" t="s">
        <v>476</v>
      </c>
      <c r="F91" s="412">
        <v>84</v>
      </c>
      <c r="G91" s="14" t="str">
        <f>IF(ID!$B$90=E91,F91,"")</f>
        <v/>
      </c>
      <c r="H91" s="427" t="str">
        <f>IFERROR(SMALL($G$8:$G$110,ROWS(G$8:$G91)),"")</f>
        <v/>
      </c>
    </row>
    <row r="92" spans="2:8" x14ac:dyDescent="0.25">
      <c r="B92" s="892">
        <v>0.2</v>
      </c>
      <c r="C92" s="412">
        <v>9.9999999999999995E-7</v>
      </c>
      <c r="D92" s="862"/>
      <c r="E92" s="812" t="s">
        <v>476</v>
      </c>
      <c r="F92" s="412">
        <v>85</v>
      </c>
      <c r="G92" s="14" t="str">
        <f>IF(ID!$B$90=E92,F92,"")</f>
        <v/>
      </c>
      <c r="H92" s="427" t="str">
        <f>IFERROR(SMALL($G$8:$G$110,ROWS(G$8:$G92)),"")</f>
        <v/>
      </c>
    </row>
    <row r="93" spans="2:8" x14ac:dyDescent="0.25">
      <c r="B93" s="892">
        <v>0.5</v>
      </c>
      <c r="C93" s="412">
        <v>9.9999999999999995E-7</v>
      </c>
      <c r="D93" s="889"/>
      <c r="E93" s="812" t="s">
        <v>476</v>
      </c>
      <c r="F93" s="412">
        <v>86</v>
      </c>
      <c r="G93" s="14" t="str">
        <f>IF(ID!$B$90=E93,F93,"")</f>
        <v/>
      </c>
      <c r="H93" s="427" t="str">
        <f>IFERROR(SMALL($G$8:$G$110,ROWS(G$8:$G93)),"")</f>
        <v/>
      </c>
    </row>
    <row r="94" spans="2:8" x14ac:dyDescent="0.25">
      <c r="B94" s="893">
        <v>1.0009999999999999</v>
      </c>
      <c r="C94" s="874">
        <v>-1E-3</v>
      </c>
      <c r="D94" s="862"/>
      <c r="E94" s="812" t="s">
        <v>476</v>
      </c>
      <c r="F94" s="412">
        <v>87</v>
      </c>
      <c r="G94" s="14" t="str">
        <f>IF(ID!$B$90=E94,F94,"")</f>
        <v/>
      </c>
      <c r="H94" s="427" t="str">
        <f>IFERROR(SMALL($G$8:$G$110,ROWS(G$8:$G94)),"")</f>
        <v/>
      </c>
    </row>
    <row r="95" spans="2:8" x14ac:dyDescent="0.25">
      <c r="B95" s="892">
        <v>2.0059999999999998</v>
      </c>
      <c r="C95" s="874">
        <v>-6.0000000000000001E-3</v>
      </c>
      <c r="D95" s="829"/>
      <c r="E95" s="812" t="s">
        <v>476</v>
      </c>
      <c r="F95" s="412">
        <v>88</v>
      </c>
      <c r="G95" s="14" t="str">
        <f>IF(ID!$B$90=E95,F95,"")</f>
        <v/>
      </c>
      <c r="H95" s="427" t="str">
        <f>IFERROR(SMALL($G$8:$G$110,ROWS(G$8:$G95)),"")</f>
        <v/>
      </c>
    </row>
    <row r="96" spans="2:8" x14ac:dyDescent="0.25">
      <c r="B96" s="878">
        <v>10</v>
      </c>
      <c r="C96" s="879">
        <f>C95</f>
        <v>-6.0000000000000001E-3</v>
      </c>
      <c r="D96" s="863"/>
      <c r="E96" s="822" t="s">
        <v>476</v>
      </c>
      <c r="F96" s="412">
        <v>89</v>
      </c>
      <c r="G96" s="14" t="str">
        <f>IF(ID!$B$90=E96,F96,"")</f>
        <v/>
      </c>
      <c r="H96" s="427" t="str">
        <f>IFERROR(SMALL($G$8:$G$110,ROWS(G$8:$G96)),"")</f>
        <v/>
      </c>
    </row>
    <row r="97" spans="2:8" x14ac:dyDescent="0.25">
      <c r="B97" s="913"/>
      <c r="C97" s="914"/>
      <c r="D97" s="829"/>
      <c r="E97" s="490"/>
      <c r="F97" s="412">
        <v>90</v>
      </c>
      <c r="G97" s="14" t="str">
        <f>IF(ID!$B$90=E97,F97,"")</f>
        <v/>
      </c>
      <c r="H97" s="427" t="str">
        <f>IFERROR(SMALL($G$8:$G$110,ROWS(G$8:$G97)),"")</f>
        <v/>
      </c>
    </row>
    <row r="98" spans="2:8" x14ac:dyDescent="0.25">
      <c r="B98" s="836"/>
      <c r="C98" s="886"/>
      <c r="D98"/>
      <c r="E98"/>
      <c r="F98" s="412">
        <v>91</v>
      </c>
      <c r="G98" s="14" t="str">
        <f>IF(ID!$B$90=E98,F98,"")</f>
        <v/>
      </c>
      <c r="H98" s="427" t="str">
        <f>IFERROR(SMALL($G$8:$G$110,ROWS(G$8:$G98)),"")</f>
        <v/>
      </c>
    </row>
    <row r="99" spans="2:8" x14ac:dyDescent="0.25">
      <c r="B99" s="836"/>
      <c r="C99" s="886"/>
      <c r="D99"/>
      <c r="E99"/>
      <c r="F99" s="412">
        <v>92</v>
      </c>
      <c r="G99" s="14" t="str">
        <f>IF(ID!$B$90=E99,F99,"")</f>
        <v/>
      </c>
      <c r="H99" s="427" t="str">
        <f>IFERROR(SMALL($G$8:$G$110,ROWS(G$8:$G99)),"")</f>
        <v/>
      </c>
    </row>
    <row r="100" spans="2:8" x14ac:dyDescent="0.25">
      <c r="B100" s="501">
        <v>0</v>
      </c>
      <c r="C100" s="412">
        <v>9.9999999999999995E-7</v>
      </c>
      <c r="D100" s="846">
        <v>2021</v>
      </c>
      <c r="E100" s="812"/>
      <c r="F100" s="412">
        <v>93</v>
      </c>
      <c r="G100" s="14" t="str">
        <f>IF(ID!$B$90=E100,F100,"")</f>
        <v/>
      </c>
      <c r="H100" s="427" t="str">
        <f>IFERROR(SMALL($G$8:$G$110,ROWS(G$8:$G100)),"")</f>
        <v/>
      </c>
    </row>
    <row r="101" spans="2:8" x14ac:dyDescent="0.25">
      <c r="B101" s="501">
        <v>0.10199999999999999</v>
      </c>
      <c r="C101" s="888">
        <v>-2E-3</v>
      </c>
      <c r="D101" s="862"/>
      <c r="E101" s="812"/>
      <c r="F101" s="412">
        <v>94</v>
      </c>
      <c r="G101" s="14" t="str">
        <f>IF(ID!$B$90=E101,F101,"")</f>
        <v/>
      </c>
      <c r="H101" s="427" t="str">
        <f>IFERROR(SMALL($G$8:$G$110,ROWS(G$8:$G101)),"")</f>
        <v/>
      </c>
    </row>
    <row r="102" spans="2:8" x14ac:dyDescent="0.25">
      <c r="B102" s="501">
        <v>0.19900000000000001</v>
      </c>
      <c r="C102" s="894">
        <v>1E-3</v>
      </c>
      <c r="D102" s="862"/>
      <c r="E102" s="812"/>
      <c r="F102" s="412">
        <v>95</v>
      </c>
      <c r="G102" s="14" t="str">
        <f>IF(ID!$B$90=E102,F102,"")</f>
        <v/>
      </c>
      <c r="H102" s="427" t="str">
        <f>IFERROR(SMALL($G$8:$G$110,ROWS(G$8:$G102)),"")</f>
        <v/>
      </c>
    </row>
    <row r="103" spans="2:8" x14ac:dyDescent="0.25">
      <c r="B103" s="501">
        <v>0.499</v>
      </c>
      <c r="C103" s="874">
        <v>1E-3</v>
      </c>
      <c r="D103" s="862"/>
      <c r="E103" s="812"/>
      <c r="F103" s="412">
        <v>96</v>
      </c>
      <c r="G103" s="14" t="str">
        <f>IF(ID!$B$90=E103,F103,"")</f>
        <v/>
      </c>
      <c r="H103" s="427" t="str">
        <f>IFERROR(SMALL($G$8:$G$110,ROWS(G$8:$G103)),"")</f>
        <v/>
      </c>
    </row>
    <row r="104" spans="2:8" x14ac:dyDescent="0.25">
      <c r="B104" s="501">
        <v>1.008</v>
      </c>
      <c r="C104" s="888">
        <v>-8.0000000000000002E-3</v>
      </c>
      <c r="D104" s="862"/>
      <c r="E104" s="812"/>
      <c r="F104" s="412">
        <v>97</v>
      </c>
      <c r="G104" s="14" t="str">
        <f>IF(ID!$B$90=E104,F104,"")</f>
        <v/>
      </c>
      <c r="H104" s="427" t="str">
        <f>IFERROR(SMALL($G$8:$G$110,ROWS(G$8:$G104)),"")</f>
        <v/>
      </c>
    </row>
    <row r="105" spans="2:8" x14ac:dyDescent="0.25">
      <c r="B105" s="501">
        <v>2.0070000000000001</v>
      </c>
      <c r="C105" s="894">
        <v>-7.0000000000000001E-3</v>
      </c>
      <c r="D105" s="829"/>
      <c r="E105" s="812"/>
      <c r="F105" s="412">
        <v>98</v>
      </c>
      <c r="G105" s="14" t="str">
        <f>IF(ID!$B$90=E105,F105,"")</f>
        <v/>
      </c>
      <c r="H105" s="427" t="str">
        <f>IFERROR(SMALL($G$8:$G$110,ROWS(G$8:$G105)),"")</f>
        <v/>
      </c>
    </row>
    <row r="106" spans="2:8" x14ac:dyDescent="0.25">
      <c r="B106" s="878">
        <v>10</v>
      </c>
      <c r="C106" s="879">
        <f>C105</f>
        <v>-7.0000000000000001E-3</v>
      </c>
      <c r="D106" s="863"/>
      <c r="E106" s="822"/>
      <c r="F106" s="412">
        <v>99</v>
      </c>
      <c r="G106" s="14" t="str">
        <f>IF(ID!$B$90=E106,F106,"")</f>
        <v/>
      </c>
      <c r="H106" s="427" t="str">
        <f>IFERROR(SMALL($G$8:$G$110,ROWS(G$8:$G106)),"")</f>
        <v/>
      </c>
    </row>
    <row r="107" spans="2:8" x14ac:dyDescent="0.25">
      <c r="B107" s="913"/>
      <c r="C107" s="914"/>
      <c r="D107" s="829"/>
      <c r="E107" s="812"/>
      <c r="F107" s="412">
        <v>100</v>
      </c>
      <c r="G107" s="14" t="str">
        <f>IF(ID!$B$90=E107,F107,"")</f>
        <v/>
      </c>
      <c r="H107" s="427" t="str">
        <f>IFERROR(SMALL($G$8:$G$110,ROWS(G$8:$G107)),"")</f>
        <v/>
      </c>
    </row>
    <row r="108" spans="2:8" x14ac:dyDescent="0.25">
      <c r="B108" s="836"/>
      <c r="C108" s="886"/>
      <c r="D108"/>
      <c r="E108"/>
      <c r="F108" s="412">
        <v>101</v>
      </c>
      <c r="G108" s="14" t="str">
        <f>IF(ID!$B$90=E108,F108,"")</f>
        <v/>
      </c>
      <c r="H108" s="427" t="str">
        <f>IFERROR(SMALL($G$8:$G$110,ROWS(G$8:$G108)),"")</f>
        <v/>
      </c>
    </row>
    <row r="109" spans="2:8" x14ac:dyDescent="0.25">
      <c r="B109" s="836"/>
      <c r="C109" s="886"/>
      <c r="D109"/>
      <c r="E109"/>
      <c r="F109" s="412">
        <v>102</v>
      </c>
      <c r="G109" s="14" t="str">
        <f>IF(ID!$B$90=E109,F109,"")</f>
        <v/>
      </c>
      <c r="H109" s="427" t="str">
        <f>IFERROR(SMALL($G$8:$G$110,ROWS(G$8:$G109)),"")</f>
        <v/>
      </c>
    </row>
    <row r="110" spans="2:8" x14ac:dyDescent="0.25">
      <c r="B110" s="836"/>
      <c r="C110" s="886"/>
      <c r="D110"/>
      <c r="E110"/>
      <c r="F110" s="412">
        <v>103</v>
      </c>
      <c r="G110" s="14" t="str">
        <f>IF(ID!$B$90=E110,F110,"")</f>
        <v/>
      </c>
      <c r="H110" s="427" t="str">
        <f>IFERROR(SMALL($G$8:$G$110,ROWS(G$8:$G110)),"")</f>
        <v/>
      </c>
    </row>
    <row r="111" spans="2:8" x14ac:dyDescent="0.25">
      <c r="B111" s="836"/>
      <c r="C111" s="886"/>
      <c r="D111"/>
      <c r="E111"/>
      <c r="G111" s="915"/>
    </row>
  </sheetData>
  <sheetProtection algorithmName="SHA-512" hashValue="WHf+4pa0fINgcJNk1c4rEwM5BPyhoKbSfXbMZ29XTIeY6b3D4FvGkZ1KWxMgKkyZG3AoUXqWW7V2lWa+cTzf3g==" saltValue="N90HK/GthxXAc1sngSc7tA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8"/>
  <dimension ref="A5:K130"/>
  <sheetViews>
    <sheetView topLeftCell="F121" workbookViewId="0">
      <selection activeCell="F130" sqref="F130"/>
    </sheetView>
  </sheetViews>
  <sheetFormatPr defaultColWidth="9.109375" defaultRowHeight="13.2" x14ac:dyDescent="0.25"/>
  <cols>
    <col min="1" max="1" width="16.5546875" style="23" hidden="1" customWidth="1"/>
    <col min="2" max="2" width="9.109375" style="23" hidden="1" customWidth="1"/>
    <col min="3" max="3" width="25" style="23" hidden="1" customWidth="1"/>
    <col min="4" max="5" width="9.109375" style="23" hidden="1" customWidth="1"/>
    <col min="6" max="6" width="60.88671875" style="23" customWidth="1"/>
    <col min="7" max="7" width="90.44140625" style="23" customWidth="1"/>
    <col min="8" max="28" width="9.109375" style="23" customWidth="1"/>
    <col min="29" max="16384" width="9.109375" style="23"/>
  </cols>
  <sheetData>
    <row r="5" spans="1:11" x14ac:dyDescent="0.25">
      <c r="F5" s="432" t="s">
        <v>330</v>
      </c>
    </row>
    <row r="7" spans="1:11" x14ac:dyDescent="0.25">
      <c r="F7" s="433" t="s">
        <v>331</v>
      </c>
      <c r="G7" s="433" t="s">
        <v>332</v>
      </c>
    </row>
    <row r="8" spans="1:11" ht="15.6" x14ac:dyDescent="0.25">
      <c r="F8" s="434" t="s">
        <v>333</v>
      </c>
      <c r="G8" s="435" t="s">
        <v>334</v>
      </c>
    </row>
    <row r="9" spans="1:11" ht="15.6" x14ac:dyDescent="0.25">
      <c r="F9" s="436" t="s">
        <v>335</v>
      </c>
      <c r="G9" s="435" t="s">
        <v>336</v>
      </c>
    </row>
    <row r="11" spans="1:11" x14ac:dyDescent="0.25">
      <c r="A11" s="437" t="s">
        <v>337</v>
      </c>
      <c r="C11" s="437" t="s">
        <v>338</v>
      </c>
    </row>
    <row r="12" spans="1:11" ht="15.6" x14ac:dyDescent="0.25">
      <c r="A12" s="438" t="s">
        <v>339</v>
      </c>
      <c r="B12" s="438"/>
      <c r="C12" s="438" t="s">
        <v>340</v>
      </c>
      <c r="F12" s="439" t="s">
        <v>47</v>
      </c>
      <c r="G12" s="439" t="s">
        <v>341</v>
      </c>
      <c r="H12" s="408"/>
      <c r="I12" s="408"/>
      <c r="J12" s="408"/>
      <c r="K12" s="408"/>
    </row>
    <row r="13" spans="1:11" s="443" customFormat="1" ht="15.6" x14ac:dyDescent="0.3">
      <c r="A13" s="437">
        <v>200</v>
      </c>
      <c r="B13" s="437" t="s">
        <v>342</v>
      </c>
      <c r="C13" s="440" t="s">
        <v>343</v>
      </c>
      <c r="D13" s="440" t="s">
        <v>344</v>
      </c>
      <c r="E13" s="437"/>
      <c r="F13" s="439" t="s">
        <v>50</v>
      </c>
      <c r="G13" s="441" t="s">
        <v>345</v>
      </c>
      <c r="H13" s="442" t="str">
        <f>IFERROR(SMALL($F$13:$F$21,ROWS($D$13:D13)),"")</f>
        <v/>
      </c>
      <c r="K13" s="442" t="str">
        <f>IFERROR(INDEX($A$13:$C$21,$H13,COLUMNS(J$13:$J13)),"")</f>
        <v/>
      </c>
    </row>
    <row r="14" spans="1:11" s="443" customFormat="1" x14ac:dyDescent="0.25">
      <c r="A14" s="437">
        <v>120</v>
      </c>
      <c r="B14" s="437" t="s">
        <v>342</v>
      </c>
      <c r="C14" s="440" t="s">
        <v>346</v>
      </c>
      <c r="D14" s="440" t="s">
        <v>347</v>
      </c>
      <c r="E14" s="437"/>
      <c r="H14" s="442" t="str">
        <f>IFERROR(SMALL($F$13:$F$21,ROWS($D$13:D14)),"")</f>
        <v/>
      </c>
      <c r="K14" s="442" t="str">
        <f>IFERROR(INDEX($A$13:$C$21,$H14,COLUMNS(J$13:$J14)),"")</f>
        <v/>
      </c>
    </row>
    <row r="15" spans="1:11" s="443" customFormat="1" x14ac:dyDescent="0.25">
      <c r="A15" s="437">
        <v>60</v>
      </c>
      <c r="B15" s="437" t="s">
        <v>342</v>
      </c>
      <c r="C15" s="440" t="s">
        <v>348</v>
      </c>
      <c r="D15" s="440" t="s">
        <v>349</v>
      </c>
      <c r="E15" s="437"/>
      <c r="H15" s="442" t="str">
        <f>IFERROR(SMALL($F$13:$F$21,ROWS($D$13:D15)),"")</f>
        <v/>
      </c>
      <c r="K15" s="442" t="str">
        <f>IFERROR(INDEX($A$13:$C$21,$H15,COLUMNS(J$13:$J15)),"")</f>
        <v/>
      </c>
    </row>
    <row r="16" spans="1:11" s="443" customFormat="1" x14ac:dyDescent="0.25">
      <c r="A16" s="437">
        <v>150</v>
      </c>
      <c r="B16" s="437" t="s">
        <v>350</v>
      </c>
      <c r="E16" s="442"/>
      <c r="F16" s="442" t="str">
        <f>IF([6]INPUT!$C$95=B16,E16,"")</f>
        <v/>
      </c>
      <c r="H16" s="442" t="str">
        <f>IFERROR(SMALL($F$13:$F$21,ROWS($F$13:F16)),"")</f>
        <v/>
      </c>
    </row>
    <row r="17" spans="1:8" s="443" customFormat="1" x14ac:dyDescent="0.25">
      <c r="A17" s="437">
        <v>120</v>
      </c>
      <c r="B17" s="437" t="s">
        <v>350</v>
      </c>
      <c r="E17" s="442"/>
      <c r="F17" s="442" t="str">
        <f>IF([6]INPUT!$C$95=B17,E17,"")</f>
        <v/>
      </c>
      <c r="H17" s="442" t="str">
        <f>IFERROR(SMALL($F$13:$F$21,ROWS($F$13:F17)),"")</f>
        <v/>
      </c>
    </row>
    <row r="18" spans="1:8" s="443" customFormat="1" x14ac:dyDescent="0.25">
      <c r="A18" s="437">
        <v>60</v>
      </c>
      <c r="B18" s="437" t="s">
        <v>350</v>
      </c>
      <c r="E18" s="442"/>
      <c r="F18" s="442" t="str">
        <f>IF([6]INPUT!$C$95=B18,E18,"")</f>
        <v/>
      </c>
      <c r="H18" s="442" t="str">
        <f>IFERROR(SMALL($F$13:$F$21,ROWS($F$13:F18)),"")</f>
        <v/>
      </c>
    </row>
    <row r="19" spans="1:8" s="443" customFormat="1" x14ac:dyDescent="0.25">
      <c r="A19" s="437">
        <v>80</v>
      </c>
      <c r="B19" s="437" t="s">
        <v>351</v>
      </c>
      <c r="E19" s="442"/>
      <c r="F19" s="442" t="str">
        <f>IF([6]INPUT!$C$95=B19,E19,"")</f>
        <v/>
      </c>
      <c r="H19" s="442" t="str">
        <f>IFERROR(SMALL($F$13:$F$21,ROWS($F$13:F19)),"")</f>
        <v/>
      </c>
    </row>
    <row r="20" spans="1:8" s="443" customFormat="1" x14ac:dyDescent="0.25">
      <c r="A20" s="437">
        <v>60</v>
      </c>
      <c r="B20" s="437" t="s">
        <v>351</v>
      </c>
      <c r="E20" s="442"/>
      <c r="F20" s="442" t="str">
        <f>IF([6]INPUT!$C$95=B20,E20,"")</f>
        <v/>
      </c>
      <c r="H20" s="442" t="str">
        <f>IFERROR(SMALL($F$13:$F$21,ROWS($F$13:F20)),"")</f>
        <v/>
      </c>
    </row>
    <row r="21" spans="1:8" s="443" customFormat="1" x14ac:dyDescent="0.25">
      <c r="A21" s="437">
        <v>50</v>
      </c>
      <c r="B21" s="437" t="s">
        <v>351</v>
      </c>
      <c r="E21" s="442"/>
      <c r="F21" s="442" t="str">
        <f>IF([6]INPUT!$C$95=B21,E21,"")</f>
        <v/>
      </c>
      <c r="H21" s="442" t="str">
        <f>IFERROR(SMALL($F$13:$F$21,ROWS($F$13:F21)),"")</f>
        <v/>
      </c>
    </row>
    <row r="25" spans="1:8" x14ac:dyDescent="0.25">
      <c r="F25" s="444" t="s">
        <v>352</v>
      </c>
      <c r="G25" s="445"/>
    </row>
    <row r="26" spans="1:8" ht="15.6" x14ac:dyDescent="0.25">
      <c r="B26" s="22"/>
      <c r="F26" s="136" t="s">
        <v>159</v>
      </c>
      <c r="G26" s="24"/>
    </row>
    <row r="27" spans="1:8" ht="15.6" x14ac:dyDescent="0.25">
      <c r="F27" s="124"/>
      <c r="G27" s="24"/>
    </row>
    <row r="28" spans="1:8" ht="15.6" x14ac:dyDescent="0.25">
      <c r="F28" s="124" t="s">
        <v>793</v>
      </c>
      <c r="G28" s="24"/>
    </row>
    <row r="29" spans="1:8" ht="15.6" x14ac:dyDescent="0.25">
      <c r="F29" s="24"/>
      <c r="G29" s="24"/>
    </row>
    <row r="30" spans="1:8" ht="15.6" x14ac:dyDescent="0.25">
      <c r="F30" s="24"/>
      <c r="G30" s="24"/>
    </row>
    <row r="31" spans="1:8" ht="15.6" x14ac:dyDescent="0.25">
      <c r="F31" s="24"/>
      <c r="G31" s="24"/>
    </row>
    <row r="32" spans="1:8" ht="15.6" x14ac:dyDescent="0.25">
      <c r="F32" s="24"/>
      <c r="G32" s="24"/>
    </row>
    <row r="36" spans="2:6" ht="15.6" x14ac:dyDescent="0.25">
      <c r="B36" s="22"/>
      <c r="F36" s="446" t="s">
        <v>353</v>
      </c>
    </row>
    <row r="37" spans="2:6" ht="15.6" x14ac:dyDescent="0.25">
      <c r="B37" s="22"/>
      <c r="F37" s="426" t="s">
        <v>354</v>
      </c>
    </row>
    <row r="38" spans="2:6" ht="15.6" x14ac:dyDescent="0.25">
      <c r="B38" s="22"/>
      <c r="F38" s="426" t="s">
        <v>355</v>
      </c>
    </row>
    <row r="39" spans="2:6" ht="15.6" x14ac:dyDescent="0.25">
      <c r="B39" s="22"/>
      <c r="F39" s="426" t="s">
        <v>356</v>
      </c>
    </row>
    <row r="40" spans="2:6" ht="15.6" x14ac:dyDescent="0.25">
      <c r="B40" s="22"/>
      <c r="F40" s="446" t="s">
        <v>357</v>
      </c>
    </row>
    <row r="41" spans="2:6" ht="15.6" x14ac:dyDescent="0.25">
      <c r="B41" s="22"/>
      <c r="F41" s="446" t="s">
        <v>358</v>
      </c>
    </row>
    <row r="42" spans="2:6" ht="15.6" x14ac:dyDescent="0.25">
      <c r="B42" s="22"/>
      <c r="F42" s="426" t="s">
        <v>359</v>
      </c>
    </row>
    <row r="43" spans="2:6" ht="15.6" x14ac:dyDescent="0.25">
      <c r="B43" s="22"/>
      <c r="F43" s="426" t="s">
        <v>360</v>
      </c>
    </row>
    <row r="44" spans="2:6" ht="15.6" x14ac:dyDescent="0.25">
      <c r="B44" s="22"/>
      <c r="F44" s="426" t="s">
        <v>361</v>
      </c>
    </row>
    <row r="45" spans="2:6" x14ac:dyDescent="0.25">
      <c r="F45" s="426" t="s">
        <v>362</v>
      </c>
    </row>
    <row r="46" spans="2:6" x14ac:dyDescent="0.25">
      <c r="F46" s="426" t="s">
        <v>363</v>
      </c>
    </row>
    <row r="47" spans="2:6" ht="13.8" x14ac:dyDescent="0.25">
      <c r="F47" s="446" t="s">
        <v>364</v>
      </c>
    </row>
    <row r="48" spans="2:6" ht="13.8" x14ac:dyDescent="0.25">
      <c r="F48" s="446" t="s">
        <v>365</v>
      </c>
    </row>
    <row r="49" spans="6:6" x14ac:dyDescent="0.25">
      <c r="F49" s="426" t="s">
        <v>113</v>
      </c>
    </row>
    <row r="50" spans="6:6" x14ac:dyDescent="0.25">
      <c r="F50" s="426" t="s">
        <v>366</v>
      </c>
    </row>
    <row r="51" spans="6:6" ht="13.8" x14ac:dyDescent="0.25">
      <c r="F51" s="446" t="s">
        <v>367</v>
      </c>
    </row>
    <row r="52" spans="6:6" ht="13.8" x14ac:dyDescent="0.25">
      <c r="F52" s="446" t="s">
        <v>368</v>
      </c>
    </row>
    <row r="53" spans="6:6" ht="13.8" x14ac:dyDescent="0.25">
      <c r="F53" s="446" t="s">
        <v>369</v>
      </c>
    </row>
    <row r="54" spans="6:6" ht="13.8" x14ac:dyDescent="0.25">
      <c r="F54" s="446" t="s">
        <v>370</v>
      </c>
    </row>
    <row r="123" spans="6:7" x14ac:dyDescent="0.25">
      <c r="F123" s="23" t="s">
        <v>781</v>
      </c>
    </row>
    <row r="124" spans="6:7" x14ac:dyDescent="0.25">
      <c r="F124" s="23" t="s">
        <v>782</v>
      </c>
    </row>
    <row r="125" spans="6:7" ht="13.8" x14ac:dyDescent="0.3">
      <c r="F125" s="23" t="s">
        <v>783</v>
      </c>
    </row>
    <row r="128" spans="6:7" x14ac:dyDescent="0.25">
      <c r="F128" s="1094" t="s">
        <v>42</v>
      </c>
      <c r="G128" s="1094" t="s">
        <v>44</v>
      </c>
    </row>
    <row r="129" spans="6:7" ht="15.6" x14ac:dyDescent="0.25">
      <c r="F129" s="579" t="s">
        <v>790</v>
      </c>
      <c r="G129" s="579" t="s">
        <v>46</v>
      </c>
    </row>
    <row r="130" spans="6:7" ht="15.6" x14ac:dyDescent="0.3">
      <c r="F130" s="579" t="s">
        <v>791</v>
      </c>
      <c r="G130" s="1095" t="s">
        <v>792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/>
  <dimension ref="A5:M77"/>
  <sheetViews>
    <sheetView topLeftCell="F34" workbookViewId="0">
      <selection activeCell="G64" sqref="G64"/>
    </sheetView>
  </sheetViews>
  <sheetFormatPr defaultColWidth="9.109375" defaultRowHeight="13.2" x14ac:dyDescent="0.25"/>
  <cols>
    <col min="1" max="1" width="16.5546875" style="23" hidden="1" customWidth="1"/>
    <col min="2" max="2" width="9.109375" style="23" hidden="1" customWidth="1"/>
    <col min="3" max="3" width="25" style="23" hidden="1" customWidth="1"/>
    <col min="4" max="5" width="9.109375" style="23" hidden="1" customWidth="1"/>
    <col min="6" max="6" width="40.88671875" style="23" customWidth="1"/>
    <col min="7" max="7" width="90.44140625" style="23" customWidth="1"/>
    <col min="8" max="28" width="9.109375" style="23" customWidth="1"/>
    <col min="29" max="16384" width="9.109375" style="23"/>
  </cols>
  <sheetData>
    <row r="5" spans="1:11" x14ac:dyDescent="0.25">
      <c r="F5" s="432" t="s">
        <v>330</v>
      </c>
    </row>
    <row r="7" spans="1:11" x14ac:dyDescent="0.25">
      <c r="F7" s="433" t="s">
        <v>331</v>
      </c>
      <c r="G7" s="433" t="s">
        <v>332</v>
      </c>
    </row>
    <row r="8" spans="1:11" ht="15.6" x14ac:dyDescent="0.25">
      <c r="F8" s="434" t="s">
        <v>371</v>
      </c>
      <c r="G8" s="435" t="s">
        <v>334</v>
      </c>
    </row>
    <row r="9" spans="1:11" ht="15.6" x14ac:dyDescent="0.25">
      <c r="F9" s="436" t="s">
        <v>372</v>
      </c>
      <c r="G9" s="435" t="s">
        <v>336</v>
      </c>
    </row>
    <row r="11" spans="1:11" x14ac:dyDescent="0.25">
      <c r="A11" s="437" t="s">
        <v>337</v>
      </c>
      <c r="C11" s="437" t="s">
        <v>338</v>
      </c>
    </row>
    <row r="12" spans="1:11" x14ac:dyDescent="0.25">
      <c r="A12" s="438" t="s">
        <v>339</v>
      </c>
      <c r="B12" s="438"/>
      <c r="C12" s="438" t="s">
        <v>340</v>
      </c>
    </row>
    <row r="13" spans="1:11" s="449" customFormat="1" x14ac:dyDescent="0.25">
      <c r="A13" s="447">
        <v>200</v>
      </c>
      <c r="B13" s="447" t="s">
        <v>342</v>
      </c>
      <c r="C13" s="448" t="s">
        <v>343</v>
      </c>
      <c r="D13" s="448" t="s">
        <v>344</v>
      </c>
      <c r="E13" s="447"/>
      <c r="H13" s="450" t="str">
        <f>IFERROR(SMALL($F$13:$F$21,ROWS($D$13:D13)),"")</f>
        <v/>
      </c>
      <c r="K13" s="450" t="str">
        <f>IFERROR(INDEX($A$13:$C$21,$H13,COLUMNS(J$13:$J13)),"")</f>
        <v/>
      </c>
    </row>
    <row r="14" spans="1:11" s="449" customFormat="1" x14ac:dyDescent="0.25">
      <c r="A14" s="447">
        <v>120</v>
      </c>
      <c r="B14" s="447" t="s">
        <v>342</v>
      </c>
      <c r="C14" s="448" t="s">
        <v>346</v>
      </c>
      <c r="D14" s="448" t="s">
        <v>347</v>
      </c>
      <c r="E14" s="447"/>
      <c r="H14" s="450" t="str">
        <f>IFERROR(SMALL($F$13:$F$21,ROWS($D$13:D14)),"")</f>
        <v/>
      </c>
      <c r="K14" s="450" t="str">
        <f>IFERROR(INDEX($A$13:$C$21,$H14,COLUMNS(J$13:$J14)),"")</f>
        <v/>
      </c>
    </row>
    <row r="15" spans="1:11" s="449" customFormat="1" x14ac:dyDescent="0.25">
      <c r="A15" s="447">
        <v>60</v>
      </c>
      <c r="B15" s="447" t="s">
        <v>342</v>
      </c>
      <c r="C15" s="448" t="s">
        <v>348</v>
      </c>
      <c r="D15" s="448" t="s">
        <v>349</v>
      </c>
      <c r="E15" s="447"/>
      <c r="H15" s="450" t="str">
        <f>IFERROR(SMALL($F$13:$F$21,ROWS($D$13:D15)),"")</f>
        <v/>
      </c>
      <c r="K15" s="450" t="str">
        <f>IFERROR(INDEX($A$13:$C$21,$H15,COLUMNS(J$13:$J15)),"")</f>
        <v/>
      </c>
    </row>
    <row r="16" spans="1:11" s="449" customFormat="1" x14ac:dyDescent="0.25">
      <c r="A16" s="447">
        <v>150</v>
      </c>
      <c r="B16" s="447" t="s">
        <v>350</v>
      </c>
      <c r="E16" s="450"/>
      <c r="F16" s="450" t="str">
        <f>IF(ID!$G$63=B16,E16,"")</f>
        <v/>
      </c>
      <c r="H16" s="450" t="str">
        <f>IFERROR(SMALL($F$13:$F$21,ROWS($F$13:F16)),"")</f>
        <v/>
      </c>
    </row>
    <row r="17" spans="1:8" s="449" customFormat="1" x14ac:dyDescent="0.25">
      <c r="A17" s="447">
        <v>120</v>
      </c>
      <c r="B17" s="447" t="s">
        <v>350</v>
      </c>
      <c r="E17" s="450"/>
      <c r="F17" s="450" t="str">
        <f>IF(ID!$G$63=B17,E17,"")</f>
        <v/>
      </c>
      <c r="H17" s="450" t="str">
        <f>IFERROR(SMALL($F$13:$F$21,ROWS($F$13:F17)),"")</f>
        <v/>
      </c>
    </row>
    <row r="18" spans="1:8" s="449" customFormat="1" x14ac:dyDescent="0.25">
      <c r="A18" s="447">
        <v>60</v>
      </c>
      <c r="B18" s="447" t="s">
        <v>350</v>
      </c>
      <c r="E18" s="450"/>
      <c r="F18" s="450" t="str">
        <f>IF(ID!$G$63=B18,E18,"")</f>
        <v/>
      </c>
      <c r="H18" s="450" t="str">
        <f>IFERROR(SMALL($F$13:$F$21,ROWS($F$13:F18)),"")</f>
        <v/>
      </c>
    </row>
    <row r="19" spans="1:8" s="449" customFormat="1" x14ac:dyDescent="0.25">
      <c r="A19" s="447">
        <v>80</v>
      </c>
      <c r="B19" s="447" t="s">
        <v>351</v>
      </c>
      <c r="E19" s="450"/>
      <c r="F19" s="450" t="str">
        <f>IF(ID!$G$63=B19,E19,"")</f>
        <v/>
      </c>
      <c r="H19" s="450" t="str">
        <f>IFERROR(SMALL($F$13:$F$21,ROWS($F$13:F19)),"")</f>
        <v/>
      </c>
    </row>
    <row r="20" spans="1:8" s="449" customFormat="1" x14ac:dyDescent="0.25">
      <c r="A20" s="447">
        <v>60</v>
      </c>
      <c r="B20" s="447" t="s">
        <v>351</v>
      </c>
      <c r="E20" s="450"/>
      <c r="F20" s="450" t="str">
        <f>IF(ID!$G$63=B20,E20,"")</f>
        <v/>
      </c>
      <c r="H20" s="450" t="str">
        <f>IFERROR(SMALL($F$13:$F$21,ROWS($F$13:F20)),"")</f>
        <v/>
      </c>
    </row>
    <row r="21" spans="1:8" s="449" customFormat="1" x14ac:dyDescent="0.25">
      <c r="A21" s="447">
        <v>50</v>
      </c>
      <c r="B21" s="447" t="s">
        <v>351</v>
      </c>
      <c r="E21" s="450"/>
      <c r="F21" s="450" t="str">
        <f>IF(ID!$G$63=B21,E21,"")</f>
        <v/>
      </c>
      <c r="H21" s="450" t="str">
        <f>IFERROR(SMALL($F$13:$F$21,ROWS($F$13:F21)),"")</f>
        <v/>
      </c>
    </row>
    <row r="25" spans="1:8" x14ac:dyDescent="0.25">
      <c r="F25" s="444" t="s">
        <v>352</v>
      </c>
      <c r="G25" s="445"/>
    </row>
    <row r="26" spans="1:8" ht="15.6" x14ac:dyDescent="0.25">
      <c r="B26" s="22"/>
      <c r="F26" s="24" t="s">
        <v>159</v>
      </c>
      <c r="G26" s="24"/>
    </row>
    <row r="27" spans="1:8" ht="15.6" x14ac:dyDescent="0.25">
      <c r="F27" s="24" t="s">
        <v>373</v>
      </c>
      <c r="G27" s="24"/>
    </row>
    <row r="28" spans="1:8" ht="15.6" x14ac:dyDescent="0.25">
      <c r="F28" s="24"/>
      <c r="G28" s="24"/>
    </row>
    <row r="29" spans="1:8" ht="15.6" x14ac:dyDescent="0.25">
      <c r="F29" s="24"/>
      <c r="G29" s="24"/>
    </row>
    <row r="30" spans="1:8" ht="15.6" x14ac:dyDescent="0.25">
      <c r="F30" s="24"/>
      <c r="G30" s="24"/>
    </row>
    <row r="31" spans="1:8" ht="15.6" x14ac:dyDescent="0.25">
      <c r="F31" s="24"/>
      <c r="G31" s="24"/>
    </row>
    <row r="32" spans="1:8" ht="15.6" x14ac:dyDescent="0.25">
      <c r="F32" s="24"/>
      <c r="G32" s="24"/>
    </row>
    <row r="33" spans="2:13" x14ac:dyDescent="0.25">
      <c r="F33" s="451" t="s">
        <v>111</v>
      </c>
      <c r="G33" s="451" t="s">
        <v>111</v>
      </c>
    </row>
    <row r="36" spans="2:13" ht="15.6" x14ac:dyDescent="0.25">
      <c r="B36" s="22"/>
    </row>
    <row r="37" spans="2:13" ht="18" x14ac:dyDescent="0.25">
      <c r="B37" s="22"/>
      <c r="F37" s="452" t="s">
        <v>374</v>
      </c>
      <c r="G37" s="452"/>
      <c r="H37" s="452"/>
      <c r="I37" s="452"/>
      <c r="J37" s="124"/>
    </row>
    <row r="38" spans="2:13" ht="17.399999999999999" x14ac:dyDescent="0.25">
      <c r="B38" s="22"/>
      <c r="F38" s="453"/>
      <c r="G38" s="456"/>
      <c r="H38" s="454"/>
      <c r="I38" s="455"/>
      <c r="J38" s="437"/>
      <c r="K38" s="437"/>
      <c r="L38" s="437"/>
      <c r="M38" s="456" t="s">
        <v>375</v>
      </c>
    </row>
    <row r="39" spans="2:13" ht="15.6" x14ac:dyDescent="0.25">
      <c r="B39" s="22"/>
      <c r="F39" s="457" t="s">
        <v>376</v>
      </c>
    </row>
    <row r="40" spans="2:13" ht="15.6" x14ac:dyDescent="0.25">
      <c r="B40" s="22"/>
      <c r="F40" s="458" t="s">
        <v>377</v>
      </c>
    </row>
    <row r="41" spans="2:13" ht="15.6" x14ac:dyDescent="0.25">
      <c r="B41" s="22"/>
      <c r="F41" s="23" t="s">
        <v>265</v>
      </c>
      <c r="G41" s="23" t="s">
        <v>378</v>
      </c>
      <c r="H41" s="23" t="s">
        <v>266</v>
      </c>
      <c r="K41" s="23" t="str">
        <f>ID!E15</f>
        <v>Wardimanul Abrar</v>
      </c>
    </row>
    <row r="42" spans="2:13" ht="15.6" x14ac:dyDescent="0.25">
      <c r="B42" s="22"/>
      <c r="F42" s="45" t="s">
        <v>353</v>
      </c>
      <c r="G42" s="23" t="e">
        <f>ID!#REF!</f>
        <v>#REF!</v>
      </c>
      <c r="K42" s="23" t="e">
        <f>VLOOKUP(K41,F41:G49,2,0)</f>
        <v>#N/A</v>
      </c>
    </row>
    <row r="43" spans="2:13" ht="15.6" x14ac:dyDescent="0.25">
      <c r="B43" s="22"/>
      <c r="F43" s="47" t="s">
        <v>354</v>
      </c>
      <c r="G43" s="23" t="e">
        <f>ID!#REF!</f>
        <v>#REF!</v>
      </c>
    </row>
    <row r="44" spans="2:13" ht="15.6" x14ac:dyDescent="0.25">
      <c r="B44" s="22"/>
      <c r="F44" s="47" t="s">
        <v>355</v>
      </c>
      <c r="G44" s="23" t="e">
        <f>ID!#REF!</f>
        <v>#REF!</v>
      </c>
    </row>
    <row r="45" spans="2:13" x14ac:dyDescent="0.25">
      <c r="F45" s="47" t="s">
        <v>356</v>
      </c>
      <c r="G45" s="23" t="e">
        <f>ID!#REF!</f>
        <v>#REF!</v>
      </c>
    </row>
    <row r="46" spans="2:13" ht="13.8" x14ac:dyDescent="0.25">
      <c r="F46" s="45" t="s">
        <v>357</v>
      </c>
      <c r="G46" s="23" t="e">
        <f>ID!#REF!</f>
        <v>#REF!</v>
      </c>
    </row>
    <row r="47" spans="2:13" x14ac:dyDescent="0.25">
      <c r="F47" s="503" t="s">
        <v>840</v>
      </c>
      <c r="G47" s="23" t="e">
        <f>ID!#REF!</f>
        <v>#REF!</v>
      </c>
    </row>
    <row r="48" spans="2:13" x14ac:dyDescent="0.25">
      <c r="F48" s="47" t="s">
        <v>359</v>
      </c>
      <c r="G48" s="23" t="e">
        <f>ID!#REF!</f>
        <v>#REF!</v>
      </c>
    </row>
    <row r="49" spans="6:7" x14ac:dyDescent="0.25">
      <c r="F49" s="47" t="s">
        <v>360</v>
      </c>
      <c r="G49" s="23" t="e">
        <f>ID!#REF!</f>
        <v>#REF!</v>
      </c>
    </row>
    <row r="50" spans="6:7" x14ac:dyDescent="0.25">
      <c r="F50" s="47" t="s">
        <v>361</v>
      </c>
    </row>
    <row r="51" spans="6:7" x14ac:dyDescent="0.25">
      <c r="F51" s="47" t="s">
        <v>362</v>
      </c>
    </row>
    <row r="52" spans="6:7" x14ac:dyDescent="0.25">
      <c r="F52" s="47" t="s">
        <v>363</v>
      </c>
    </row>
    <row r="53" spans="6:7" ht="13.8" x14ac:dyDescent="0.25">
      <c r="F53" s="45" t="s">
        <v>364</v>
      </c>
    </row>
    <row r="54" spans="6:7" ht="13.8" x14ac:dyDescent="0.25">
      <c r="F54" s="45" t="s">
        <v>365</v>
      </c>
    </row>
    <row r="55" spans="6:7" x14ac:dyDescent="0.25">
      <c r="F55" s="47" t="s">
        <v>113</v>
      </c>
    </row>
    <row r="56" spans="6:7" x14ac:dyDescent="0.25">
      <c r="F56" s="47" t="s">
        <v>366</v>
      </c>
    </row>
    <row r="57" spans="6:7" ht="13.8" x14ac:dyDescent="0.25">
      <c r="F57" s="45" t="s">
        <v>367</v>
      </c>
    </row>
    <row r="58" spans="6:7" ht="13.8" x14ac:dyDescent="0.25">
      <c r="F58" s="45" t="s">
        <v>368</v>
      </c>
    </row>
    <row r="59" spans="6:7" ht="13.8" x14ac:dyDescent="0.25">
      <c r="F59" s="45" t="s">
        <v>369</v>
      </c>
    </row>
    <row r="60" spans="6:7" ht="13.8" x14ac:dyDescent="0.25">
      <c r="F60" s="45" t="s">
        <v>370</v>
      </c>
    </row>
    <row r="63" spans="6:7" ht="15.6" x14ac:dyDescent="0.25">
      <c r="F63" s="124" t="s">
        <v>1</v>
      </c>
    </row>
    <row r="64" spans="6:7" ht="15.6" x14ac:dyDescent="0.25">
      <c r="F64" s="124" t="s">
        <v>379</v>
      </c>
    </row>
    <row r="73" spans="6:6" x14ac:dyDescent="0.25">
      <c r="F73" s="459" t="s">
        <v>225</v>
      </c>
    </row>
    <row r="74" spans="6:6" ht="15.6" x14ac:dyDescent="0.25">
      <c r="F74" s="654">
        <v>80</v>
      </c>
    </row>
    <row r="75" spans="6:6" ht="15.6" x14ac:dyDescent="0.25">
      <c r="F75" s="654">
        <v>70</v>
      </c>
    </row>
    <row r="76" spans="6:6" ht="15.6" x14ac:dyDescent="0.25">
      <c r="F76" s="654">
        <v>60</v>
      </c>
    </row>
    <row r="77" spans="6:6" ht="15.6" x14ac:dyDescent="0.25">
      <c r="F77" s="654">
        <v>120</v>
      </c>
    </row>
  </sheetData>
  <sheetProtection algorithmName="SHA-512" hashValue="faIu2LjL6vUA+tchbzPIGV+D5KPgsDb/+EVEMdi9YmrylzaceuYcAXyZN5ui0Jrp3kfNwBZjXx+6UlqCs4sYoQ==" saltValue="3/2T9Aee6S1PgMxcjMGb9w==" spinCount="100000"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2:W225"/>
  <sheetViews>
    <sheetView topLeftCell="N1" workbookViewId="0">
      <selection activeCell="R30" sqref="R30"/>
    </sheetView>
  </sheetViews>
  <sheetFormatPr defaultColWidth="9.109375" defaultRowHeight="10.199999999999999" x14ac:dyDescent="0.2"/>
  <cols>
    <col min="1" max="1" width="9.109375" style="11"/>
    <col min="2" max="2" width="9.33203125" style="11" bestFit="1" customWidth="1"/>
    <col min="3" max="3" width="11.5546875" style="11" customWidth="1"/>
    <col min="4" max="5" width="9.33203125" style="11" bestFit="1" customWidth="1"/>
    <col min="6" max="6" width="13.33203125" style="11" customWidth="1"/>
    <col min="7" max="7" width="9.33203125" style="11" bestFit="1" customWidth="1"/>
    <col min="8" max="8" width="10.44140625" style="11" bestFit="1" customWidth="1"/>
    <col min="9" max="9" width="68.88671875" style="11" customWidth="1"/>
    <col min="10" max="14" width="9.109375" style="11" customWidth="1"/>
    <col min="15" max="21" width="12.33203125" style="11" customWidth="1"/>
    <col min="22" max="22" width="10.44140625" style="11" customWidth="1"/>
    <col min="23" max="23" width="70" style="11" customWidth="1"/>
    <col min="24" max="24" width="9.109375" style="11" customWidth="1"/>
    <col min="25" max="16384" width="9.109375" style="11"/>
  </cols>
  <sheetData>
    <row r="2" spans="2:23" x14ac:dyDescent="0.2">
      <c r="W2" s="12" t="s">
        <v>304</v>
      </c>
    </row>
    <row r="7" spans="2:23" x14ac:dyDescent="0.2">
      <c r="B7" s="13" t="s">
        <v>380</v>
      </c>
      <c r="C7" s="13" t="s">
        <v>381</v>
      </c>
      <c r="D7" s="13" t="s">
        <v>382</v>
      </c>
      <c r="E7" s="13" t="s">
        <v>383</v>
      </c>
      <c r="F7" s="13" t="s">
        <v>384</v>
      </c>
      <c r="G7" s="13" t="s">
        <v>385</v>
      </c>
      <c r="H7" s="32" t="s">
        <v>311</v>
      </c>
      <c r="I7" s="12" t="s">
        <v>304</v>
      </c>
      <c r="J7" s="33" t="s">
        <v>313</v>
      </c>
      <c r="K7" s="33" t="s">
        <v>314</v>
      </c>
      <c r="L7" s="33" t="s">
        <v>315</v>
      </c>
      <c r="O7" s="13" t="s">
        <v>380</v>
      </c>
      <c r="P7" s="13" t="s">
        <v>381</v>
      </c>
      <c r="Q7" s="13" t="s">
        <v>382</v>
      </c>
      <c r="R7" s="13" t="s">
        <v>383</v>
      </c>
      <c r="S7" s="13" t="s">
        <v>384</v>
      </c>
      <c r="T7" s="13" t="s">
        <v>385</v>
      </c>
      <c r="U7" s="41" t="s">
        <v>311</v>
      </c>
    </row>
    <row r="8" spans="2:23" x14ac:dyDescent="0.2">
      <c r="B8" s="9">
        <v>15</v>
      </c>
      <c r="C8" s="34">
        <v>-0.1</v>
      </c>
      <c r="D8" s="35">
        <v>0.3</v>
      </c>
      <c r="E8" s="9">
        <v>30</v>
      </c>
      <c r="F8" s="34">
        <v>-9.6999999999999993</v>
      </c>
      <c r="G8" s="35">
        <v>3.1</v>
      </c>
      <c r="H8" s="968" t="s">
        <v>525</v>
      </c>
      <c r="I8" s="31" t="s">
        <v>281</v>
      </c>
      <c r="J8" s="14">
        <f>ROWS(I$8:$I8)</f>
        <v>1</v>
      </c>
      <c r="K8" s="14" t="str">
        <f>IF(ID!$B$89=I8,J8,"")</f>
        <v/>
      </c>
      <c r="L8" s="14">
        <f>IFERROR(SMALL($K$8:$K$224,ROWS($K$8:K8)),"")</f>
        <v>11</v>
      </c>
      <c r="O8" s="14">
        <f>IFERROR(INDEX($B$8:$H$224,$L8,COLUMNS($N$8:N8)),"")</f>
        <v>15</v>
      </c>
      <c r="P8" s="14">
        <f>IFERROR(INDEX($B$8:$H$224,$L8,COLUMNS($N$8:O8)),"")</f>
        <v>0.4</v>
      </c>
      <c r="Q8" s="14">
        <f>IFERROR(INDEX($B$8:$H$224,$L8,COLUMNS($N$8:P8)),"")</f>
        <v>0.8</v>
      </c>
      <c r="R8" s="14">
        <f>IFERROR(INDEX($B$8:$H$224,$L8,COLUMNS($N$8:Q8)),"")</f>
        <v>30</v>
      </c>
      <c r="S8" s="14">
        <f>IFERROR(INDEX($B$8:$H$224,$L8,COLUMNS($N$8:R8)),"")</f>
        <v>-6.9</v>
      </c>
      <c r="T8" s="14">
        <f>IFERROR(INDEX($B$8:$H$224,$L8,COLUMNS($N$8:S8)),"")</f>
        <v>2.2000000000000002</v>
      </c>
      <c r="U8" s="14" t="str">
        <f>IFERROR(INDEX($B$8:$H$224,$L8,COLUMNS($N$8:T8)),"")</f>
        <v>2.6.2021</v>
      </c>
    </row>
    <row r="9" spans="2:23" x14ac:dyDescent="0.2">
      <c r="B9" s="9">
        <v>20</v>
      </c>
      <c r="C9" s="36">
        <v>0.1</v>
      </c>
      <c r="D9" s="35">
        <v>0.3</v>
      </c>
      <c r="E9" s="9">
        <v>40</v>
      </c>
      <c r="F9" s="36">
        <v>-9.6999999999999993</v>
      </c>
      <c r="G9" s="35">
        <v>3.1</v>
      </c>
      <c r="H9" s="968" t="s">
        <v>525</v>
      </c>
      <c r="I9" s="31" t="s">
        <v>281</v>
      </c>
      <c r="J9" s="14">
        <f>ROWS(I$8:$I9)</f>
        <v>2</v>
      </c>
      <c r="K9" s="14" t="str">
        <f>IF(ID!$B$89=I9,J9,"")</f>
        <v/>
      </c>
      <c r="L9" s="14">
        <f>IFERROR(SMALL($K$8:$K$224,ROWS($K$8:K9)),"")</f>
        <v>12</v>
      </c>
      <c r="O9" s="14">
        <f>IFERROR(INDEX($B$8:$H$224,$L9,COLUMNS($N$8:N9)),"")</f>
        <v>20</v>
      </c>
      <c r="P9" s="14">
        <f>IFERROR(INDEX($B$8:$H$224,$L9,COLUMNS($N$8:O9)),"")</f>
        <v>0.7</v>
      </c>
      <c r="Q9" s="14">
        <f>IFERROR(INDEX($B$8:$H$224,$L9,COLUMNS($N$8:P9)),"")</f>
        <v>0.8</v>
      </c>
      <c r="R9" s="14">
        <f>IFERROR(INDEX($B$8:$H$224,$L9,COLUMNS($N$8:Q9)),"")</f>
        <v>40</v>
      </c>
      <c r="S9" s="14">
        <f>IFERROR(INDEX($B$8:$H$224,$L9,COLUMNS($N$8:R9)),"")</f>
        <v>-6.2</v>
      </c>
      <c r="T9" s="14">
        <f>IFERROR(INDEX($B$8:$H$224,$L9,COLUMNS($N$8:S9)),"")</f>
        <v>2.2000000000000002</v>
      </c>
      <c r="U9" s="14">
        <f>IFERROR(INDEX($B$8:$H$224,$L9,COLUMNS($N$8:T9)),"")</f>
        <v>0</v>
      </c>
    </row>
    <row r="10" spans="2:23" x14ac:dyDescent="0.2">
      <c r="B10" s="9">
        <v>25</v>
      </c>
      <c r="C10" s="36">
        <v>0.2</v>
      </c>
      <c r="D10" s="35">
        <v>0.3</v>
      </c>
      <c r="E10" s="9">
        <v>50</v>
      </c>
      <c r="F10" s="36">
        <v>-9.1</v>
      </c>
      <c r="G10" s="35">
        <v>3.1</v>
      </c>
      <c r="H10" s="968" t="s">
        <v>525</v>
      </c>
      <c r="I10" s="31" t="s">
        <v>281</v>
      </c>
      <c r="J10" s="14">
        <f>ROWS(I$8:$I10)</f>
        <v>3</v>
      </c>
      <c r="K10" s="14" t="str">
        <f>IF(ID!$B$89=I10,J10,"")</f>
        <v/>
      </c>
      <c r="L10" s="14">
        <f>IFERROR(SMALL($K$8:$K$224,ROWS($K$8:K10)),"")</f>
        <v>13</v>
      </c>
      <c r="O10" s="14">
        <f>IFERROR(INDEX($B$8:$H$224,$L10,COLUMNS($N$8:N10)),"")</f>
        <v>25</v>
      </c>
      <c r="P10" s="14">
        <f>IFERROR(INDEX($B$8:$H$224,$L10,COLUMNS($N$8:O10)),"")</f>
        <v>0.5</v>
      </c>
      <c r="Q10" s="14">
        <f>IFERROR(INDEX($B$8:$H$224,$L10,COLUMNS($N$8:P10)),"")</f>
        <v>0.8</v>
      </c>
      <c r="R10" s="14">
        <f>IFERROR(INDEX($B$8:$H$224,$L10,COLUMNS($N$8:Q10)),"")</f>
        <v>50</v>
      </c>
      <c r="S10" s="14">
        <f>IFERROR(INDEX($B$8:$H$224,$L10,COLUMNS($N$8:R10)),"")</f>
        <v>-5.3</v>
      </c>
      <c r="T10" s="14">
        <f>IFERROR(INDEX($B$8:$H$224,$L10,COLUMNS($N$8:S10)),"")</f>
        <v>2.2000000000000002</v>
      </c>
      <c r="U10" s="14">
        <f>IFERROR(INDEX($B$8:$H$224,$L10,COLUMNS($N$8:T10)),"")</f>
        <v>0</v>
      </c>
    </row>
    <row r="11" spans="2:23" x14ac:dyDescent="0.2">
      <c r="B11" s="9">
        <v>30</v>
      </c>
      <c r="C11" s="36">
        <v>0.1</v>
      </c>
      <c r="D11" s="35">
        <v>0.3</v>
      </c>
      <c r="E11" s="9">
        <v>60</v>
      </c>
      <c r="F11" s="36">
        <v>-7.9</v>
      </c>
      <c r="G11" s="35">
        <v>3.1</v>
      </c>
      <c r="H11" s="968" t="s">
        <v>525</v>
      </c>
      <c r="I11" s="31" t="s">
        <v>281</v>
      </c>
      <c r="J11" s="14">
        <f>ROWS(I$8:$I11)</f>
        <v>4</v>
      </c>
      <c r="K11" s="14" t="str">
        <f>IF(ID!$B$89=I11,J11,"")</f>
        <v/>
      </c>
      <c r="L11" s="14">
        <f>IFERROR(SMALL($K$8:$K$224,ROWS($K$8:K11)),"")</f>
        <v>14</v>
      </c>
      <c r="O11" s="14">
        <f>IFERROR(INDEX($B$8:$H$224,$L11,COLUMNS($N$8:N11)),"")</f>
        <v>30</v>
      </c>
      <c r="P11" s="14">
        <f>IFERROR(INDEX($B$8:$H$224,$L11,COLUMNS($N$8:O11)),"")</f>
        <v>0.2</v>
      </c>
      <c r="Q11" s="14">
        <f>IFERROR(INDEX($B$8:$H$224,$L11,COLUMNS($N$8:P11)),"")</f>
        <v>0.8</v>
      </c>
      <c r="R11" s="14">
        <f>IFERROR(INDEX($B$8:$H$224,$L11,COLUMNS($N$8:Q11)),"")</f>
        <v>60</v>
      </c>
      <c r="S11" s="14">
        <f>IFERROR(INDEX($B$8:$H$224,$L11,COLUMNS($N$8:R11)),"")</f>
        <v>-4</v>
      </c>
      <c r="T11" s="14">
        <f>IFERROR(INDEX($B$8:$H$224,$L11,COLUMNS($N$8:S11)),"")</f>
        <v>2.2000000000000002</v>
      </c>
      <c r="U11" s="14">
        <f>IFERROR(INDEX($B$8:$H$224,$L11,COLUMNS($N$8:T11)),"")</f>
        <v>0</v>
      </c>
    </row>
    <row r="12" spans="2:23" x14ac:dyDescent="0.2">
      <c r="B12" s="9">
        <v>35</v>
      </c>
      <c r="C12" s="36">
        <v>0.1</v>
      </c>
      <c r="D12" s="35">
        <v>0.3</v>
      </c>
      <c r="E12" s="9">
        <v>70</v>
      </c>
      <c r="F12" s="14">
        <v>-6.1</v>
      </c>
      <c r="G12" s="35">
        <v>3.1</v>
      </c>
      <c r="H12" s="968" t="s">
        <v>525</v>
      </c>
      <c r="I12" s="31" t="s">
        <v>281</v>
      </c>
      <c r="J12" s="14">
        <f>ROWS(I$8:$I12)</f>
        <v>5</v>
      </c>
      <c r="K12" s="14" t="str">
        <f>IF(ID!$B$89=I12,J12,"")</f>
        <v/>
      </c>
      <c r="L12" s="14">
        <f>IFERROR(SMALL($K$8:$K$224,ROWS($K$8:K12)),"")</f>
        <v>15</v>
      </c>
      <c r="O12" s="14">
        <f>IFERROR(INDEX($B$8:$H$224,$L12,COLUMNS($N$8:N12)),"")</f>
        <v>35</v>
      </c>
      <c r="P12" s="14">
        <f>IFERROR(INDEX($B$8:$H$224,$L12,COLUMNS($N$8:O12)),"")</f>
        <v>-0.1</v>
      </c>
      <c r="Q12" s="14">
        <f>IFERROR(INDEX($B$8:$H$224,$L12,COLUMNS($N$8:P12)),"")</f>
        <v>0.8</v>
      </c>
      <c r="R12" s="14">
        <f>IFERROR(INDEX($B$8:$H$224,$L12,COLUMNS($N$8:Q12)),"")</f>
        <v>70</v>
      </c>
      <c r="S12" s="14">
        <f>IFERROR(INDEX($B$8:$H$224,$L12,COLUMNS($N$8:R12)),"")</f>
        <v>-2.4</v>
      </c>
      <c r="T12" s="14">
        <f>IFERROR(INDEX($B$8:$H$224,$L12,COLUMNS($N$8:S12)),"")</f>
        <v>2.2000000000000002</v>
      </c>
      <c r="U12" s="14">
        <f>IFERROR(INDEX($B$8:$H$224,$L12,COLUMNS($N$8:T12)),"")</f>
        <v>0</v>
      </c>
    </row>
    <row r="13" spans="2:23" x14ac:dyDescent="0.2">
      <c r="B13" s="10">
        <v>37</v>
      </c>
      <c r="C13" s="36">
        <v>0.1</v>
      </c>
      <c r="D13" s="35">
        <v>0.3</v>
      </c>
      <c r="E13" s="10">
        <v>80</v>
      </c>
      <c r="F13" s="19">
        <v>-3.8</v>
      </c>
      <c r="G13" s="35">
        <v>3.1</v>
      </c>
      <c r="H13" s="968" t="s">
        <v>525</v>
      </c>
      <c r="I13" s="31" t="s">
        <v>281</v>
      </c>
      <c r="J13" s="14">
        <f>ROWS(I$8:$I13)</f>
        <v>6</v>
      </c>
      <c r="K13" s="14" t="str">
        <f>IF(ID!$B$89=I13,J13,"")</f>
        <v/>
      </c>
      <c r="L13" s="14">
        <f>IFERROR(SMALL($K$8:$K$224,ROWS($K$8:K13)),"")</f>
        <v>16</v>
      </c>
      <c r="O13" s="14">
        <f>IFERROR(INDEX($B$8:$H$224,$L13,COLUMNS($N$8:N13)),"")</f>
        <v>37</v>
      </c>
      <c r="P13" s="14">
        <f>IFERROR(INDEX($B$8:$H$224,$L13,COLUMNS($N$8:O13)),"")</f>
        <v>-0.2</v>
      </c>
      <c r="Q13" s="14">
        <f>IFERROR(INDEX($B$8:$H$224,$L13,COLUMNS($N$8:P13)),"")</f>
        <v>0.8</v>
      </c>
      <c r="R13" s="14">
        <f>IFERROR(INDEX($B$8:$H$224,$L13,COLUMNS($N$8:Q13)),"")</f>
        <v>80</v>
      </c>
      <c r="S13" s="14">
        <f>IFERROR(INDEX($B$8:$H$224,$L13,COLUMNS($N$8:R13)),"")</f>
        <v>-0.5</v>
      </c>
      <c r="T13" s="14">
        <f>IFERROR(INDEX($B$8:$H$224,$L13,COLUMNS($N$8:S13)),"")</f>
        <v>2.2000000000000002</v>
      </c>
      <c r="U13" s="14">
        <f>IFERROR(INDEX($B$8:$H$224,$L13,COLUMNS($N$8:T13)),"")</f>
        <v>0</v>
      </c>
    </row>
    <row r="14" spans="2:23" x14ac:dyDescent="0.2">
      <c r="B14" s="10">
        <v>40</v>
      </c>
      <c r="C14" s="36">
        <v>0.2</v>
      </c>
      <c r="D14" s="35">
        <v>0.3</v>
      </c>
      <c r="E14" s="10">
        <v>90</v>
      </c>
      <c r="F14" s="11">
        <v>-0.8</v>
      </c>
      <c r="G14" s="35">
        <v>3.1</v>
      </c>
      <c r="H14" s="968" t="s">
        <v>525</v>
      </c>
      <c r="I14" s="31" t="s">
        <v>281</v>
      </c>
      <c r="J14" s="14">
        <f>ROWS(I$8:$I14)</f>
        <v>7</v>
      </c>
      <c r="K14" s="14" t="str">
        <f>IF(ID!$B$89=I14,J14,"")</f>
        <v/>
      </c>
      <c r="L14" s="14">
        <f>IFERROR(SMALL($K$8:$K$224,ROWS($K$8:K14)),"")</f>
        <v>17</v>
      </c>
      <c r="O14" s="14">
        <f>IFERROR(INDEX($B$8:$H$224,$L14,COLUMNS($N$8:N14)),"")</f>
        <v>40</v>
      </c>
      <c r="P14" s="14">
        <f>IFERROR(INDEX($B$8:$H$224,$L14,COLUMNS($N$8:O14)),"")</f>
        <v>-0.1</v>
      </c>
      <c r="Q14" s="14">
        <f>IFERROR(INDEX($B$8:$H$224,$L14,COLUMNS($N$8:P14)),"")</f>
        <v>0.8</v>
      </c>
      <c r="R14" s="14">
        <f>IFERROR(INDEX($B$8:$H$224,$L14,COLUMNS($N$8:Q14)),"")</f>
        <v>90</v>
      </c>
      <c r="S14" s="14">
        <f>IFERROR(INDEX($B$8:$H$224,$L14,COLUMNS($N$8:R14)),"")</f>
        <v>1.7</v>
      </c>
      <c r="T14" s="14">
        <f>IFERROR(INDEX($B$8:$H$224,$L14,COLUMNS($N$8:S14)),"")</f>
        <v>2.2000000000000002</v>
      </c>
      <c r="U14" s="14">
        <f>IFERROR(INDEX($B$8:$H$224,$L14,COLUMNS($N$8:T14)),"")</f>
        <v>0</v>
      </c>
    </row>
    <row r="15" spans="2:23" x14ac:dyDescent="0.2">
      <c r="J15" s="14">
        <f>ROWS(I$8:$I15)</f>
        <v>8</v>
      </c>
      <c r="K15" s="14" t="str">
        <f>IF(ID!$B$89=I15,J15,"")</f>
        <v/>
      </c>
      <c r="L15" s="14" t="str">
        <f>IFERROR(SMALL($K$8:$K$224,ROWS($K$8:K15)),"")</f>
        <v/>
      </c>
      <c r="P15" s="15" t="s">
        <v>387</v>
      </c>
      <c r="Q15" s="11">
        <f>MAX(Q8:Q14)</f>
        <v>0.8</v>
      </c>
      <c r="S15" s="15" t="s">
        <v>387</v>
      </c>
      <c r="T15" s="11">
        <f>MAX(T8:T14)</f>
        <v>2.2000000000000002</v>
      </c>
    </row>
    <row r="16" spans="2:23" s="16" customFormat="1" x14ac:dyDescent="0.2">
      <c r="J16" s="14">
        <f>ROWS(I$8:$I16)</f>
        <v>9</v>
      </c>
      <c r="K16" s="14" t="str">
        <f>IF(ID!$B$89=I16,J16,"")</f>
        <v/>
      </c>
      <c r="L16" s="14" t="str">
        <f>IFERROR(SMALL($K$8:$K$174,ROWS($K$8:K16)),"")</f>
        <v/>
      </c>
      <c r="W16" s="11"/>
    </row>
    <row r="17" spans="2:23" x14ac:dyDescent="0.2">
      <c r="J17" s="14">
        <f>ROWS(I$8:$I17)</f>
        <v>10</v>
      </c>
      <c r="K17" s="14" t="str">
        <f>IF(ID!$B$89=I17,J17,"")</f>
        <v/>
      </c>
      <c r="L17" s="14" t="str">
        <f>IFERROR(SMALL($K$8:$K$174,ROWS($K$8:K17)),"")</f>
        <v/>
      </c>
    </row>
    <row r="18" spans="2:23" ht="13.2" x14ac:dyDescent="0.2">
      <c r="B18" s="9">
        <v>15</v>
      </c>
      <c r="C18" s="34">
        <v>0.4</v>
      </c>
      <c r="D18" s="35">
        <v>0.8</v>
      </c>
      <c r="E18" s="9">
        <v>30</v>
      </c>
      <c r="F18" s="34">
        <v>-6.9</v>
      </c>
      <c r="G18" s="35">
        <v>2.2000000000000002</v>
      </c>
      <c r="H18" s="969" t="s">
        <v>501</v>
      </c>
      <c r="I18" s="31" t="s">
        <v>283</v>
      </c>
      <c r="J18" s="14">
        <f>ROWS(I$8:$I18)</f>
        <v>11</v>
      </c>
      <c r="K18" s="14">
        <f>IF(ID!$B$89=I18,J18,"")</f>
        <v>11</v>
      </c>
      <c r="L18" s="14" t="str">
        <f>IFERROR(SMALL($K$8:$K$174,ROWS($K$8:K18)),"")</f>
        <v/>
      </c>
    </row>
    <row r="19" spans="2:23" ht="13.2" x14ac:dyDescent="0.2">
      <c r="B19" s="9">
        <v>20</v>
      </c>
      <c r="C19" s="36">
        <v>0.7</v>
      </c>
      <c r="D19" s="35">
        <v>0.8</v>
      </c>
      <c r="E19" s="9">
        <v>40</v>
      </c>
      <c r="F19" s="36">
        <v>-6.2</v>
      </c>
      <c r="G19" s="35">
        <v>2.2000000000000002</v>
      </c>
      <c r="H19" s="969"/>
      <c r="I19" s="31" t="s">
        <v>283</v>
      </c>
      <c r="J19" s="14">
        <f>ROWS(I$8:$I19)</f>
        <v>12</v>
      </c>
      <c r="K19" s="14">
        <f>IF(ID!$B$89=I19,J19,"")</f>
        <v>12</v>
      </c>
      <c r="L19" s="14" t="str">
        <f>IFERROR(SMALL($K$8:$K$174,ROWS($K$8:K19)),"")</f>
        <v/>
      </c>
    </row>
    <row r="20" spans="2:23" ht="13.2" x14ac:dyDescent="0.2">
      <c r="B20" s="9">
        <v>25</v>
      </c>
      <c r="C20" s="36">
        <v>0.5</v>
      </c>
      <c r="D20" s="35">
        <v>0.8</v>
      </c>
      <c r="E20" s="9">
        <v>50</v>
      </c>
      <c r="F20" s="36">
        <v>-5.3</v>
      </c>
      <c r="G20" s="35">
        <v>2.2000000000000002</v>
      </c>
      <c r="H20" s="969"/>
      <c r="I20" s="31" t="s">
        <v>283</v>
      </c>
      <c r="J20" s="14">
        <f>ROWS(I$8:$I20)</f>
        <v>13</v>
      </c>
      <c r="K20" s="14">
        <f>IF(ID!$B$89=I20,J20,"")</f>
        <v>13</v>
      </c>
      <c r="L20" s="14" t="str">
        <f>IFERROR(SMALL($K$8:$K$174,ROWS($K$8:K20)),"")</f>
        <v/>
      </c>
    </row>
    <row r="21" spans="2:23" ht="13.2" x14ac:dyDescent="0.2">
      <c r="B21" s="9">
        <v>30</v>
      </c>
      <c r="C21" s="36">
        <v>0.2</v>
      </c>
      <c r="D21" s="35">
        <v>0.8</v>
      </c>
      <c r="E21" s="9">
        <v>60</v>
      </c>
      <c r="F21" s="36">
        <v>-4</v>
      </c>
      <c r="G21" s="35">
        <v>2.2000000000000002</v>
      </c>
      <c r="H21" s="969"/>
      <c r="I21" s="31" t="s">
        <v>283</v>
      </c>
      <c r="J21" s="14">
        <f>ROWS(I$8:$I21)</f>
        <v>14</v>
      </c>
      <c r="K21" s="14">
        <f>IF(ID!$B$89=I21,J21,"")</f>
        <v>14</v>
      </c>
      <c r="L21" s="14" t="str">
        <f>IFERROR(SMALL($K$8:$K$174,ROWS($K$8:K21)),"")</f>
        <v/>
      </c>
    </row>
    <row r="22" spans="2:23" ht="13.2" x14ac:dyDescent="0.2">
      <c r="B22" s="9">
        <v>35</v>
      </c>
      <c r="C22" s="36">
        <v>-0.1</v>
      </c>
      <c r="D22" s="35">
        <v>0.8</v>
      </c>
      <c r="E22" s="9">
        <v>70</v>
      </c>
      <c r="F22" s="36">
        <v>-2.4</v>
      </c>
      <c r="G22" s="35">
        <v>2.2000000000000002</v>
      </c>
      <c r="H22" s="969"/>
      <c r="I22" s="31" t="s">
        <v>283</v>
      </c>
      <c r="J22" s="14">
        <f>ROWS(I$8:$I22)</f>
        <v>15</v>
      </c>
      <c r="K22" s="14">
        <f>IF(ID!$B$89=I22,J22,"")</f>
        <v>15</v>
      </c>
      <c r="L22" s="14" t="str">
        <f>IFERROR(SMALL($K$8:$K$174,ROWS($K$8:K22)),"")</f>
        <v/>
      </c>
    </row>
    <row r="23" spans="2:23" ht="13.2" x14ac:dyDescent="0.2">
      <c r="B23" s="10">
        <v>37</v>
      </c>
      <c r="C23" s="14">
        <v>-0.2</v>
      </c>
      <c r="D23" s="35">
        <v>0.8</v>
      </c>
      <c r="E23" s="10">
        <v>80</v>
      </c>
      <c r="F23" s="14">
        <v>-0.5</v>
      </c>
      <c r="G23" s="35">
        <v>2.2000000000000002</v>
      </c>
      <c r="H23" s="969"/>
      <c r="I23" s="31" t="s">
        <v>283</v>
      </c>
      <c r="J23" s="14">
        <f>ROWS(I$8:$I23)</f>
        <v>16</v>
      </c>
      <c r="K23" s="14">
        <f>IF(ID!$B$89=I23,J23,"")</f>
        <v>16</v>
      </c>
      <c r="L23" s="14" t="str">
        <f>IFERROR(SMALL($K$8:$K$174,ROWS($K$8:K23)),"")</f>
        <v/>
      </c>
    </row>
    <row r="24" spans="2:23" ht="13.2" x14ac:dyDescent="0.2">
      <c r="B24" s="10">
        <v>40</v>
      </c>
      <c r="C24" s="14">
        <v>-0.1</v>
      </c>
      <c r="D24" s="35">
        <v>0.8</v>
      </c>
      <c r="E24" s="10">
        <v>90</v>
      </c>
      <c r="F24" s="14">
        <v>1.7</v>
      </c>
      <c r="G24" s="35">
        <v>2.2000000000000002</v>
      </c>
      <c r="H24" s="969"/>
      <c r="I24" s="31" t="s">
        <v>283</v>
      </c>
      <c r="J24" s="14">
        <f>ROWS(I$8:$I24)</f>
        <v>17</v>
      </c>
      <c r="K24" s="14">
        <f>IF(ID!$B$89=I24,J24,"")</f>
        <v>17</v>
      </c>
      <c r="L24" s="14" t="str">
        <f>IFERROR(SMALL($K$8:$K$174,ROWS($K$8:K24)),"")</f>
        <v/>
      </c>
    </row>
    <row r="25" spans="2:23" x14ac:dyDescent="0.2">
      <c r="J25" s="14">
        <f>ROWS(I$8:$I25)</f>
        <v>18</v>
      </c>
      <c r="K25" s="14" t="str">
        <f>IF(ID!$B$89=I25,J25,"")</f>
        <v/>
      </c>
      <c r="L25" s="14" t="str">
        <f>IFERROR(SMALL($K$8:$K$174,ROWS($K$8:K25)),"")</f>
        <v/>
      </c>
    </row>
    <row r="26" spans="2:23" s="16" customFormat="1" x14ac:dyDescent="0.2">
      <c r="J26" s="14">
        <f>ROWS(I$8:$I26)</f>
        <v>19</v>
      </c>
      <c r="K26" s="14" t="str">
        <f>IF(ID!$B$89=I26,J26,"")</f>
        <v/>
      </c>
      <c r="L26" s="14" t="str">
        <f>IFERROR(SMALL($K$8:$K$174,ROWS($K$8:K26)),"")</f>
        <v/>
      </c>
      <c r="W26" s="11"/>
    </row>
    <row r="27" spans="2:23" x14ac:dyDescent="0.2">
      <c r="J27" s="14">
        <f>ROWS(I$8:$I27)</f>
        <v>20</v>
      </c>
      <c r="K27" s="14" t="str">
        <f>IF(ID!$B$89=I27,J27,"")</f>
        <v/>
      </c>
      <c r="L27" s="14" t="str">
        <f>IFERROR(SMALL($K$8:$K$174,ROWS($K$8:K27)),"")</f>
        <v/>
      </c>
    </row>
    <row r="28" spans="2:23" x14ac:dyDescent="0.2">
      <c r="B28" s="9">
        <v>15</v>
      </c>
      <c r="C28" s="34">
        <v>0.3</v>
      </c>
      <c r="D28" s="35">
        <v>0.3</v>
      </c>
      <c r="E28" s="36">
        <v>35</v>
      </c>
      <c r="F28" s="34">
        <v>-5.2</v>
      </c>
      <c r="G28" s="35">
        <v>1.8</v>
      </c>
      <c r="H28" s="980" t="s">
        <v>528</v>
      </c>
      <c r="I28" s="31" t="s">
        <v>298</v>
      </c>
      <c r="J28" s="14">
        <f>ROWS(I$8:$I28)</f>
        <v>21</v>
      </c>
      <c r="K28" s="14" t="str">
        <f>IF(ID!$B$89=I28,J28,"")</f>
        <v/>
      </c>
      <c r="L28" s="14" t="str">
        <f>IFERROR(SMALL($K$8:$K$174,ROWS($K$8:K28)),"")</f>
        <v/>
      </c>
    </row>
    <row r="29" spans="2:23" x14ac:dyDescent="0.2">
      <c r="B29" s="9">
        <v>20</v>
      </c>
      <c r="C29" s="36">
        <v>0.4</v>
      </c>
      <c r="D29" s="35">
        <v>0.3</v>
      </c>
      <c r="E29" s="36">
        <v>40</v>
      </c>
      <c r="F29" s="36">
        <v>-5.5</v>
      </c>
      <c r="G29" s="35">
        <v>1.8</v>
      </c>
      <c r="H29" s="980" t="s">
        <v>528</v>
      </c>
      <c r="I29" s="31" t="s">
        <v>298</v>
      </c>
      <c r="J29" s="14">
        <f>ROWS(I$8:$I29)</f>
        <v>22</v>
      </c>
      <c r="K29" s="14" t="str">
        <f>IF(ID!$B$89=I29,J29,"")</f>
        <v/>
      </c>
      <c r="L29" s="14" t="str">
        <f>IFERROR(SMALL($K$8:$K$174,ROWS($K$8:K29)),"")</f>
        <v/>
      </c>
    </row>
    <row r="30" spans="2:23" x14ac:dyDescent="0.2">
      <c r="B30" s="9">
        <v>25</v>
      </c>
      <c r="C30" s="36">
        <v>0.4</v>
      </c>
      <c r="D30" s="35">
        <v>0.3</v>
      </c>
      <c r="E30" s="36">
        <v>50</v>
      </c>
      <c r="F30" s="36">
        <v>-5.5</v>
      </c>
      <c r="G30" s="35">
        <v>1.8</v>
      </c>
      <c r="H30" s="980" t="s">
        <v>528</v>
      </c>
      <c r="I30" s="31" t="s">
        <v>298</v>
      </c>
      <c r="J30" s="14">
        <f>ROWS(I$8:$I30)</f>
        <v>23</v>
      </c>
      <c r="K30" s="14" t="str">
        <f>IF(ID!$B$89=I30,J30,"")</f>
        <v/>
      </c>
      <c r="L30" s="14" t="str">
        <f>IFERROR(SMALL($K$8:$K$174,ROWS($K$8:K30)),"")</f>
        <v/>
      </c>
    </row>
    <row r="31" spans="2:23" x14ac:dyDescent="0.2">
      <c r="B31" s="9">
        <v>30</v>
      </c>
      <c r="C31" s="36">
        <v>0.5</v>
      </c>
      <c r="D31" s="35">
        <v>0.3</v>
      </c>
      <c r="E31" s="36">
        <v>60</v>
      </c>
      <c r="F31" s="36">
        <v>-4.8</v>
      </c>
      <c r="G31" s="35">
        <v>1.8</v>
      </c>
      <c r="H31" s="980" t="s">
        <v>528</v>
      </c>
      <c r="I31" s="31" t="s">
        <v>298</v>
      </c>
      <c r="J31" s="14">
        <f>ROWS(I$8:$I31)</f>
        <v>24</v>
      </c>
      <c r="K31" s="14" t="str">
        <f>IF(ID!$B$89=I31,J31,"")</f>
        <v/>
      </c>
      <c r="L31" s="14" t="str">
        <f>IFERROR(SMALL($K$8:$K$174,ROWS($K$8:K31)),"")</f>
        <v/>
      </c>
    </row>
    <row r="32" spans="2:23" x14ac:dyDescent="0.2">
      <c r="B32" s="9">
        <v>35</v>
      </c>
      <c r="C32" s="36">
        <v>0.5</v>
      </c>
      <c r="D32" s="35">
        <v>0.3</v>
      </c>
      <c r="E32" s="36">
        <v>70</v>
      </c>
      <c r="F32" s="36">
        <v>-3.4</v>
      </c>
      <c r="G32" s="35">
        <v>1.8</v>
      </c>
      <c r="H32" s="980" t="s">
        <v>528</v>
      </c>
      <c r="I32" s="31" t="s">
        <v>298</v>
      </c>
      <c r="J32" s="14">
        <f>ROWS(I$8:$I32)</f>
        <v>25</v>
      </c>
      <c r="K32" s="14" t="str">
        <f>IF(ID!$B$89=I32,J32,"")</f>
        <v/>
      </c>
      <c r="L32" s="14" t="str">
        <f>IFERROR(SMALL($K$8:$K$174,ROWS($K$8:K32)),"")</f>
        <v/>
      </c>
    </row>
    <row r="33" spans="2:23" x14ac:dyDescent="0.2">
      <c r="B33" s="10">
        <v>37</v>
      </c>
      <c r="C33" s="14">
        <v>0.5</v>
      </c>
      <c r="D33" s="35">
        <v>0.3</v>
      </c>
      <c r="E33" s="36">
        <v>80</v>
      </c>
      <c r="F33" s="14">
        <v>-1.4</v>
      </c>
      <c r="G33" s="35">
        <v>1.8</v>
      </c>
      <c r="H33" s="980" t="s">
        <v>528</v>
      </c>
      <c r="I33" s="31" t="s">
        <v>298</v>
      </c>
      <c r="J33" s="14">
        <f>ROWS(I$8:$I33)</f>
        <v>26</v>
      </c>
      <c r="K33" s="14" t="str">
        <f>IF(ID!$B$89=I33,J33,"")</f>
        <v/>
      </c>
      <c r="L33" s="14" t="str">
        <f>IFERROR(SMALL($K$8:$K$174,ROWS($K$8:K33)),"")</f>
        <v/>
      </c>
    </row>
    <row r="34" spans="2:23" ht="13.2" x14ac:dyDescent="0.25">
      <c r="B34" s="10">
        <v>40</v>
      </c>
      <c r="C34" s="979">
        <v>0.5</v>
      </c>
      <c r="D34" s="979">
        <v>0.3</v>
      </c>
      <c r="E34" s="36">
        <v>90</v>
      </c>
      <c r="F34" s="979">
        <v>1.3</v>
      </c>
      <c r="G34" s="35">
        <v>1.8</v>
      </c>
      <c r="H34" s="980" t="s">
        <v>528</v>
      </c>
      <c r="I34" s="31" t="s">
        <v>298</v>
      </c>
      <c r="J34" s="14">
        <f>ROWS(I$8:$I34)</f>
        <v>27</v>
      </c>
      <c r="K34" s="14" t="str">
        <f>IF(ID!$B$89=I34,J34,"")</f>
        <v/>
      </c>
      <c r="L34" s="14" t="str">
        <f>IFERROR(SMALL($K$8:$K$174,ROWS($K$8:K34)),"")</f>
        <v/>
      </c>
    </row>
    <row r="35" spans="2:23" x14ac:dyDescent="0.2">
      <c r="J35" s="14">
        <f>ROWS(I$8:$I35)</f>
        <v>28</v>
      </c>
      <c r="K35" s="14" t="str">
        <f>IF(ID!$B$89=I35,J35,"")</f>
        <v/>
      </c>
      <c r="L35" s="14" t="str">
        <f>IFERROR(SMALL($K$8:$K$174,ROWS($K$8:K35)),"")</f>
        <v/>
      </c>
    </row>
    <row r="36" spans="2:23" s="16" customFormat="1" x14ac:dyDescent="0.2">
      <c r="J36" s="14">
        <f>ROWS(I$8:$I36)</f>
        <v>29</v>
      </c>
      <c r="K36" s="14" t="str">
        <f>IF(ID!$B$89=I36,J36,"")</f>
        <v/>
      </c>
      <c r="L36" s="14" t="str">
        <f>IFERROR(SMALL($K$8:$K$174,ROWS($K$8:K36)),"")</f>
        <v/>
      </c>
      <c r="W36" s="11"/>
    </row>
    <row r="37" spans="2:23" x14ac:dyDescent="0.2">
      <c r="J37" s="14">
        <f>ROWS(I$8:$I37)</f>
        <v>30</v>
      </c>
      <c r="K37" s="14" t="str">
        <f>IF(ID!$B$89=I37,J37,"")</f>
        <v/>
      </c>
      <c r="L37" s="14" t="str">
        <f>IFERROR(SMALL($K$8:$K$174,ROWS($K$8:K37)),"")</f>
        <v/>
      </c>
    </row>
    <row r="38" spans="2:23" ht="13.2" x14ac:dyDescent="0.2">
      <c r="B38" s="9">
        <v>15</v>
      </c>
      <c r="C38" s="34">
        <v>0.4</v>
      </c>
      <c r="D38" s="35">
        <v>0.5</v>
      </c>
      <c r="E38" s="9">
        <v>30</v>
      </c>
      <c r="F38" s="34">
        <v>-7.3</v>
      </c>
      <c r="G38" s="35">
        <v>3.1</v>
      </c>
      <c r="H38" s="969" t="s">
        <v>501</v>
      </c>
      <c r="I38" s="31" t="s">
        <v>279</v>
      </c>
      <c r="J38" s="14">
        <f>ROWS(I$8:$I38)</f>
        <v>31</v>
      </c>
      <c r="K38" s="14" t="str">
        <f>IF(ID!$B$89=I38,J38,"")</f>
        <v/>
      </c>
      <c r="L38" s="14" t="str">
        <f>IFERROR(SMALL($K$8:$K$174,ROWS($K$8:K38)),"")</f>
        <v/>
      </c>
    </row>
    <row r="39" spans="2:23" ht="13.2" x14ac:dyDescent="0.2">
      <c r="B39" s="9">
        <v>20</v>
      </c>
      <c r="C39" s="34">
        <v>1</v>
      </c>
      <c r="D39" s="35">
        <v>0.5</v>
      </c>
      <c r="E39" s="9">
        <v>40</v>
      </c>
      <c r="F39" s="36">
        <v>-5.9</v>
      </c>
      <c r="G39" s="35">
        <v>3.1</v>
      </c>
      <c r="H39" s="969" t="s">
        <v>501</v>
      </c>
      <c r="I39" s="31" t="s">
        <v>279</v>
      </c>
      <c r="J39" s="14">
        <f>ROWS(I$8:$I39)</f>
        <v>32</v>
      </c>
      <c r="K39" s="14" t="str">
        <f>IF(ID!$B$89=I39,J39,"")</f>
        <v/>
      </c>
      <c r="L39" s="14" t="str">
        <f>IFERROR(SMALL($K$8:$K$174,ROWS($K$8:K39)),"")</f>
        <v/>
      </c>
    </row>
    <row r="40" spans="2:23" ht="13.2" x14ac:dyDescent="0.2">
      <c r="B40" s="9">
        <v>25</v>
      </c>
      <c r="C40" s="36">
        <v>0.7</v>
      </c>
      <c r="D40" s="35">
        <v>0.5</v>
      </c>
      <c r="E40" s="9">
        <v>50</v>
      </c>
      <c r="F40" s="36">
        <v>-4.5</v>
      </c>
      <c r="G40" s="35">
        <v>3.1</v>
      </c>
      <c r="H40" s="969" t="s">
        <v>501</v>
      </c>
      <c r="I40" s="31" t="s">
        <v>279</v>
      </c>
      <c r="J40" s="14">
        <f>ROWS(I$8:$I40)</f>
        <v>33</v>
      </c>
      <c r="K40" s="14" t="str">
        <f>IF(ID!$B$89=I40,J40,"")</f>
        <v/>
      </c>
      <c r="L40" s="14" t="str">
        <f>IFERROR(SMALL($K$8:$K$174,ROWS($K$8:K40)),"")</f>
        <v/>
      </c>
    </row>
    <row r="41" spans="2:23" ht="13.2" x14ac:dyDescent="0.2">
      <c r="B41" s="9">
        <v>30</v>
      </c>
      <c r="C41" s="36">
        <v>0</v>
      </c>
      <c r="D41" s="35">
        <v>0.5</v>
      </c>
      <c r="E41" s="9">
        <v>60</v>
      </c>
      <c r="F41" s="36">
        <v>-3.2</v>
      </c>
      <c r="G41" s="35">
        <v>3.1</v>
      </c>
      <c r="H41" s="969" t="s">
        <v>501</v>
      </c>
      <c r="I41" s="31" t="s">
        <v>279</v>
      </c>
      <c r="J41" s="14">
        <f>ROWS(I$8:$I41)</f>
        <v>34</v>
      </c>
      <c r="K41" s="14" t="str">
        <f>IF(ID!$B$89=I41,J41,"")</f>
        <v/>
      </c>
      <c r="L41" s="14" t="str">
        <f>IFERROR(SMALL($K$8:$K$174,ROWS($K$8:K41)),"")</f>
        <v/>
      </c>
    </row>
    <row r="42" spans="2:23" ht="13.2" x14ac:dyDescent="0.2">
      <c r="B42" s="9">
        <v>35</v>
      </c>
      <c r="C42" s="36">
        <v>-0.3</v>
      </c>
      <c r="D42" s="35">
        <v>0.5</v>
      </c>
      <c r="E42" s="9">
        <v>70</v>
      </c>
      <c r="F42" s="36">
        <v>-2</v>
      </c>
      <c r="G42" s="35">
        <v>3.1</v>
      </c>
      <c r="H42" s="969" t="s">
        <v>501</v>
      </c>
      <c r="I42" s="31" t="s">
        <v>279</v>
      </c>
      <c r="J42" s="14">
        <f>ROWS(I$8:$I42)</f>
        <v>35</v>
      </c>
      <c r="K42" s="14" t="str">
        <f>IF(ID!$B$89=I42,J42,"")</f>
        <v/>
      </c>
      <c r="L42" s="14" t="str">
        <f>IFERROR(SMALL($K$8:$K$174,ROWS($K$8:K42)),"")</f>
        <v/>
      </c>
    </row>
    <row r="43" spans="2:23" ht="13.2" x14ac:dyDescent="0.2">
      <c r="B43" s="10">
        <v>37</v>
      </c>
      <c r="C43" s="36">
        <v>-0.2</v>
      </c>
      <c r="D43" s="35">
        <v>0.5</v>
      </c>
      <c r="E43" s="10">
        <v>80</v>
      </c>
      <c r="F43" s="14">
        <v>-0.8</v>
      </c>
      <c r="G43" s="35">
        <v>3.1</v>
      </c>
      <c r="H43" s="969" t="s">
        <v>501</v>
      </c>
      <c r="I43" s="31" t="s">
        <v>279</v>
      </c>
      <c r="J43" s="14">
        <f>ROWS(I$8:$I43)</f>
        <v>36</v>
      </c>
      <c r="K43" s="14" t="str">
        <f>IF(ID!$B$89=I43,J43,"")</f>
        <v/>
      </c>
      <c r="L43" s="14" t="str">
        <f>IFERROR(SMALL($K$8:$K$174,ROWS($K$8:K43)),"")</f>
        <v/>
      </c>
    </row>
    <row r="44" spans="2:23" ht="13.2" x14ac:dyDescent="0.2">
      <c r="B44" s="10">
        <v>40</v>
      </c>
      <c r="C44" s="14">
        <v>0.2</v>
      </c>
      <c r="D44" s="35">
        <v>0.5</v>
      </c>
      <c r="E44" s="10">
        <v>90</v>
      </c>
      <c r="F44" s="19">
        <v>0.3</v>
      </c>
      <c r="G44" s="35">
        <v>3.1</v>
      </c>
      <c r="H44" s="969" t="s">
        <v>501</v>
      </c>
      <c r="I44" s="31" t="s">
        <v>279</v>
      </c>
      <c r="J44" s="14">
        <f>ROWS(I$8:$I44)</f>
        <v>37</v>
      </c>
      <c r="K44" s="14" t="str">
        <f>IF(ID!$B$89=I44,J44,"")</f>
        <v/>
      </c>
      <c r="L44" s="14" t="str">
        <f>IFERROR(SMALL($K$8:$K$174,ROWS($K$8:K44)),"")</f>
        <v/>
      </c>
    </row>
    <row r="45" spans="2:23" x14ac:dyDescent="0.2">
      <c r="J45" s="14">
        <f>ROWS(I$8:$I45)</f>
        <v>38</v>
      </c>
      <c r="K45" s="14" t="str">
        <f>IF(ID!$B$89=I45,J45,"")</f>
        <v/>
      </c>
      <c r="L45" s="14" t="str">
        <f>IFERROR(SMALL($K$8:$K$174,ROWS($K$8:K45)),"")</f>
        <v/>
      </c>
    </row>
    <row r="46" spans="2:23" s="16" customFormat="1" x14ac:dyDescent="0.2">
      <c r="J46" s="14">
        <f>ROWS(I$8:$I46)</f>
        <v>39</v>
      </c>
      <c r="K46" s="14" t="str">
        <f>IF(ID!$B$89=I46,J46,"")</f>
        <v/>
      </c>
      <c r="L46" s="14" t="str">
        <f>IFERROR(SMALL($K$8:$K$174,ROWS($K$8:K46)),"")</f>
        <v/>
      </c>
      <c r="W46" s="11"/>
    </row>
    <row r="47" spans="2:23" x14ac:dyDescent="0.2">
      <c r="J47" s="14">
        <f>ROWS(I$8:$I47)</f>
        <v>40</v>
      </c>
      <c r="K47" s="14" t="str">
        <f>IF(ID!$B$89=I47,J47,"")</f>
        <v/>
      </c>
      <c r="L47" s="14" t="str">
        <f>IFERROR(SMALL($K$8:$K$174,ROWS($K$8:K47)),"")</f>
        <v/>
      </c>
    </row>
    <row r="48" spans="2:23" x14ac:dyDescent="0.2">
      <c r="B48" s="9">
        <v>15</v>
      </c>
      <c r="C48" s="34">
        <v>0.2</v>
      </c>
      <c r="D48" s="34">
        <v>0.3</v>
      </c>
      <c r="E48" s="36">
        <v>30</v>
      </c>
      <c r="F48" s="34">
        <v>-2.9</v>
      </c>
      <c r="G48" s="34">
        <v>1.5</v>
      </c>
      <c r="H48" s="39" t="s">
        <v>529</v>
      </c>
      <c r="I48" s="31" t="s">
        <v>299</v>
      </c>
      <c r="J48" s="14">
        <f>ROWS(I$8:$I48)</f>
        <v>41</v>
      </c>
      <c r="K48" s="14" t="str">
        <f>IF(ID!$B$89=I48,J48,"")</f>
        <v/>
      </c>
      <c r="L48" s="14" t="str">
        <f>IFERROR(SMALL($K$8:$K$174,ROWS($K$8:K48)),"")</f>
        <v/>
      </c>
    </row>
    <row r="49" spans="1:12" x14ac:dyDescent="0.2">
      <c r="B49" s="9">
        <v>20</v>
      </c>
      <c r="C49" s="34">
        <v>0.2</v>
      </c>
      <c r="D49" s="34">
        <v>0.3</v>
      </c>
      <c r="E49" s="36">
        <v>40</v>
      </c>
      <c r="F49" s="34">
        <v>-3.3</v>
      </c>
      <c r="G49" s="34">
        <v>1.5</v>
      </c>
      <c r="H49" s="39" t="s">
        <v>529</v>
      </c>
      <c r="I49" s="31" t="s">
        <v>299</v>
      </c>
      <c r="J49" s="14">
        <f>ROWS(I$8:$I49)</f>
        <v>42</v>
      </c>
      <c r="K49" s="14" t="str">
        <f>IF(ID!$B$89=I49,J49,"")</f>
        <v/>
      </c>
      <c r="L49" s="14" t="str">
        <f>IFERROR(SMALL($K$8:$K$174,ROWS($K$8:K49)),"")</f>
        <v/>
      </c>
    </row>
    <row r="50" spans="1:12" x14ac:dyDescent="0.2">
      <c r="B50" s="9">
        <v>25</v>
      </c>
      <c r="C50" s="34">
        <v>0.1</v>
      </c>
      <c r="D50" s="34">
        <v>0.3</v>
      </c>
      <c r="E50" s="36">
        <v>50</v>
      </c>
      <c r="F50" s="34">
        <v>-3.1</v>
      </c>
      <c r="G50" s="34">
        <v>1.5</v>
      </c>
      <c r="H50" s="39" t="s">
        <v>529</v>
      </c>
      <c r="I50" s="31" t="s">
        <v>299</v>
      </c>
      <c r="J50" s="14">
        <f>ROWS(I$8:$I50)</f>
        <v>43</v>
      </c>
      <c r="K50" s="14" t="str">
        <f>IF(ID!$B$89=I50,J50,"")</f>
        <v/>
      </c>
      <c r="L50" s="14" t="str">
        <f>IFERROR(SMALL($K$8:$K$174,ROWS($K$8:K50)),"")</f>
        <v/>
      </c>
    </row>
    <row r="51" spans="1:12" x14ac:dyDescent="0.2">
      <c r="B51" s="9">
        <v>30</v>
      </c>
      <c r="C51" s="34">
        <v>0.1</v>
      </c>
      <c r="D51" s="34">
        <v>0.3</v>
      </c>
      <c r="E51" s="36">
        <v>60</v>
      </c>
      <c r="F51" s="34">
        <v>-2.1</v>
      </c>
      <c r="G51" s="34">
        <v>1.5</v>
      </c>
      <c r="H51" s="39" t="s">
        <v>529</v>
      </c>
      <c r="I51" s="31" t="s">
        <v>299</v>
      </c>
      <c r="J51" s="14">
        <f>ROWS(I$8:$I51)</f>
        <v>44</v>
      </c>
      <c r="K51" s="14" t="str">
        <f>IF(ID!$B$89=I51,J51,"")</f>
        <v/>
      </c>
      <c r="L51" s="14" t="str">
        <f>IFERROR(SMALL($K$8:$K$174,ROWS($K$8:K51)),"")</f>
        <v/>
      </c>
    </row>
    <row r="52" spans="1:12" x14ac:dyDescent="0.2">
      <c r="B52" s="9">
        <v>35</v>
      </c>
      <c r="C52" s="34">
        <v>0.2</v>
      </c>
      <c r="D52" s="34">
        <v>0.3</v>
      </c>
      <c r="E52" s="36">
        <v>70</v>
      </c>
      <c r="F52" s="34">
        <v>-0.3</v>
      </c>
      <c r="G52" s="34">
        <v>1.5</v>
      </c>
      <c r="H52" s="39" t="s">
        <v>529</v>
      </c>
      <c r="I52" s="31" t="s">
        <v>299</v>
      </c>
      <c r="J52" s="14">
        <f>ROWS(I$8:$I52)</f>
        <v>45</v>
      </c>
      <c r="K52" s="14" t="str">
        <f>IF(ID!$B$89=I52,J52,"")</f>
        <v/>
      </c>
      <c r="L52" s="14" t="str">
        <f>IFERROR(SMALL($K$8:$K$174,ROWS($K$8:K52)),"")</f>
        <v/>
      </c>
    </row>
    <row r="53" spans="1:12" x14ac:dyDescent="0.2">
      <c r="B53" s="10">
        <v>37</v>
      </c>
      <c r="C53" s="34">
        <v>0.2</v>
      </c>
      <c r="D53" s="34">
        <v>0.3</v>
      </c>
      <c r="E53" s="36">
        <v>80</v>
      </c>
      <c r="F53" s="34">
        <v>2.2000000000000002</v>
      </c>
      <c r="G53" s="34">
        <v>1.5</v>
      </c>
      <c r="H53" s="39" t="s">
        <v>529</v>
      </c>
      <c r="I53" s="31" t="s">
        <v>299</v>
      </c>
      <c r="J53" s="14">
        <f>ROWS(I$8:$I53)</f>
        <v>46</v>
      </c>
      <c r="K53" s="14" t="str">
        <f>IF(ID!$B$89=I53,J53,"")</f>
        <v/>
      </c>
      <c r="L53" s="14" t="str">
        <f>IFERROR(SMALL($K$8:$K$174,ROWS($K$8:K53)),"")</f>
        <v/>
      </c>
    </row>
    <row r="54" spans="1:12" ht="13.2" x14ac:dyDescent="0.25">
      <c r="A54" s="17"/>
      <c r="B54" s="10">
        <v>40</v>
      </c>
      <c r="C54" s="979">
        <v>0.2</v>
      </c>
      <c r="D54" s="34">
        <v>0.3</v>
      </c>
      <c r="E54" s="38">
        <v>90</v>
      </c>
      <c r="F54" s="979">
        <v>5.4</v>
      </c>
      <c r="G54" s="34">
        <v>1.5</v>
      </c>
      <c r="H54" s="39" t="s">
        <v>529</v>
      </c>
      <c r="I54" s="31" t="s">
        <v>299</v>
      </c>
      <c r="J54" s="14">
        <f>ROWS(I$8:$I54)</f>
        <v>47</v>
      </c>
      <c r="K54" s="14" t="str">
        <f>IF(ID!$B$89=I54,J54,"")</f>
        <v/>
      </c>
      <c r="L54" s="14" t="str">
        <f>IFERROR(SMALL($K$8:$K$174,ROWS($K$8:K54)),"")</f>
        <v/>
      </c>
    </row>
    <row r="55" spans="1:12" x14ac:dyDescent="0.2">
      <c r="J55" s="14">
        <f>ROWS(I$8:$I55)</f>
        <v>48</v>
      </c>
      <c r="K55" s="14" t="str">
        <f>IF(ID!$B$89=I55,J55,"")</f>
        <v/>
      </c>
      <c r="L55" s="14" t="str">
        <f>IFERROR(SMALL($K$8:$K$174,ROWS($K$8:K55)),"")</f>
        <v/>
      </c>
    </row>
    <row r="56" spans="1:12" s="16" customFormat="1" x14ac:dyDescent="0.2">
      <c r="J56" s="14">
        <f>ROWS(I$8:$I56)</f>
        <v>49</v>
      </c>
      <c r="K56" s="14" t="str">
        <f>IF(ID!$B$89=I56,J56,"")</f>
        <v/>
      </c>
      <c r="L56" s="14" t="str">
        <f>IFERROR(SMALL($K$8:$K$174,ROWS($K$8:K56)),"")</f>
        <v/>
      </c>
    </row>
    <row r="57" spans="1:12" x14ac:dyDescent="0.2">
      <c r="J57" s="14">
        <f>ROWS(I$8:$I57)</f>
        <v>50</v>
      </c>
      <c r="K57" s="14" t="str">
        <f>IF(ID!$B$89=I57,J57,"")</f>
        <v/>
      </c>
      <c r="L57" s="14" t="str">
        <f>IFERROR(SMALL($K$8:$K$174,ROWS($K$8:K57)),"")</f>
        <v/>
      </c>
    </row>
    <row r="58" spans="1:12" x14ac:dyDescent="0.2">
      <c r="B58" s="9">
        <v>15</v>
      </c>
      <c r="C58" s="34">
        <v>-0.2</v>
      </c>
      <c r="D58" s="34">
        <v>0.3</v>
      </c>
      <c r="E58" s="9">
        <v>35</v>
      </c>
      <c r="F58" s="34">
        <v>-4.5</v>
      </c>
      <c r="G58" s="34">
        <v>1.3</v>
      </c>
      <c r="H58" s="40" t="s">
        <v>388</v>
      </c>
      <c r="I58" s="31" t="s">
        <v>286</v>
      </c>
      <c r="J58" s="14">
        <f>ROWS(I$8:$I58)</f>
        <v>51</v>
      </c>
      <c r="K58" s="14" t="str">
        <f>IF(ID!$B$89=I58,J58,"")</f>
        <v/>
      </c>
      <c r="L58" s="14" t="str">
        <f>IFERROR(SMALL($K$8:$K$174,ROWS($K$8:K58)),"")</f>
        <v/>
      </c>
    </row>
    <row r="59" spans="1:12" x14ac:dyDescent="0.2">
      <c r="B59" s="9">
        <v>20</v>
      </c>
      <c r="C59" s="34">
        <v>-0.1</v>
      </c>
      <c r="D59" s="34">
        <v>0.3</v>
      </c>
      <c r="E59" s="9">
        <v>40</v>
      </c>
      <c r="F59" s="34">
        <v>-4.4000000000000004</v>
      </c>
      <c r="G59" s="34">
        <v>1.3</v>
      </c>
      <c r="H59" s="40" t="s">
        <v>388</v>
      </c>
      <c r="I59" s="31" t="s">
        <v>286</v>
      </c>
      <c r="J59" s="14">
        <f>ROWS(I$8:$I59)</f>
        <v>52</v>
      </c>
      <c r="K59" s="14" t="str">
        <f>IF(ID!$B$89=I59,J59,"")</f>
        <v/>
      </c>
      <c r="L59" s="14" t="str">
        <f>IFERROR(SMALL($K$8:$K$174,ROWS($K$8:K59)),"")</f>
        <v/>
      </c>
    </row>
    <row r="60" spans="1:12" x14ac:dyDescent="0.2">
      <c r="B60" s="9">
        <v>25</v>
      </c>
      <c r="C60" s="34">
        <v>-0.1</v>
      </c>
      <c r="D60" s="34">
        <v>0.3</v>
      </c>
      <c r="E60" s="9">
        <v>50</v>
      </c>
      <c r="F60" s="34">
        <v>-4.3</v>
      </c>
      <c r="G60" s="34">
        <v>1.3</v>
      </c>
      <c r="H60" s="40" t="s">
        <v>388</v>
      </c>
      <c r="I60" s="31" t="s">
        <v>286</v>
      </c>
      <c r="J60" s="14">
        <f>ROWS(I$8:$I60)</f>
        <v>53</v>
      </c>
      <c r="K60" s="14" t="str">
        <f>IF(ID!$B$89=I60,J60,"")</f>
        <v/>
      </c>
      <c r="L60" s="14" t="str">
        <f>IFERROR(SMALL($K$8:$K$174,ROWS($K$8:K60)),"")</f>
        <v/>
      </c>
    </row>
    <row r="61" spans="1:12" x14ac:dyDescent="0.2">
      <c r="B61" s="9">
        <v>30</v>
      </c>
      <c r="C61" s="34">
        <v>-0.1</v>
      </c>
      <c r="D61" s="34">
        <v>0.3</v>
      </c>
      <c r="E61" s="9">
        <v>60</v>
      </c>
      <c r="F61" s="34">
        <v>-4.2</v>
      </c>
      <c r="G61" s="34">
        <v>1.3</v>
      </c>
      <c r="H61" s="40" t="s">
        <v>388</v>
      </c>
      <c r="I61" s="31" t="s">
        <v>286</v>
      </c>
      <c r="J61" s="14">
        <f>ROWS(I$8:$I61)</f>
        <v>54</v>
      </c>
      <c r="K61" s="14" t="str">
        <f>IF(ID!$B$89=I61,J61,"")</f>
        <v/>
      </c>
      <c r="L61" s="14" t="str">
        <f>IFERROR(SMALL($K$8:$K$174,ROWS($K$8:K61)),"")</f>
        <v/>
      </c>
    </row>
    <row r="62" spans="1:12" x14ac:dyDescent="0.2">
      <c r="B62" s="9">
        <v>35</v>
      </c>
      <c r="C62" s="34">
        <v>-0.3</v>
      </c>
      <c r="D62" s="34">
        <v>0.3</v>
      </c>
      <c r="E62" s="9">
        <v>70</v>
      </c>
      <c r="F62" s="34">
        <v>-4</v>
      </c>
      <c r="G62" s="34">
        <v>1.3</v>
      </c>
      <c r="H62" s="40" t="s">
        <v>388</v>
      </c>
      <c r="I62" s="31" t="s">
        <v>286</v>
      </c>
      <c r="J62" s="14">
        <f>ROWS(I$8:$I62)</f>
        <v>55</v>
      </c>
      <c r="K62" s="14" t="str">
        <f>IF(ID!$B$89=I62,J62,"")</f>
        <v/>
      </c>
      <c r="L62" s="14" t="str">
        <f>IFERROR(SMALL($K$8:$K$174,ROWS($K$8:K62)),"")</f>
        <v/>
      </c>
    </row>
    <row r="63" spans="1:12" x14ac:dyDescent="0.2">
      <c r="B63" s="10">
        <v>37</v>
      </c>
      <c r="C63" s="34">
        <v>-0.4</v>
      </c>
      <c r="D63" s="34">
        <v>0.3</v>
      </c>
      <c r="E63" s="10">
        <v>80</v>
      </c>
      <c r="F63" s="34">
        <v>-3.8</v>
      </c>
      <c r="G63" s="34">
        <v>1.3</v>
      </c>
      <c r="H63" s="40" t="s">
        <v>388</v>
      </c>
      <c r="I63" s="31" t="s">
        <v>286</v>
      </c>
      <c r="J63" s="14">
        <f>ROWS(I$8:$I63)</f>
        <v>56</v>
      </c>
      <c r="K63" s="14" t="str">
        <f>IF(ID!$B$89=I63,J63,"")</f>
        <v/>
      </c>
      <c r="L63" s="14" t="str">
        <f>IFERROR(SMALL($K$8:$K$174,ROWS($K$8:K63)),"")</f>
        <v/>
      </c>
    </row>
    <row r="64" spans="1:12" x14ac:dyDescent="0.2">
      <c r="A64" s="18"/>
      <c r="B64" s="10">
        <v>40</v>
      </c>
      <c r="C64" s="35">
        <v>-0.5</v>
      </c>
      <c r="D64" s="34">
        <v>0.3</v>
      </c>
      <c r="E64" s="10">
        <v>90</v>
      </c>
      <c r="F64" s="35">
        <v>-3.5</v>
      </c>
      <c r="G64" s="34">
        <v>1.3</v>
      </c>
      <c r="H64" s="40" t="s">
        <v>388</v>
      </c>
      <c r="I64" s="31" t="s">
        <v>286</v>
      </c>
      <c r="J64" s="14">
        <f>ROWS(I$8:$I64)</f>
        <v>57</v>
      </c>
      <c r="K64" s="14" t="str">
        <f>IF(ID!$B$89=I64,J64,"")</f>
        <v/>
      </c>
      <c r="L64" s="14" t="str">
        <f>IFERROR(SMALL($K$8:$K$174,ROWS($K$8:K64)),"")</f>
        <v/>
      </c>
    </row>
    <row r="65" spans="1:12" x14ac:dyDescent="0.2">
      <c r="J65" s="14">
        <f>ROWS(I$8:$I65)</f>
        <v>58</v>
      </c>
      <c r="K65" s="14" t="str">
        <f>IF(ID!$B$89=I65,J65,"")</f>
        <v/>
      </c>
      <c r="L65" s="14" t="str">
        <f>IFERROR(SMALL($K$8:$K$174,ROWS($K$8:K65)),"")</f>
        <v/>
      </c>
    </row>
    <row r="66" spans="1:12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4">
        <f>ROWS(I$8:$I66)</f>
        <v>59</v>
      </c>
      <c r="K66" s="14" t="str">
        <f>IF(ID!$B$89=I66,J66,"")</f>
        <v/>
      </c>
      <c r="L66" s="14" t="str">
        <f>IFERROR(SMALL($K$8:$K$174,ROWS($K$8:K66)),"")</f>
        <v/>
      </c>
    </row>
    <row r="67" spans="1:12" x14ac:dyDescent="0.2">
      <c r="J67" s="14">
        <f>ROWS(I$8:$I67)</f>
        <v>60</v>
      </c>
      <c r="K67" s="14" t="str">
        <f>IF(ID!$B$89=I67,J67,"")</f>
        <v/>
      </c>
      <c r="L67" s="14" t="str">
        <f>IFERROR(SMALL($K$8:$K$174,ROWS($K$8:K67)),"")</f>
        <v/>
      </c>
    </row>
    <row r="68" spans="1:12" x14ac:dyDescent="0.2">
      <c r="B68" s="9">
        <v>15</v>
      </c>
      <c r="C68" s="34">
        <v>0.1</v>
      </c>
      <c r="D68" s="34">
        <v>0.8</v>
      </c>
      <c r="E68" s="9">
        <v>30</v>
      </c>
      <c r="F68" s="34">
        <v>-14.4</v>
      </c>
      <c r="G68" s="34">
        <v>2.5</v>
      </c>
      <c r="H68" s="968" t="s">
        <v>526</v>
      </c>
      <c r="I68" s="31" t="s">
        <v>288</v>
      </c>
      <c r="J68" s="14">
        <f>ROWS(I$8:$I68)</f>
        <v>61</v>
      </c>
      <c r="K68" s="14" t="str">
        <f>IF(ID!$B$89=I68,J68,"")</f>
        <v/>
      </c>
      <c r="L68" s="14" t="str">
        <f>IFERROR(SMALL($K$8:$K$174,ROWS($K$8:K68)),"")</f>
        <v/>
      </c>
    </row>
    <row r="69" spans="1:12" x14ac:dyDescent="0.2">
      <c r="B69" s="9">
        <v>20</v>
      </c>
      <c r="C69" s="34">
        <v>0.1</v>
      </c>
      <c r="D69" s="34">
        <v>0.8</v>
      </c>
      <c r="E69" s="9">
        <v>40</v>
      </c>
      <c r="F69" s="34">
        <v>-11.5</v>
      </c>
      <c r="G69" s="34">
        <v>2.5</v>
      </c>
      <c r="H69" s="968" t="s">
        <v>526</v>
      </c>
      <c r="I69" s="31" t="s">
        <v>288</v>
      </c>
      <c r="J69" s="14">
        <f>ROWS(I$8:$I69)</f>
        <v>62</v>
      </c>
      <c r="K69" s="14" t="str">
        <f>IF(ID!$B$89=I69,J69,"")</f>
        <v/>
      </c>
      <c r="L69" s="14" t="str">
        <f>IFERROR(SMALL($K$8:$K$174,ROWS($K$8:K69)),"")</f>
        <v/>
      </c>
    </row>
    <row r="70" spans="1:12" x14ac:dyDescent="0.2">
      <c r="B70" s="9">
        <v>25</v>
      </c>
      <c r="C70" s="34">
        <v>0.1</v>
      </c>
      <c r="D70" s="34">
        <v>0.8</v>
      </c>
      <c r="E70" s="9">
        <v>50</v>
      </c>
      <c r="F70" s="34">
        <v>-9.1</v>
      </c>
      <c r="G70" s="34">
        <v>2.5</v>
      </c>
      <c r="H70" s="968" t="s">
        <v>526</v>
      </c>
      <c r="I70" s="31" t="s">
        <v>288</v>
      </c>
      <c r="J70" s="14">
        <f>ROWS(I$8:$I70)</f>
        <v>63</v>
      </c>
      <c r="K70" s="14" t="str">
        <f>IF(ID!$B$89=I70,J70,"")</f>
        <v/>
      </c>
      <c r="L70" s="14" t="str">
        <f>IFERROR(SMALL($K$8:$K$174,ROWS($K$8:K70)),"")</f>
        <v/>
      </c>
    </row>
    <row r="71" spans="1:12" x14ac:dyDescent="0.2">
      <c r="B71" s="9">
        <v>30</v>
      </c>
      <c r="C71" s="34">
        <v>0</v>
      </c>
      <c r="D71" s="34">
        <v>0.8</v>
      </c>
      <c r="E71" s="9">
        <v>60</v>
      </c>
      <c r="F71" s="34">
        <v>-6.9</v>
      </c>
      <c r="G71" s="34">
        <v>2.5</v>
      </c>
      <c r="H71" s="968" t="s">
        <v>526</v>
      </c>
      <c r="I71" s="31" t="s">
        <v>288</v>
      </c>
      <c r="J71" s="14">
        <f>ROWS(I$8:$I71)</f>
        <v>64</v>
      </c>
      <c r="K71" s="14" t="str">
        <f>IF(ID!$B$89=I71,J71,"")</f>
        <v/>
      </c>
      <c r="L71" s="14" t="str">
        <f>IFERROR(SMALL($K$8:$K$174,ROWS($K$8:K71)),"")</f>
        <v/>
      </c>
    </row>
    <row r="72" spans="1:12" x14ac:dyDescent="0.2">
      <c r="B72" s="9">
        <v>35</v>
      </c>
      <c r="C72" s="34">
        <v>-0.2</v>
      </c>
      <c r="D72" s="34">
        <v>0.8</v>
      </c>
      <c r="E72" s="9">
        <v>70</v>
      </c>
      <c r="F72" s="34">
        <v>-5.0999999999999996</v>
      </c>
      <c r="G72" s="34">
        <v>2.5</v>
      </c>
      <c r="H72" s="968" t="s">
        <v>526</v>
      </c>
      <c r="I72" s="31" t="s">
        <v>288</v>
      </c>
      <c r="J72" s="14">
        <f>ROWS(I$8:$I72)</f>
        <v>65</v>
      </c>
      <c r="K72" s="14" t="str">
        <f>IF(ID!$B$89=I72,J72,"")</f>
        <v/>
      </c>
      <c r="L72" s="14" t="str">
        <f>IFERROR(SMALL($K$8:$K$174,ROWS($K$8:K72)),"")</f>
        <v/>
      </c>
    </row>
    <row r="73" spans="1:12" x14ac:dyDescent="0.2">
      <c r="B73" s="10">
        <v>37</v>
      </c>
      <c r="C73" s="34">
        <v>-0.3</v>
      </c>
      <c r="D73" s="34">
        <v>0.8</v>
      </c>
      <c r="E73" s="10">
        <v>80</v>
      </c>
      <c r="F73" s="34">
        <v>-3.7</v>
      </c>
      <c r="G73" s="34">
        <v>2.5</v>
      </c>
      <c r="H73" s="968" t="s">
        <v>526</v>
      </c>
      <c r="I73" s="31" t="s">
        <v>288</v>
      </c>
      <c r="J73" s="14">
        <f>ROWS(I$8:$I73)</f>
        <v>66</v>
      </c>
      <c r="K73" s="14" t="str">
        <f>IF(ID!$B$89=I73,J73,"")</f>
        <v/>
      </c>
      <c r="L73" s="14" t="str">
        <f>IFERROR(SMALL($K$8:$K$174,ROWS($K$8:K73)),"")</f>
        <v/>
      </c>
    </row>
    <row r="74" spans="1:12" x14ac:dyDescent="0.2">
      <c r="A74" s="18"/>
      <c r="B74" s="10">
        <v>40</v>
      </c>
      <c r="C74" s="35">
        <v>-0.4</v>
      </c>
      <c r="D74" s="34">
        <v>0.8</v>
      </c>
      <c r="E74" s="10">
        <v>90</v>
      </c>
      <c r="F74" s="35">
        <v>-2.7</v>
      </c>
      <c r="G74" s="34">
        <v>2.5</v>
      </c>
      <c r="H74" s="968" t="s">
        <v>526</v>
      </c>
      <c r="I74" s="31" t="s">
        <v>288</v>
      </c>
      <c r="J74" s="14">
        <f>ROWS(I$8:$I74)</f>
        <v>67</v>
      </c>
      <c r="K74" s="14" t="str">
        <f>IF(ID!$B$89=I74,J74,"")</f>
        <v/>
      </c>
      <c r="L74" s="14" t="str">
        <f>IFERROR(SMALL($K$8:$K$174,ROWS($K$8:K74)),"")</f>
        <v/>
      </c>
    </row>
    <row r="75" spans="1:12" x14ac:dyDescent="0.2">
      <c r="J75" s="14">
        <f>ROWS(I$8:$I75)</f>
        <v>68</v>
      </c>
      <c r="K75" s="14" t="str">
        <f>IF(ID!$B$89=I75,J75,"")</f>
        <v/>
      </c>
      <c r="L75" s="14" t="str">
        <f>IFERROR(SMALL($K$8:$K$174,ROWS($K$8:K75)),"")</f>
        <v/>
      </c>
    </row>
    <row r="76" spans="1:12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4">
        <f>ROWS(I$8:$I76)</f>
        <v>69</v>
      </c>
      <c r="K76" s="14" t="str">
        <f>IF(ID!$B$89=I76,J76,"")</f>
        <v/>
      </c>
      <c r="L76" s="14" t="str">
        <f>IFERROR(SMALL($K$8:$K$174,ROWS($K$8:K76)),"")</f>
        <v/>
      </c>
    </row>
    <row r="77" spans="1:12" x14ac:dyDescent="0.2">
      <c r="J77" s="14">
        <f>ROWS(I$8:$I77)</f>
        <v>70</v>
      </c>
      <c r="K77" s="14" t="str">
        <f>IF(ID!$B$89=I77,J77,"")</f>
        <v/>
      </c>
      <c r="L77" s="14" t="str">
        <f>IFERROR(SMALL($K$8:$K$174,ROWS($K$8:K77)),"")</f>
        <v/>
      </c>
    </row>
    <row r="78" spans="1:12" ht="13.2" x14ac:dyDescent="0.2">
      <c r="B78" s="9">
        <v>15</v>
      </c>
      <c r="C78" s="34">
        <v>0.4</v>
      </c>
      <c r="D78" s="34">
        <v>0.8</v>
      </c>
      <c r="E78" s="9">
        <v>30</v>
      </c>
      <c r="F78" s="34">
        <v>-1.5</v>
      </c>
      <c r="G78" s="34">
        <v>2.6</v>
      </c>
      <c r="H78" s="37" t="s">
        <v>388</v>
      </c>
      <c r="I78" s="31" t="s">
        <v>291</v>
      </c>
      <c r="J78" s="14">
        <f>ROWS(I$8:$I78)</f>
        <v>71</v>
      </c>
      <c r="K78" s="14" t="str">
        <f>IF(ID!$B$89=I78,J78,"")</f>
        <v/>
      </c>
      <c r="L78" s="14" t="str">
        <f>IFERROR(SMALL($K$8:$K$174,ROWS($K$8:K78)),"")</f>
        <v/>
      </c>
    </row>
    <row r="79" spans="1:12" ht="13.2" x14ac:dyDescent="0.2">
      <c r="B79" s="9">
        <v>20</v>
      </c>
      <c r="C79" s="34">
        <v>0.3</v>
      </c>
      <c r="D79" s="34">
        <v>0.8</v>
      </c>
      <c r="E79" s="9">
        <v>40</v>
      </c>
      <c r="F79" s="34">
        <v>-3.8</v>
      </c>
      <c r="G79" s="34">
        <v>2.6</v>
      </c>
      <c r="H79" s="37" t="s">
        <v>388</v>
      </c>
      <c r="I79" s="31" t="s">
        <v>291</v>
      </c>
      <c r="J79" s="14">
        <f>ROWS(I$8:$I79)</f>
        <v>72</v>
      </c>
      <c r="K79" s="14" t="str">
        <f>IF(ID!$B$89=I79,J79,"")</f>
        <v/>
      </c>
      <c r="L79" s="14" t="str">
        <f>IFERROR(SMALL($K$8:$K$174,ROWS($K$8:K79)),"")</f>
        <v/>
      </c>
    </row>
    <row r="80" spans="1:12" ht="13.2" x14ac:dyDescent="0.2">
      <c r="B80" s="9">
        <v>25</v>
      </c>
      <c r="C80" s="34">
        <v>0.2</v>
      </c>
      <c r="D80" s="34">
        <v>0.8</v>
      </c>
      <c r="E80" s="9">
        <v>50</v>
      </c>
      <c r="F80" s="34">
        <v>-5.4</v>
      </c>
      <c r="G80" s="34">
        <v>2.6</v>
      </c>
      <c r="H80" s="37" t="s">
        <v>388</v>
      </c>
      <c r="I80" s="31" t="s">
        <v>291</v>
      </c>
      <c r="J80" s="14">
        <f>ROWS(I$8:$I80)</f>
        <v>73</v>
      </c>
      <c r="K80" s="14" t="str">
        <f>IF(ID!$B$89=I80,J80,"")</f>
        <v/>
      </c>
      <c r="L80" s="14" t="str">
        <f>IFERROR(SMALL($K$8:$K$174,ROWS($K$8:K80)),"")</f>
        <v/>
      </c>
    </row>
    <row r="81" spans="1:12" ht="13.2" x14ac:dyDescent="0.2">
      <c r="B81" s="9">
        <v>30</v>
      </c>
      <c r="C81" s="34">
        <v>0.1</v>
      </c>
      <c r="D81" s="34">
        <v>0.8</v>
      </c>
      <c r="E81" s="9">
        <v>60</v>
      </c>
      <c r="F81" s="34">
        <v>-6.4</v>
      </c>
      <c r="G81" s="34">
        <v>2.6</v>
      </c>
      <c r="H81" s="37" t="s">
        <v>388</v>
      </c>
      <c r="I81" s="31" t="s">
        <v>291</v>
      </c>
      <c r="J81" s="14">
        <f>ROWS(I$8:$I81)</f>
        <v>74</v>
      </c>
      <c r="K81" s="14" t="str">
        <f>IF(ID!$B$89=I81,J81,"")</f>
        <v/>
      </c>
      <c r="L81" s="14" t="str">
        <f>IFERROR(SMALL($K$8:$K$174,ROWS($K$8:K81)),"")</f>
        <v/>
      </c>
    </row>
    <row r="82" spans="1:12" ht="13.2" x14ac:dyDescent="0.2">
      <c r="B82" s="9">
        <v>35</v>
      </c>
      <c r="C82" s="34">
        <v>0.1</v>
      </c>
      <c r="D82" s="34">
        <v>0.8</v>
      </c>
      <c r="E82" s="9">
        <v>70</v>
      </c>
      <c r="F82" s="34">
        <v>-6.7</v>
      </c>
      <c r="G82" s="34">
        <v>2.6</v>
      </c>
      <c r="H82" s="37" t="s">
        <v>388</v>
      </c>
      <c r="I82" s="31" t="s">
        <v>291</v>
      </c>
      <c r="J82" s="14">
        <f>ROWS(I$8:$I82)</f>
        <v>75</v>
      </c>
      <c r="K82" s="14" t="str">
        <f>IF(ID!$B$89=I82,J82,"")</f>
        <v/>
      </c>
      <c r="L82" s="14" t="str">
        <f>IFERROR(SMALL($K$8:$K$174,ROWS($K$8:K82)),"")</f>
        <v/>
      </c>
    </row>
    <row r="83" spans="1:12" ht="13.2" x14ac:dyDescent="0.2">
      <c r="B83" s="10">
        <v>37</v>
      </c>
      <c r="C83" s="34">
        <v>0.1</v>
      </c>
      <c r="D83" s="34">
        <v>0.8</v>
      </c>
      <c r="E83" s="10">
        <v>80</v>
      </c>
      <c r="F83" s="34">
        <v>-6.3</v>
      </c>
      <c r="G83" s="34">
        <v>2.6</v>
      </c>
      <c r="H83" s="37" t="s">
        <v>388</v>
      </c>
      <c r="I83" s="31" t="s">
        <v>291</v>
      </c>
      <c r="J83" s="14">
        <f>ROWS(I$8:$I83)</f>
        <v>76</v>
      </c>
      <c r="K83" s="14" t="str">
        <f>IF(ID!$B$89=I83,J83,"")</f>
        <v/>
      </c>
      <c r="L83" s="14" t="str">
        <f>IFERROR(SMALL($K$8:$K$174,ROWS($K$8:K83)),"")</f>
        <v/>
      </c>
    </row>
    <row r="84" spans="1:12" ht="13.2" x14ac:dyDescent="0.2">
      <c r="A84" s="18"/>
      <c r="B84" s="10">
        <v>40</v>
      </c>
      <c r="C84" s="35">
        <v>0.1</v>
      </c>
      <c r="D84" s="34">
        <v>0.8</v>
      </c>
      <c r="E84" s="10">
        <v>90</v>
      </c>
      <c r="F84" s="35">
        <v>-5.2</v>
      </c>
      <c r="G84" s="34">
        <v>2.6</v>
      </c>
      <c r="H84" s="37" t="s">
        <v>388</v>
      </c>
      <c r="I84" s="31" t="s">
        <v>291</v>
      </c>
      <c r="J84" s="14">
        <f>ROWS(I$8:$I84)</f>
        <v>77</v>
      </c>
      <c r="K84" s="14" t="str">
        <f>IF(ID!$B$89=I84,J84,"")</f>
        <v/>
      </c>
      <c r="L84" s="14" t="str">
        <f>IFERROR(SMALL($K$8:$K$174,ROWS($K$8:K84)),"")</f>
        <v/>
      </c>
    </row>
    <row r="85" spans="1:12" x14ac:dyDescent="0.2">
      <c r="J85" s="14">
        <f>ROWS(I$8:$I85)</f>
        <v>78</v>
      </c>
      <c r="K85" s="14" t="str">
        <f>IF(ID!$B$89=I85,J85,"")</f>
        <v/>
      </c>
      <c r="L85" s="14" t="str">
        <f>IFERROR(SMALL($K$8:$K$174,ROWS($K$8:K85)),"")</f>
        <v/>
      </c>
    </row>
    <row r="86" spans="1:12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4">
        <f>ROWS(I$8:$I86)</f>
        <v>79</v>
      </c>
      <c r="K86" s="14" t="str">
        <f>IF(ID!$B$89=I86,J86,"")</f>
        <v/>
      </c>
      <c r="L86" s="14" t="str">
        <f>IFERROR(SMALL($K$8:$K$174,ROWS($K$8:K86)),"")</f>
        <v/>
      </c>
    </row>
    <row r="87" spans="1:12" x14ac:dyDescent="0.2">
      <c r="J87" s="14">
        <f>ROWS(I$8:$I87)</f>
        <v>80</v>
      </c>
      <c r="K87" s="14" t="str">
        <f>IF(ID!$B$89=I87,J87,"")</f>
        <v/>
      </c>
      <c r="L87" s="14" t="str">
        <f>IFERROR(SMALL($K$8:$K$174,ROWS($K$8:K87)),"")</f>
        <v/>
      </c>
    </row>
    <row r="88" spans="1:12" x14ac:dyDescent="0.2">
      <c r="B88" s="9">
        <v>15</v>
      </c>
      <c r="C88" s="34">
        <v>0.1</v>
      </c>
      <c r="D88" s="34">
        <v>0.3</v>
      </c>
      <c r="E88" s="9">
        <v>30</v>
      </c>
      <c r="F88" s="34">
        <v>-4</v>
      </c>
      <c r="G88" s="34">
        <v>2.5</v>
      </c>
      <c r="H88" s="968" t="s">
        <v>464</v>
      </c>
      <c r="I88" s="31" t="s">
        <v>163</v>
      </c>
      <c r="J88" s="14">
        <f>ROWS(I$8:$I88)</f>
        <v>81</v>
      </c>
      <c r="K88" s="14" t="str">
        <f>IF(ID!$B$89=I88,J88,"")</f>
        <v/>
      </c>
      <c r="L88" s="14" t="str">
        <f>IFERROR(SMALL($K$8:$K$174,ROWS($K$8:K88)),"")</f>
        <v/>
      </c>
    </row>
    <row r="89" spans="1:12" x14ac:dyDescent="0.2">
      <c r="B89" s="9">
        <v>20</v>
      </c>
      <c r="C89" s="34">
        <v>0</v>
      </c>
      <c r="D89" s="34">
        <v>0.3</v>
      </c>
      <c r="E89" s="9">
        <v>40</v>
      </c>
      <c r="F89" s="34">
        <v>-3.8</v>
      </c>
      <c r="G89" s="34">
        <v>2.5</v>
      </c>
      <c r="H89" s="968" t="s">
        <v>464</v>
      </c>
      <c r="I89" s="31" t="s">
        <v>163</v>
      </c>
      <c r="J89" s="14">
        <f>ROWS(I$8:$I89)</f>
        <v>82</v>
      </c>
      <c r="K89" s="14" t="str">
        <f>IF(ID!$B$89=I89,J89,"")</f>
        <v/>
      </c>
      <c r="L89" s="14" t="str">
        <f>IFERROR(SMALL($K$8:$K$174,ROWS($K$8:K89)),"")</f>
        <v/>
      </c>
    </row>
    <row r="90" spans="1:12" x14ac:dyDescent="0.2">
      <c r="B90" s="9">
        <v>25</v>
      </c>
      <c r="C90" s="34">
        <v>-0.1</v>
      </c>
      <c r="D90" s="34">
        <v>0.3</v>
      </c>
      <c r="E90" s="9">
        <v>50</v>
      </c>
      <c r="F90" s="34">
        <v>-3.8</v>
      </c>
      <c r="G90" s="34">
        <v>2.5</v>
      </c>
      <c r="H90" s="968" t="s">
        <v>464</v>
      </c>
      <c r="I90" s="31" t="s">
        <v>163</v>
      </c>
      <c r="J90" s="14">
        <f>ROWS(I$8:$I90)</f>
        <v>83</v>
      </c>
      <c r="K90" s="14" t="str">
        <f>IF(ID!$B$89=I90,J90,"")</f>
        <v/>
      </c>
      <c r="L90" s="14" t="str">
        <f>IFERROR(SMALL($K$8:$K$174,ROWS($K$8:K90)),"")</f>
        <v/>
      </c>
    </row>
    <row r="91" spans="1:12" x14ac:dyDescent="0.2">
      <c r="B91" s="9">
        <v>30</v>
      </c>
      <c r="C91" s="34">
        <v>-0.2</v>
      </c>
      <c r="D91" s="34">
        <v>0.3</v>
      </c>
      <c r="E91" s="9">
        <v>60</v>
      </c>
      <c r="F91" s="34">
        <v>-3.9</v>
      </c>
      <c r="G91" s="34">
        <v>2.5</v>
      </c>
      <c r="H91" s="968" t="s">
        <v>464</v>
      </c>
      <c r="I91" s="31" t="s">
        <v>163</v>
      </c>
      <c r="J91" s="14">
        <f>ROWS(I$8:$I91)</f>
        <v>84</v>
      </c>
      <c r="K91" s="14" t="str">
        <f>IF(ID!$B$89=I91,J91,"")</f>
        <v/>
      </c>
      <c r="L91" s="14" t="str">
        <f>IFERROR(SMALL($K$8:$K$174,ROWS($K$8:K91)),"")</f>
        <v/>
      </c>
    </row>
    <row r="92" spans="1:12" x14ac:dyDescent="0.2">
      <c r="B92" s="9">
        <v>35</v>
      </c>
      <c r="C92" s="34">
        <v>-0.1</v>
      </c>
      <c r="D92" s="34">
        <v>0.3</v>
      </c>
      <c r="E92" s="9">
        <v>70</v>
      </c>
      <c r="F92" s="34">
        <v>-4.0999999999999996</v>
      </c>
      <c r="G92" s="34">
        <v>2.5</v>
      </c>
      <c r="H92" s="968" t="s">
        <v>464</v>
      </c>
      <c r="I92" s="31" t="s">
        <v>163</v>
      </c>
      <c r="J92" s="14">
        <f>ROWS(I$8:$I92)</f>
        <v>85</v>
      </c>
      <c r="K92" s="14" t="str">
        <f>IF(ID!$B$89=I92,J92,"")</f>
        <v/>
      </c>
      <c r="L92" s="14" t="str">
        <f>IFERROR(SMALL($K$8:$K$174,ROWS($K$8:K92)),"")</f>
        <v/>
      </c>
    </row>
    <row r="93" spans="1:12" x14ac:dyDescent="0.2">
      <c r="B93" s="10">
        <v>37</v>
      </c>
      <c r="C93" s="34">
        <v>-0.1</v>
      </c>
      <c r="D93" s="34">
        <v>0.3</v>
      </c>
      <c r="E93" s="10">
        <v>80</v>
      </c>
      <c r="F93" s="34">
        <v>-4.5</v>
      </c>
      <c r="G93" s="34">
        <v>2.5</v>
      </c>
      <c r="H93" s="968" t="s">
        <v>464</v>
      </c>
      <c r="I93" s="31" t="s">
        <v>163</v>
      </c>
      <c r="J93" s="14">
        <f>ROWS(I$8:$I93)</f>
        <v>86</v>
      </c>
      <c r="K93" s="14" t="str">
        <f>IF(ID!$B$89=I93,J93,"")</f>
        <v/>
      </c>
      <c r="L93" s="14" t="str">
        <f>IFERROR(SMALL($K$8:$K$174,ROWS($K$8:K93)),"")</f>
        <v/>
      </c>
    </row>
    <row r="94" spans="1:12" x14ac:dyDescent="0.2">
      <c r="A94" s="18"/>
      <c r="B94" s="10">
        <v>40</v>
      </c>
      <c r="C94" s="35">
        <v>9.9999999999999995E-7</v>
      </c>
      <c r="D94" s="34">
        <v>0.3</v>
      </c>
      <c r="E94" s="10">
        <v>90</v>
      </c>
      <c r="F94" s="35">
        <v>-4.9000000000000004</v>
      </c>
      <c r="G94" s="34">
        <v>2.5</v>
      </c>
      <c r="H94" s="968" t="s">
        <v>464</v>
      </c>
      <c r="I94" s="31" t="s">
        <v>163</v>
      </c>
      <c r="J94" s="14">
        <f>ROWS(I$8:$I94)</f>
        <v>87</v>
      </c>
      <c r="K94" s="14" t="str">
        <f>IF(ID!$B$89=I94,J94,"")</f>
        <v/>
      </c>
      <c r="L94" s="14" t="str">
        <f>IFERROR(SMALL($K$8:$K$174,ROWS($K$8:K94)),"")</f>
        <v/>
      </c>
    </row>
    <row r="95" spans="1:12" x14ac:dyDescent="0.2">
      <c r="J95" s="14">
        <f>ROWS(I$8:$I95)</f>
        <v>88</v>
      </c>
      <c r="K95" s="14" t="str">
        <f>IF(ID!$B$89=I95,J95,"")</f>
        <v/>
      </c>
      <c r="L95" s="14" t="str">
        <f>IFERROR(SMALL($K$8:$K$174,ROWS($K$8:K95)),"")</f>
        <v/>
      </c>
    </row>
    <row r="96" spans="1:12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4">
        <f>ROWS(I$8:$I96)</f>
        <v>89</v>
      </c>
      <c r="K96" s="14" t="str">
        <f>IF(ID!$B$89=I96,J96,"")</f>
        <v/>
      </c>
      <c r="L96" s="14" t="str">
        <f>IFERROR(SMALL($K$8:$K$174,ROWS($K$8:K96)),"")</f>
        <v/>
      </c>
    </row>
    <row r="97" spans="1:12" x14ac:dyDescent="0.2">
      <c r="J97" s="14">
        <f>ROWS(I$8:$I97)</f>
        <v>90</v>
      </c>
      <c r="K97" s="14" t="str">
        <f>IF(ID!$B$89=I97,J97,"")</f>
        <v/>
      </c>
      <c r="L97" s="14" t="str">
        <f>IFERROR(SMALL($K$8:$K$174,ROWS($K$8:K97)),"")</f>
        <v/>
      </c>
    </row>
    <row r="98" spans="1:12" ht="13.2" x14ac:dyDescent="0.2">
      <c r="B98" s="9">
        <v>15</v>
      </c>
      <c r="C98" s="34">
        <v>0.1</v>
      </c>
      <c r="D98" s="34">
        <v>0.2</v>
      </c>
      <c r="E98" s="9">
        <v>30</v>
      </c>
      <c r="F98" s="34">
        <v>-1.9</v>
      </c>
      <c r="G98" s="34">
        <v>2.4</v>
      </c>
      <c r="H98" s="969" t="s">
        <v>464</v>
      </c>
      <c r="I98" s="31" t="s">
        <v>294</v>
      </c>
      <c r="J98" s="14">
        <f>ROWS(I$8:$I98)</f>
        <v>91</v>
      </c>
      <c r="K98" s="14" t="str">
        <f>IF(ID!$B$89=I98,J98,"")</f>
        <v/>
      </c>
      <c r="L98" s="14" t="str">
        <f>IFERROR(SMALL($K$8:$K$174,ROWS($K$8:K98)),"")</f>
        <v/>
      </c>
    </row>
    <row r="99" spans="1:12" ht="13.2" x14ac:dyDescent="0.2">
      <c r="B99" s="9">
        <v>20</v>
      </c>
      <c r="C99" s="34">
        <v>0</v>
      </c>
      <c r="D99" s="34">
        <v>0.2</v>
      </c>
      <c r="E99" s="9">
        <v>40</v>
      </c>
      <c r="F99" s="34">
        <v>-1.9</v>
      </c>
      <c r="G99" s="34">
        <v>2.4</v>
      </c>
      <c r="H99" s="969" t="s">
        <v>464</v>
      </c>
      <c r="I99" s="31" t="s">
        <v>294</v>
      </c>
      <c r="J99" s="14">
        <f>ROWS(I$8:$I99)</f>
        <v>92</v>
      </c>
      <c r="K99" s="14" t="str">
        <f>IF(ID!$B$89=I99,J99,"")</f>
        <v/>
      </c>
      <c r="L99" s="14" t="str">
        <f>IFERROR(SMALL($K$8:$K$174,ROWS($K$8:K99)),"")</f>
        <v/>
      </c>
    </row>
    <row r="100" spans="1:12" ht="13.2" x14ac:dyDescent="0.2">
      <c r="B100" s="9">
        <v>25</v>
      </c>
      <c r="C100" s="34">
        <v>0</v>
      </c>
      <c r="D100" s="34">
        <v>0.2</v>
      </c>
      <c r="E100" s="9">
        <v>50</v>
      </c>
      <c r="F100" s="34">
        <v>-1.9</v>
      </c>
      <c r="G100" s="34">
        <v>2.4</v>
      </c>
      <c r="H100" s="969" t="s">
        <v>464</v>
      </c>
      <c r="I100" s="31" t="s">
        <v>294</v>
      </c>
      <c r="J100" s="14">
        <f>ROWS(I$8:$I100)</f>
        <v>93</v>
      </c>
      <c r="K100" s="14" t="str">
        <f>IF(ID!$B$89=I100,J100,"")</f>
        <v/>
      </c>
      <c r="L100" s="14" t="str">
        <f>IFERROR(SMALL($K$8:$K$174,ROWS($K$8:K100)),"")</f>
        <v/>
      </c>
    </row>
    <row r="101" spans="1:12" ht="13.2" x14ac:dyDescent="0.2">
      <c r="B101" s="9">
        <v>30</v>
      </c>
      <c r="C101" s="34">
        <v>0</v>
      </c>
      <c r="D101" s="34">
        <v>0.2</v>
      </c>
      <c r="E101" s="9">
        <v>60</v>
      </c>
      <c r="F101" s="34">
        <v>-2.1</v>
      </c>
      <c r="G101" s="34">
        <v>2.4</v>
      </c>
      <c r="H101" s="969" t="s">
        <v>464</v>
      </c>
      <c r="I101" s="31" t="s">
        <v>294</v>
      </c>
      <c r="J101" s="14">
        <f>ROWS(I$8:$I101)</f>
        <v>94</v>
      </c>
      <c r="K101" s="14" t="str">
        <f>IF(ID!$B$89=I101,J101,"")</f>
        <v/>
      </c>
      <c r="L101" s="14" t="str">
        <f>IFERROR(SMALL($K$8:$K$174,ROWS($K$8:K101)),"")</f>
        <v/>
      </c>
    </row>
    <row r="102" spans="1:12" ht="13.2" x14ac:dyDescent="0.2">
      <c r="B102" s="9">
        <v>35</v>
      </c>
      <c r="C102" s="34">
        <v>0</v>
      </c>
      <c r="D102" s="34">
        <v>0.2</v>
      </c>
      <c r="E102" s="9">
        <v>70</v>
      </c>
      <c r="F102" s="34">
        <v>-2.2999999999999998</v>
      </c>
      <c r="G102" s="34">
        <v>2.4</v>
      </c>
      <c r="H102" s="969" t="s">
        <v>464</v>
      </c>
      <c r="I102" s="31" t="s">
        <v>294</v>
      </c>
      <c r="J102" s="14">
        <f>ROWS(I$8:$I102)</f>
        <v>95</v>
      </c>
      <c r="K102" s="14" t="str">
        <f>IF(ID!$B$89=I102,J102,"")</f>
        <v/>
      </c>
      <c r="L102" s="14" t="str">
        <f>IFERROR(SMALL($K$8:$K$174,ROWS($K$8:K102)),"")</f>
        <v/>
      </c>
    </row>
    <row r="103" spans="1:12" ht="13.2" x14ac:dyDescent="0.2">
      <c r="B103" s="10">
        <v>37</v>
      </c>
      <c r="C103" s="34">
        <v>0</v>
      </c>
      <c r="D103" s="34">
        <v>0.2</v>
      </c>
      <c r="E103" s="10">
        <v>80</v>
      </c>
      <c r="F103" s="34">
        <v>-2.6</v>
      </c>
      <c r="G103" s="34">
        <v>2.4</v>
      </c>
      <c r="H103" s="969" t="s">
        <v>464</v>
      </c>
      <c r="I103" s="31" t="s">
        <v>294</v>
      </c>
      <c r="J103" s="14">
        <f>ROWS(I$8:$I103)</f>
        <v>96</v>
      </c>
      <c r="K103" s="14" t="str">
        <f>IF(ID!$B$89=I103,J103,"")</f>
        <v/>
      </c>
      <c r="L103" s="14" t="str">
        <f>IFERROR(SMALL($K$8:$K$174,ROWS($K$8:K103)),"")</f>
        <v/>
      </c>
    </row>
    <row r="104" spans="1:12" ht="13.2" x14ac:dyDescent="0.2">
      <c r="A104" s="18"/>
      <c r="B104" s="10">
        <v>40</v>
      </c>
      <c r="C104" s="34">
        <v>0.1</v>
      </c>
      <c r="D104" s="34">
        <v>0.2</v>
      </c>
      <c r="E104" s="10">
        <v>90</v>
      </c>
      <c r="F104" s="35">
        <v>-3</v>
      </c>
      <c r="G104" s="34">
        <v>2.4</v>
      </c>
      <c r="H104" s="969" t="s">
        <v>464</v>
      </c>
      <c r="I104" s="31" t="s">
        <v>294</v>
      </c>
      <c r="J104" s="14">
        <f>ROWS(I$8:$I104)</f>
        <v>97</v>
      </c>
      <c r="K104" s="14" t="str">
        <f>IF(ID!$B$89=I104,J104,"")</f>
        <v/>
      </c>
      <c r="L104" s="14" t="str">
        <f>IFERROR(SMALL($K$8:$K$174,ROWS($K$8:K104)),"")</f>
        <v/>
      </c>
    </row>
    <row r="105" spans="1:12" x14ac:dyDescent="0.2">
      <c r="J105" s="14">
        <f>ROWS(I$8:$I105)</f>
        <v>98</v>
      </c>
      <c r="K105" s="14" t="str">
        <f>IF(ID!$B$89=I105,J105,"")</f>
        <v/>
      </c>
      <c r="L105" s="14" t="str">
        <f>IFERROR(SMALL($K$8:$K$174,ROWS($K$8:K105)),"")</f>
        <v/>
      </c>
    </row>
    <row r="106" spans="1:12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4">
        <f>ROWS(I$8:$I106)</f>
        <v>99</v>
      </c>
      <c r="K106" s="14" t="str">
        <f>IF(ID!$B$89=I106,J106,"")</f>
        <v/>
      </c>
      <c r="L106" s="14" t="str">
        <f>IFERROR(SMALL($K$8:$K$174,ROWS($K$8:K106)),"")</f>
        <v/>
      </c>
    </row>
    <row r="107" spans="1:12" x14ac:dyDescent="0.2">
      <c r="J107" s="14">
        <f>ROWS(I$8:$I107)</f>
        <v>100</v>
      </c>
      <c r="K107" s="14" t="str">
        <f>IF(ID!$B$89=I107,J107,"")</f>
        <v/>
      </c>
      <c r="L107" s="14" t="str">
        <f>IFERROR(SMALL($K$8:$K$174,ROWS($K$8:K107)),"")</f>
        <v/>
      </c>
    </row>
    <row r="108" spans="1:12" x14ac:dyDescent="0.2">
      <c r="B108" s="9">
        <v>15</v>
      </c>
      <c r="C108" s="34">
        <v>0</v>
      </c>
      <c r="D108" s="34">
        <v>0.3</v>
      </c>
      <c r="E108" s="9">
        <v>30</v>
      </c>
      <c r="F108" s="34">
        <v>-1.2</v>
      </c>
      <c r="G108" s="34">
        <v>2.4</v>
      </c>
      <c r="H108" s="40" t="s">
        <v>389</v>
      </c>
      <c r="I108" s="31" t="s">
        <v>295</v>
      </c>
      <c r="J108" s="14">
        <f>ROWS(I$8:$I108)</f>
        <v>101</v>
      </c>
      <c r="K108" s="14" t="str">
        <f>IF(ID!$B$89=I108,J108,"")</f>
        <v/>
      </c>
      <c r="L108" s="14" t="str">
        <f>IFERROR(SMALL($K$8:$K$174,ROWS($K$8:K108)),"")</f>
        <v/>
      </c>
    </row>
    <row r="109" spans="1:12" x14ac:dyDescent="0.2">
      <c r="B109" s="9">
        <v>20</v>
      </c>
      <c r="C109" s="34">
        <v>-0.2</v>
      </c>
      <c r="D109" s="34">
        <v>0.3</v>
      </c>
      <c r="E109" s="9">
        <v>40</v>
      </c>
      <c r="F109" s="34">
        <v>-1</v>
      </c>
      <c r="G109" s="34">
        <v>2.4</v>
      </c>
      <c r="H109" s="40" t="s">
        <v>389</v>
      </c>
      <c r="I109" s="31" t="s">
        <v>295</v>
      </c>
      <c r="J109" s="14">
        <f>ROWS(I$8:$I109)</f>
        <v>102</v>
      </c>
      <c r="K109" s="14" t="str">
        <f>IF(ID!$B$89=I109,J109,"")</f>
        <v/>
      </c>
      <c r="L109" s="14" t="str">
        <f>IFERROR(SMALL($K$8:$K$174,ROWS($K$8:K109)),"")</f>
        <v/>
      </c>
    </row>
    <row r="110" spans="1:12" x14ac:dyDescent="0.2">
      <c r="B110" s="9">
        <v>25</v>
      </c>
      <c r="C110" s="34">
        <v>-0.4</v>
      </c>
      <c r="D110" s="34">
        <v>0.3</v>
      </c>
      <c r="E110" s="9">
        <v>50</v>
      </c>
      <c r="F110" s="34">
        <v>-0.9</v>
      </c>
      <c r="G110" s="34">
        <v>2.4</v>
      </c>
      <c r="H110" s="40" t="s">
        <v>389</v>
      </c>
      <c r="I110" s="31" t="s">
        <v>295</v>
      </c>
      <c r="J110" s="14">
        <f>ROWS(I$8:$I110)</f>
        <v>103</v>
      </c>
      <c r="K110" s="14" t="str">
        <f>IF(ID!$B$89=I110,J110,"")</f>
        <v/>
      </c>
      <c r="L110" s="14" t="str">
        <f>IFERROR(SMALL($K$8:$K$174,ROWS($K$8:K110)),"")</f>
        <v/>
      </c>
    </row>
    <row r="111" spans="1:12" x14ac:dyDescent="0.2">
      <c r="B111" s="9">
        <v>30</v>
      </c>
      <c r="C111" s="34">
        <v>-0.5</v>
      </c>
      <c r="D111" s="34">
        <v>0.3</v>
      </c>
      <c r="E111" s="9">
        <v>60</v>
      </c>
      <c r="F111" s="34">
        <v>-0.8</v>
      </c>
      <c r="G111" s="34">
        <v>2.4</v>
      </c>
      <c r="H111" s="40" t="s">
        <v>389</v>
      </c>
      <c r="I111" s="31" t="s">
        <v>295</v>
      </c>
      <c r="J111" s="14">
        <f>ROWS(I$8:$I111)</f>
        <v>104</v>
      </c>
      <c r="K111" s="14" t="str">
        <f>IF(ID!$B$89=I111,J111,"")</f>
        <v/>
      </c>
      <c r="L111" s="14" t="str">
        <f>IFERROR(SMALL($K$8:$K$174,ROWS($K$8:K111)),"")</f>
        <v/>
      </c>
    </row>
    <row r="112" spans="1:12" x14ac:dyDescent="0.2">
      <c r="B112" s="9">
        <v>35</v>
      </c>
      <c r="C112" s="34">
        <v>-0.5</v>
      </c>
      <c r="D112" s="34">
        <v>0.3</v>
      </c>
      <c r="E112" s="9">
        <v>70</v>
      </c>
      <c r="F112" s="34">
        <v>-0.6</v>
      </c>
      <c r="G112" s="34">
        <v>2.4</v>
      </c>
      <c r="H112" s="40" t="s">
        <v>389</v>
      </c>
      <c r="I112" s="31" t="s">
        <v>295</v>
      </c>
      <c r="J112" s="14">
        <f>ROWS(I$8:$I112)</f>
        <v>105</v>
      </c>
      <c r="K112" s="14" t="str">
        <f>IF(ID!$B$89=I112,J112,"")</f>
        <v/>
      </c>
      <c r="L112" s="14" t="str">
        <f>IFERROR(SMALL($K$8:$K$174,ROWS($K$8:K112)),"")</f>
        <v/>
      </c>
    </row>
    <row r="113" spans="2:12" x14ac:dyDescent="0.2">
      <c r="B113" s="10">
        <v>37</v>
      </c>
      <c r="C113" s="34">
        <v>-0.5</v>
      </c>
      <c r="D113" s="34">
        <v>0.3</v>
      </c>
      <c r="E113" s="10">
        <v>80</v>
      </c>
      <c r="F113" s="34">
        <v>-0.5</v>
      </c>
      <c r="G113" s="34">
        <v>2.4</v>
      </c>
      <c r="H113" s="40" t="s">
        <v>389</v>
      </c>
      <c r="I113" s="31" t="s">
        <v>295</v>
      </c>
      <c r="J113" s="14">
        <f>ROWS(I$8:$I113)</f>
        <v>106</v>
      </c>
      <c r="K113" s="14" t="str">
        <f>IF(ID!$B$89=I113,J113,"")</f>
        <v/>
      </c>
      <c r="L113" s="14" t="str">
        <f>IFERROR(SMALL($K$8:$K$174,ROWS($K$8:K113)),"")</f>
        <v/>
      </c>
    </row>
    <row r="114" spans="2:12" x14ac:dyDescent="0.2">
      <c r="B114" s="10">
        <v>40</v>
      </c>
      <c r="C114" s="35">
        <v>-0.4</v>
      </c>
      <c r="D114" s="34">
        <v>0.3</v>
      </c>
      <c r="E114" s="10">
        <v>90</v>
      </c>
      <c r="F114" s="35">
        <v>-0.2</v>
      </c>
      <c r="G114" s="34">
        <v>2.4</v>
      </c>
      <c r="H114" s="40" t="s">
        <v>389</v>
      </c>
      <c r="I114" s="31" t="s">
        <v>295</v>
      </c>
      <c r="J114" s="14">
        <f>ROWS(I$8:$I114)</f>
        <v>107</v>
      </c>
      <c r="K114" s="14" t="str">
        <f>IF(ID!$B$89=I114,J114,"")</f>
        <v/>
      </c>
      <c r="L114" s="14" t="str">
        <f>IFERROR(SMALL($K$8:$K$174,ROWS($K$8:K114)),"")</f>
        <v/>
      </c>
    </row>
    <row r="115" spans="2:12" x14ac:dyDescent="0.2">
      <c r="J115" s="14">
        <f>ROWS(I$8:$I115)</f>
        <v>108</v>
      </c>
      <c r="K115" s="14" t="str">
        <f>IF(ID!$B$89=I115,J115,"")</f>
        <v/>
      </c>
      <c r="L115" s="14" t="str">
        <f>IFERROR(SMALL($K$8:$K$174,ROWS($K$8:K115)),"")</f>
        <v/>
      </c>
    </row>
    <row r="116" spans="2:12" s="16" customFormat="1" x14ac:dyDescent="0.2">
      <c r="J116" s="14">
        <f>ROWS(I$8:$I116)</f>
        <v>109</v>
      </c>
      <c r="K116" s="14" t="str">
        <f>IF(ID!$B$89=I116,J116,"")</f>
        <v/>
      </c>
      <c r="L116" s="14" t="str">
        <f>IFERROR(SMALL($K$8:$K$174,ROWS($K$8:K116)),"")</f>
        <v/>
      </c>
    </row>
    <row r="117" spans="2:12" x14ac:dyDescent="0.2">
      <c r="J117" s="14">
        <f>ROWS(I$8:$I117)</f>
        <v>110</v>
      </c>
      <c r="K117" s="14" t="str">
        <f>IF(ID!$B$89=I117,J117,"")</f>
        <v/>
      </c>
      <c r="L117" s="14" t="str">
        <f>IFERROR(SMALL($K$8:$K$174,ROWS($K$8:K117)),"")</f>
        <v/>
      </c>
    </row>
    <row r="118" spans="2:12" x14ac:dyDescent="0.2">
      <c r="B118" s="9">
        <v>15</v>
      </c>
      <c r="C118" s="34">
        <v>-0.2</v>
      </c>
      <c r="D118" s="34">
        <v>0.4</v>
      </c>
      <c r="E118" s="9">
        <v>30</v>
      </c>
      <c r="F118" s="34">
        <v>1</v>
      </c>
      <c r="G118" s="34">
        <v>2.2000000000000002</v>
      </c>
      <c r="H118" s="971" t="s">
        <v>390</v>
      </c>
      <c r="I118" s="31" t="s">
        <v>301</v>
      </c>
      <c r="J118" s="14">
        <f>ROWS(I$8:$I118)</f>
        <v>111</v>
      </c>
      <c r="K118" s="14" t="str">
        <f>IF(ID!$B$89=I118,J118,"")</f>
        <v/>
      </c>
      <c r="L118" s="14" t="str">
        <f>IFERROR(SMALL($K$8:$K$174,ROWS($K$8:K118)),"")</f>
        <v/>
      </c>
    </row>
    <row r="119" spans="2:12" x14ac:dyDescent="0.2">
      <c r="B119" s="9">
        <v>20</v>
      </c>
      <c r="C119" s="34">
        <v>-0.1</v>
      </c>
      <c r="D119" s="34">
        <v>0.4</v>
      </c>
      <c r="E119" s="9">
        <v>40</v>
      </c>
      <c r="F119" s="34">
        <v>0.3</v>
      </c>
      <c r="G119" s="34">
        <v>2.2000000000000002</v>
      </c>
      <c r="H119" s="971"/>
      <c r="I119" s="31" t="s">
        <v>301</v>
      </c>
      <c r="J119" s="14">
        <f>ROWS(I$8:$I119)</f>
        <v>112</v>
      </c>
      <c r="K119" s="14" t="str">
        <f>IF(ID!$B$89=I119,J119,"")</f>
        <v/>
      </c>
      <c r="L119" s="14" t="str">
        <f>IFERROR(SMALL($K$8:$K$174,ROWS($K$8:K119)),"")</f>
        <v/>
      </c>
    </row>
    <row r="120" spans="2:12" x14ac:dyDescent="0.2">
      <c r="B120" s="9">
        <v>25</v>
      </c>
      <c r="C120" s="34">
        <v>-0.1</v>
      </c>
      <c r="D120" s="34">
        <v>0.4</v>
      </c>
      <c r="E120" s="9">
        <v>50</v>
      </c>
      <c r="F120" s="34">
        <v>-0.2</v>
      </c>
      <c r="G120" s="34">
        <v>2.2000000000000002</v>
      </c>
      <c r="H120" s="971"/>
      <c r="I120" s="31" t="s">
        <v>301</v>
      </c>
      <c r="J120" s="14">
        <f>ROWS(I$8:$I120)</f>
        <v>113</v>
      </c>
      <c r="K120" s="14" t="str">
        <f>IF(ID!$B$89=I120,J120,"")</f>
        <v/>
      </c>
      <c r="L120" s="14" t="str">
        <f>IFERROR(SMALL($K$8:$K$174,ROWS($K$8:K120)),"")</f>
        <v/>
      </c>
    </row>
    <row r="121" spans="2:12" x14ac:dyDescent="0.2">
      <c r="B121" s="9">
        <v>30</v>
      </c>
      <c r="C121" s="34">
        <v>-0.3</v>
      </c>
      <c r="D121" s="34">
        <v>0.4</v>
      </c>
      <c r="E121" s="9">
        <v>60</v>
      </c>
      <c r="F121" s="34">
        <v>-0.6</v>
      </c>
      <c r="G121" s="34">
        <v>2.2000000000000002</v>
      </c>
      <c r="H121" s="971"/>
      <c r="I121" s="31" t="s">
        <v>301</v>
      </c>
      <c r="J121" s="14">
        <f>ROWS(I$8:$I121)</f>
        <v>114</v>
      </c>
      <c r="K121" s="14" t="str">
        <f>IF(ID!$B$89=I121,J121,"")</f>
        <v/>
      </c>
      <c r="L121" s="14" t="str">
        <f>IFERROR(SMALL($K$8:$K$174,ROWS($K$8:K121)),"")</f>
        <v/>
      </c>
    </row>
    <row r="122" spans="2:12" x14ac:dyDescent="0.2">
      <c r="B122" s="9">
        <v>35</v>
      </c>
      <c r="C122" s="34">
        <v>-0.6</v>
      </c>
      <c r="D122" s="34">
        <v>0.4</v>
      </c>
      <c r="E122" s="9">
        <v>70</v>
      </c>
      <c r="F122" s="34">
        <v>-0.8</v>
      </c>
      <c r="G122" s="34">
        <v>2.2000000000000002</v>
      </c>
      <c r="H122" s="971"/>
      <c r="I122" s="31" t="s">
        <v>301</v>
      </c>
      <c r="J122" s="14">
        <f>ROWS(I$8:$I122)</f>
        <v>115</v>
      </c>
      <c r="K122" s="14" t="str">
        <f>IF(ID!$B$89=I122,J122,"")</f>
        <v/>
      </c>
      <c r="L122" s="14" t="str">
        <f>IFERROR(SMALL($K$8:$K$174,ROWS($K$8:K122)),"")</f>
        <v/>
      </c>
    </row>
    <row r="123" spans="2:12" x14ac:dyDescent="0.2">
      <c r="B123" s="10">
        <v>37</v>
      </c>
      <c r="C123" s="34">
        <v>-0.8</v>
      </c>
      <c r="D123" s="34">
        <v>0.4</v>
      </c>
      <c r="E123" s="10">
        <v>80</v>
      </c>
      <c r="F123" s="34">
        <v>-0.9</v>
      </c>
      <c r="G123" s="34">
        <v>2.2000000000000002</v>
      </c>
      <c r="H123" s="971"/>
      <c r="I123" s="31" t="s">
        <v>301</v>
      </c>
      <c r="J123" s="14">
        <f>ROWS(I$8:$I123)</f>
        <v>116</v>
      </c>
      <c r="K123" s="14" t="str">
        <f>IF(ID!$B$89=I123,J123,"")</f>
        <v/>
      </c>
      <c r="L123" s="14" t="str">
        <f>IFERROR(SMALL($K$8:$K$174,ROWS($K$8:K123)),"")</f>
        <v/>
      </c>
    </row>
    <row r="124" spans="2:12" x14ac:dyDescent="0.2">
      <c r="B124" s="10">
        <v>40</v>
      </c>
      <c r="C124" s="35">
        <v>-1.1000000000000001</v>
      </c>
      <c r="D124" s="34">
        <v>0.4</v>
      </c>
      <c r="E124" s="10">
        <v>90</v>
      </c>
      <c r="F124" s="35">
        <v>-0.8</v>
      </c>
      <c r="G124" s="34">
        <v>2.2000000000000002</v>
      </c>
      <c r="H124" s="971"/>
      <c r="I124" s="31" t="s">
        <v>301</v>
      </c>
      <c r="J124" s="14">
        <f>ROWS(I$8:$I124)</f>
        <v>117</v>
      </c>
      <c r="K124" s="14" t="str">
        <f>IF(ID!$B$89=I124,J124,"")</f>
        <v/>
      </c>
      <c r="L124" s="14" t="str">
        <f>IFERROR(SMALL($K$8:$K$174,ROWS($K$8:K124)),"")</f>
        <v/>
      </c>
    </row>
    <row r="125" spans="2:12" x14ac:dyDescent="0.2">
      <c r="J125" s="14">
        <f>ROWS(I$8:$I125)</f>
        <v>118</v>
      </c>
      <c r="K125" s="14" t="str">
        <f>IF(ID!$B$89=I125,J125,"")</f>
        <v/>
      </c>
      <c r="L125" s="14" t="str">
        <f>IFERROR(SMALL($K$8:$K$174,ROWS($K$8:K125)),"")</f>
        <v/>
      </c>
    </row>
    <row r="126" spans="2:12" x14ac:dyDescent="0.2">
      <c r="J126" s="14">
        <f>ROWS(I$8:$I126)</f>
        <v>119</v>
      </c>
      <c r="K126" s="14" t="str">
        <f>IF(ID!$B$89=I126,J126,"")</f>
        <v/>
      </c>
      <c r="L126" s="14" t="str">
        <f>IFERROR(SMALL($K$8:$K$174,ROWS($K$8:K126)),"")</f>
        <v/>
      </c>
    </row>
    <row r="127" spans="2:12" x14ac:dyDescent="0.2">
      <c r="J127" s="14">
        <f>ROWS(I$8:$I127)</f>
        <v>120</v>
      </c>
      <c r="K127" s="14" t="str">
        <f>IF(ID!$B$89=I127,J127,"")</f>
        <v/>
      </c>
      <c r="L127" s="14" t="str">
        <f>IFERROR(SMALL($K$8:$K$174,ROWS($K$8:K127)),"")</f>
        <v/>
      </c>
    </row>
    <row r="128" spans="2:12" x14ac:dyDescent="0.2">
      <c r="B128" s="9">
        <v>15</v>
      </c>
      <c r="C128" s="34">
        <v>-0.6</v>
      </c>
      <c r="D128" s="34">
        <v>0.3</v>
      </c>
      <c r="E128" s="9">
        <v>30</v>
      </c>
      <c r="F128" s="34">
        <v>-0.5</v>
      </c>
      <c r="G128" s="34">
        <v>2.7</v>
      </c>
      <c r="H128" s="971" t="s">
        <v>390</v>
      </c>
      <c r="I128" s="31" t="s">
        <v>302</v>
      </c>
      <c r="J128" s="14">
        <f>ROWS(I$8:$I128)</f>
        <v>121</v>
      </c>
      <c r="K128" s="14" t="str">
        <f>IF(ID!$B$89=I128,J128,"")</f>
        <v/>
      </c>
      <c r="L128" s="14" t="str">
        <f>IFERROR(SMALL($K$8:$K$174,ROWS($K$8:K128)),"")</f>
        <v/>
      </c>
    </row>
    <row r="129" spans="2:12" x14ac:dyDescent="0.2">
      <c r="B129" s="9">
        <v>20</v>
      </c>
      <c r="C129" s="34">
        <v>-0.5</v>
      </c>
      <c r="D129" s="34">
        <v>0.3</v>
      </c>
      <c r="E129" s="9">
        <v>40</v>
      </c>
      <c r="F129" s="34">
        <v>-0.3</v>
      </c>
      <c r="G129" s="34">
        <v>2.7</v>
      </c>
      <c r="H129" s="971"/>
      <c r="I129" s="31" t="s">
        <v>302</v>
      </c>
      <c r="J129" s="14">
        <f>ROWS(I$8:$I129)</f>
        <v>122</v>
      </c>
      <c r="K129" s="14" t="str">
        <f>IF(ID!$B$89=I129,J129,"")</f>
        <v/>
      </c>
      <c r="L129" s="14" t="str">
        <f>IFERROR(SMALL($K$8:$K$174,ROWS($K$8:K129)),"")</f>
        <v/>
      </c>
    </row>
    <row r="130" spans="2:12" x14ac:dyDescent="0.2">
      <c r="B130" s="9">
        <v>25</v>
      </c>
      <c r="C130" s="34">
        <v>-0.4</v>
      </c>
      <c r="D130" s="34">
        <v>0.3</v>
      </c>
      <c r="E130" s="9">
        <v>50</v>
      </c>
      <c r="F130" s="34">
        <v>-0.3</v>
      </c>
      <c r="G130" s="34">
        <v>2.7</v>
      </c>
      <c r="H130" s="971"/>
      <c r="I130" s="31" t="s">
        <v>302</v>
      </c>
      <c r="J130" s="14">
        <f>ROWS(I$8:$I130)</f>
        <v>123</v>
      </c>
      <c r="K130" s="14" t="str">
        <f>IF(ID!$B$89=I130,J130,"")</f>
        <v/>
      </c>
      <c r="L130" s="14" t="str">
        <f>IFERROR(SMALL($K$8:$K$174,ROWS($K$8:K130)),"")</f>
        <v/>
      </c>
    </row>
    <row r="131" spans="2:12" x14ac:dyDescent="0.2">
      <c r="B131" s="9">
        <v>30</v>
      </c>
      <c r="C131" s="34">
        <v>-0.2</v>
      </c>
      <c r="D131" s="34">
        <v>0.3</v>
      </c>
      <c r="E131" s="9">
        <v>60</v>
      </c>
      <c r="F131" s="34">
        <v>-0.5</v>
      </c>
      <c r="G131" s="34">
        <v>2.7</v>
      </c>
      <c r="H131" s="971"/>
      <c r="I131" s="31" t="s">
        <v>302</v>
      </c>
      <c r="J131" s="14">
        <f>ROWS(I$8:$I131)</f>
        <v>124</v>
      </c>
      <c r="K131" s="14" t="str">
        <f>IF(ID!$B$89=I131,J131,"")</f>
        <v/>
      </c>
      <c r="L131" s="14" t="str">
        <f>IFERROR(SMALL($K$8:$K$174,ROWS($K$8:K131)),"")</f>
        <v/>
      </c>
    </row>
    <row r="132" spans="2:12" x14ac:dyDescent="0.2">
      <c r="B132" s="9">
        <v>35</v>
      </c>
      <c r="C132" s="34">
        <v>-0.1</v>
      </c>
      <c r="D132" s="34">
        <v>0.3</v>
      </c>
      <c r="E132" s="9">
        <v>70</v>
      </c>
      <c r="F132" s="34">
        <v>-0.8</v>
      </c>
      <c r="G132" s="34">
        <v>2.7</v>
      </c>
      <c r="H132" s="971"/>
      <c r="I132" s="31" t="s">
        <v>302</v>
      </c>
      <c r="J132" s="14">
        <f>ROWS(I$8:$I132)</f>
        <v>125</v>
      </c>
      <c r="K132" s="14" t="str">
        <f>IF(ID!$B$89=I132,J132,"")</f>
        <v/>
      </c>
      <c r="L132" s="14" t="str">
        <f>IFERROR(SMALL($K$8:$K$174,ROWS($K$8:K132)),"")</f>
        <v/>
      </c>
    </row>
    <row r="133" spans="2:12" x14ac:dyDescent="0.2">
      <c r="B133" s="10">
        <v>37</v>
      </c>
      <c r="C133" s="34">
        <v>-0.1</v>
      </c>
      <c r="D133" s="34">
        <v>0.3</v>
      </c>
      <c r="E133" s="10">
        <v>80</v>
      </c>
      <c r="F133" s="34">
        <v>-1.3</v>
      </c>
      <c r="G133" s="34">
        <v>2.7</v>
      </c>
      <c r="H133" s="971"/>
      <c r="I133" s="31" t="s">
        <v>302</v>
      </c>
      <c r="J133" s="14">
        <f>ROWS(I$8:$I133)</f>
        <v>126</v>
      </c>
      <c r="K133" s="14" t="str">
        <f>IF(ID!$B$89=I133,J133,"")</f>
        <v/>
      </c>
      <c r="L133" s="14" t="str">
        <f>IFERROR(SMALL($K$8:$K$174,ROWS($K$8:K133)),"")</f>
        <v/>
      </c>
    </row>
    <row r="134" spans="2:12" x14ac:dyDescent="0.2">
      <c r="B134" s="10">
        <v>40</v>
      </c>
      <c r="C134" s="209">
        <v>9.9999999999999995E-7</v>
      </c>
      <c r="D134" s="34">
        <v>0.3</v>
      </c>
      <c r="E134" s="10">
        <v>90</v>
      </c>
      <c r="F134" s="35">
        <v>-2</v>
      </c>
      <c r="G134" s="34">
        <v>2.7</v>
      </c>
      <c r="H134" s="971"/>
      <c r="I134" s="31" t="s">
        <v>302</v>
      </c>
      <c r="J134" s="14">
        <f>ROWS(I$8:$I134)</f>
        <v>127</v>
      </c>
      <c r="K134" s="14" t="str">
        <f>IF(ID!$B$89=I134,J134,"")</f>
        <v/>
      </c>
      <c r="L134" s="14" t="str">
        <f>IFERROR(SMALL($K$8:$K$174,ROWS($K$8:K134)),"")</f>
        <v/>
      </c>
    </row>
    <row r="135" spans="2:12" x14ac:dyDescent="0.2">
      <c r="J135" s="14">
        <f>ROWS(I$8:$I135)</f>
        <v>128</v>
      </c>
      <c r="K135" s="14" t="str">
        <f>IF(ID!$B$89=I135,J135,"")</f>
        <v/>
      </c>
      <c r="L135" s="14" t="str">
        <f>IFERROR(SMALL($K$8:$K$174,ROWS($K$8:K135)),"")</f>
        <v/>
      </c>
    </row>
    <row r="136" spans="2:12" x14ac:dyDescent="0.2">
      <c r="J136" s="14">
        <f>ROWS(I$8:$I136)</f>
        <v>129</v>
      </c>
      <c r="K136" s="14" t="str">
        <f>IF(ID!$B$89=I136,J136,"")</f>
        <v/>
      </c>
      <c r="L136" s="14" t="str">
        <f>IFERROR(SMALL($K$8:$K$174,ROWS($K$8:K136)),"")</f>
        <v/>
      </c>
    </row>
    <row r="137" spans="2:12" x14ac:dyDescent="0.2">
      <c r="J137" s="14">
        <f>ROWS(I$8:$I137)</f>
        <v>130</v>
      </c>
      <c r="K137" s="14" t="str">
        <f>IF(ID!$B$89=I137,J137,"")</f>
        <v/>
      </c>
      <c r="L137" s="14" t="str">
        <f>IFERROR(SMALL($K$8:$K$174,ROWS($K$8:K137)),"")</f>
        <v/>
      </c>
    </row>
    <row r="138" spans="2:12" x14ac:dyDescent="0.2">
      <c r="B138" s="9">
        <v>15</v>
      </c>
      <c r="C138" s="34">
        <v>-0.7</v>
      </c>
      <c r="D138" s="34">
        <v>0.3</v>
      </c>
      <c r="E138" s="9">
        <v>30</v>
      </c>
      <c r="F138" s="34">
        <v>-1.5</v>
      </c>
      <c r="G138" s="34">
        <v>2.7</v>
      </c>
      <c r="H138" s="971" t="s">
        <v>390</v>
      </c>
      <c r="I138" s="31" t="s">
        <v>303</v>
      </c>
      <c r="J138" s="14">
        <f>ROWS(I$8:$I138)</f>
        <v>131</v>
      </c>
      <c r="K138" s="14" t="str">
        <f>IF(ID!$B$89=I138,J138,"")</f>
        <v/>
      </c>
      <c r="L138" s="14" t="str">
        <f>IFERROR(SMALL($K$8:$K$174,ROWS($K$8:K138)),"")</f>
        <v/>
      </c>
    </row>
    <row r="139" spans="2:12" x14ac:dyDescent="0.2">
      <c r="B139" s="9">
        <v>20</v>
      </c>
      <c r="C139" s="34">
        <v>-0.4</v>
      </c>
      <c r="D139" s="34">
        <v>0.3</v>
      </c>
      <c r="E139" s="9">
        <v>40</v>
      </c>
      <c r="F139" s="34">
        <v>-1.3</v>
      </c>
      <c r="G139" s="34">
        <v>2.7</v>
      </c>
      <c r="H139" s="971"/>
      <c r="I139" s="31" t="s">
        <v>303</v>
      </c>
      <c r="J139" s="14">
        <f>ROWS(I$8:$I139)</f>
        <v>132</v>
      </c>
      <c r="K139" s="14" t="str">
        <f>IF(ID!$B$89=I139,J139,"")</f>
        <v/>
      </c>
      <c r="L139" s="14" t="str">
        <f>IFERROR(SMALL($K$8:$K$174,ROWS($K$8:K139)),"")</f>
        <v/>
      </c>
    </row>
    <row r="140" spans="2:12" x14ac:dyDescent="0.2">
      <c r="B140" s="9">
        <v>25</v>
      </c>
      <c r="C140" s="34">
        <v>-0.2</v>
      </c>
      <c r="D140" s="34">
        <v>0.3</v>
      </c>
      <c r="E140" s="9">
        <v>50</v>
      </c>
      <c r="F140" s="34">
        <v>-1.3</v>
      </c>
      <c r="G140" s="34">
        <v>2.7</v>
      </c>
      <c r="H140" s="971"/>
      <c r="I140" s="31" t="s">
        <v>303</v>
      </c>
      <c r="J140" s="14">
        <f>ROWS(I$8:$I140)</f>
        <v>133</v>
      </c>
      <c r="K140" s="14" t="str">
        <f>IF(ID!$B$89=I140,J140,"")</f>
        <v/>
      </c>
      <c r="L140" s="14" t="str">
        <f>IFERROR(SMALL($K$8:$K$174,ROWS($K$8:K140)),"")</f>
        <v/>
      </c>
    </row>
    <row r="141" spans="2:12" x14ac:dyDescent="0.2">
      <c r="B141" s="9">
        <v>30</v>
      </c>
      <c r="C141" s="34">
        <v>0.1</v>
      </c>
      <c r="D141" s="34">
        <v>0.3</v>
      </c>
      <c r="E141" s="9">
        <v>60</v>
      </c>
      <c r="F141" s="34">
        <v>-1.5</v>
      </c>
      <c r="G141" s="34">
        <v>2.7</v>
      </c>
      <c r="H141" s="971"/>
      <c r="I141" s="31" t="s">
        <v>303</v>
      </c>
      <c r="J141" s="14">
        <f>ROWS(I$8:$I141)</f>
        <v>134</v>
      </c>
      <c r="K141" s="14" t="str">
        <f>IF(ID!$B$89=I141,J141,"")</f>
        <v/>
      </c>
      <c r="L141" s="14" t="str">
        <f>IFERROR(SMALL($K$8:$K$174,ROWS($K$8:K141)),"")</f>
        <v/>
      </c>
    </row>
    <row r="142" spans="2:12" x14ac:dyDescent="0.2">
      <c r="B142" s="9">
        <v>35</v>
      </c>
      <c r="C142" s="34">
        <v>0.3</v>
      </c>
      <c r="D142" s="34">
        <v>0.3</v>
      </c>
      <c r="E142" s="9">
        <v>70</v>
      </c>
      <c r="F142" s="34">
        <v>-1.9</v>
      </c>
      <c r="G142" s="34">
        <v>2.7</v>
      </c>
      <c r="H142" s="971"/>
      <c r="I142" s="31" t="s">
        <v>303</v>
      </c>
      <c r="J142" s="14">
        <f>ROWS(I$8:$I142)</f>
        <v>135</v>
      </c>
      <c r="K142" s="14" t="str">
        <f>IF(ID!$B$89=I142,J142,"")</f>
        <v/>
      </c>
      <c r="L142" s="14" t="str">
        <f>IFERROR(SMALL($K$8:$K$174,ROWS($K$8:K142)),"")</f>
        <v/>
      </c>
    </row>
    <row r="143" spans="2:12" x14ac:dyDescent="0.2">
      <c r="B143" s="10">
        <v>37</v>
      </c>
      <c r="C143" s="34">
        <v>0.4</v>
      </c>
      <c r="D143" s="34">
        <v>0.3</v>
      </c>
      <c r="E143" s="10">
        <v>80</v>
      </c>
      <c r="F143" s="34">
        <v>-2.5</v>
      </c>
      <c r="G143" s="34">
        <v>2.7</v>
      </c>
      <c r="H143" s="971"/>
      <c r="I143" s="31" t="s">
        <v>303</v>
      </c>
      <c r="J143" s="14">
        <f>ROWS(I$8:$I143)</f>
        <v>136</v>
      </c>
      <c r="K143" s="14" t="str">
        <f>IF(ID!$B$89=I143,J143,"")</f>
        <v/>
      </c>
      <c r="L143" s="14" t="str">
        <f>IFERROR(SMALL($K$8:$K$174,ROWS($K$8:K143)),"")</f>
        <v/>
      </c>
    </row>
    <row r="144" spans="2:12" x14ac:dyDescent="0.2">
      <c r="B144" s="10">
        <v>40</v>
      </c>
      <c r="C144" s="210">
        <v>0.5</v>
      </c>
      <c r="D144" s="34">
        <v>0.3</v>
      </c>
      <c r="E144" s="10">
        <v>90</v>
      </c>
      <c r="F144" s="35">
        <v>-3.2</v>
      </c>
      <c r="G144" s="34">
        <v>2.7</v>
      </c>
      <c r="H144" s="971"/>
      <c r="I144" s="31" t="s">
        <v>303</v>
      </c>
      <c r="J144" s="14">
        <f>ROWS(I$8:$I144)</f>
        <v>137</v>
      </c>
      <c r="K144" s="14" t="str">
        <f>IF(ID!$B$89=I144,J144,"")</f>
        <v/>
      </c>
      <c r="L144" s="14" t="str">
        <f>IFERROR(SMALL($K$8:$K$174,ROWS($K$8:K144)),"")</f>
        <v/>
      </c>
    </row>
    <row r="145" spans="2:12" x14ac:dyDescent="0.2">
      <c r="J145" s="14">
        <f>ROWS(I$8:$I145)</f>
        <v>138</v>
      </c>
      <c r="K145" s="14" t="str">
        <f>IF(ID!$B$89=I145,J145,"")</f>
        <v/>
      </c>
      <c r="L145" s="14" t="str">
        <f>IFERROR(SMALL($K$8:$K$174,ROWS($K$8:K145)),"")</f>
        <v/>
      </c>
    </row>
    <row r="146" spans="2:12" x14ac:dyDescent="0.2">
      <c r="J146" s="14">
        <f>ROWS(I$8:$I146)</f>
        <v>139</v>
      </c>
      <c r="K146" s="14" t="str">
        <f>IF(ID!$B$89=I146,J146,"")</f>
        <v/>
      </c>
      <c r="L146" s="14" t="str">
        <f>IFERROR(SMALL($K$8:$K$174,ROWS($K$8:K146)),"")</f>
        <v/>
      </c>
    </row>
    <row r="147" spans="2:12" x14ac:dyDescent="0.2">
      <c r="J147" s="14">
        <f>ROWS(I$8:$I147)</f>
        <v>140</v>
      </c>
      <c r="K147" s="14" t="str">
        <f>IF(ID!$B$89=I147,J147,"")</f>
        <v/>
      </c>
      <c r="L147" s="14" t="str">
        <f>IFERROR(SMALL($K$8:$K$174,ROWS($K$8:K147)),"")</f>
        <v/>
      </c>
    </row>
    <row r="148" spans="2:12" x14ac:dyDescent="0.2">
      <c r="B148" s="9">
        <v>15</v>
      </c>
      <c r="C148" s="34">
        <v>0.4</v>
      </c>
      <c r="D148" s="34">
        <v>0.5</v>
      </c>
      <c r="E148" s="9">
        <v>30</v>
      </c>
      <c r="F148" s="34">
        <v>-6.6</v>
      </c>
      <c r="G148" s="34">
        <v>2.9</v>
      </c>
      <c r="H148" s="971" t="s">
        <v>391</v>
      </c>
      <c r="I148" s="31" t="s">
        <v>300</v>
      </c>
      <c r="J148" s="14">
        <f>ROWS(I$8:$I148)</f>
        <v>141</v>
      </c>
      <c r="K148" s="14" t="str">
        <f>IF(ID!$B$89=I148,J148,"")</f>
        <v/>
      </c>
      <c r="L148" s="14" t="str">
        <f>IFERROR(SMALL($K$8:$K$174,ROWS($K$8:K148)),"")</f>
        <v/>
      </c>
    </row>
    <row r="149" spans="2:12" x14ac:dyDescent="0.2">
      <c r="B149" s="9">
        <v>20</v>
      </c>
      <c r="C149" s="34">
        <v>0.4</v>
      </c>
      <c r="D149" s="34">
        <v>0.5</v>
      </c>
      <c r="E149" s="9">
        <v>40</v>
      </c>
      <c r="F149" s="34">
        <v>-5.8</v>
      </c>
      <c r="G149" s="34">
        <v>2.9</v>
      </c>
      <c r="H149" s="971"/>
      <c r="I149" s="31" t="s">
        <v>300</v>
      </c>
      <c r="J149" s="14">
        <f>ROWS(I$8:$I149)</f>
        <v>142</v>
      </c>
      <c r="K149" s="14" t="str">
        <f>IF(ID!$B$89=I149,J149,"")</f>
        <v/>
      </c>
      <c r="L149" s="14" t="str">
        <f>IFERROR(SMALL($K$8:$K$174,ROWS($K$8:K149)),"")</f>
        <v/>
      </c>
    </row>
    <row r="150" spans="2:12" x14ac:dyDescent="0.2">
      <c r="B150" s="9">
        <v>25</v>
      </c>
      <c r="C150" s="34">
        <v>0.4</v>
      </c>
      <c r="D150" s="34">
        <v>0.5</v>
      </c>
      <c r="E150" s="9">
        <v>50</v>
      </c>
      <c r="F150" s="34">
        <v>-5.0999999999999996</v>
      </c>
      <c r="G150" s="34">
        <v>2.9</v>
      </c>
      <c r="H150" s="971"/>
      <c r="I150" s="31" t="s">
        <v>300</v>
      </c>
      <c r="J150" s="14">
        <f>ROWS(I$8:$I150)</f>
        <v>143</v>
      </c>
      <c r="K150" s="14" t="str">
        <f>IF(ID!$B$89=I150,J150,"")</f>
        <v/>
      </c>
      <c r="L150" s="14" t="str">
        <f>IFERROR(SMALL($K$8:$K$174,ROWS($K$8:K150)),"")</f>
        <v/>
      </c>
    </row>
    <row r="151" spans="2:12" x14ac:dyDescent="0.2">
      <c r="B151" s="9">
        <v>30</v>
      </c>
      <c r="C151" s="34">
        <v>0.3</v>
      </c>
      <c r="D151" s="34">
        <v>0.5</v>
      </c>
      <c r="E151" s="9">
        <v>60</v>
      </c>
      <c r="F151" s="34">
        <v>-4.4000000000000004</v>
      </c>
      <c r="G151" s="34">
        <v>2.9</v>
      </c>
      <c r="H151" s="971"/>
      <c r="I151" s="31" t="s">
        <v>300</v>
      </c>
      <c r="J151" s="14">
        <f>ROWS(I$8:$I151)</f>
        <v>144</v>
      </c>
      <c r="K151" s="14" t="str">
        <f>IF(ID!$B$89=I151,J151,"")</f>
        <v/>
      </c>
      <c r="L151" s="14" t="str">
        <f>IFERROR(SMALL($K$8:$K$174,ROWS($K$8:K151)),"")</f>
        <v/>
      </c>
    </row>
    <row r="152" spans="2:12" x14ac:dyDescent="0.2">
      <c r="B152" s="9">
        <v>35</v>
      </c>
      <c r="C152" s="34">
        <v>0.2</v>
      </c>
      <c r="D152" s="34">
        <v>0.5</v>
      </c>
      <c r="E152" s="9">
        <v>70</v>
      </c>
      <c r="F152" s="34">
        <v>-3.6</v>
      </c>
      <c r="G152" s="34">
        <v>2.9</v>
      </c>
      <c r="H152" s="971"/>
      <c r="I152" s="31" t="s">
        <v>300</v>
      </c>
      <c r="J152" s="14">
        <f>ROWS(I$8:$I152)</f>
        <v>145</v>
      </c>
      <c r="K152" s="14" t="str">
        <f>IF(ID!$B$89=I152,J152,"")</f>
        <v/>
      </c>
      <c r="L152" s="14" t="str">
        <f>IFERROR(SMALL($K$8:$K$174,ROWS($K$8:K152)),"")</f>
        <v/>
      </c>
    </row>
    <row r="153" spans="2:12" x14ac:dyDescent="0.2">
      <c r="B153" s="10">
        <v>37</v>
      </c>
      <c r="C153" s="34">
        <v>0.2</v>
      </c>
      <c r="D153" s="34">
        <v>0.5</v>
      </c>
      <c r="E153" s="10">
        <v>80</v>
      </c>
      <c r="F153" s="34">
        <v>-2.9</v>
      </c>
      <c r="G153" s="34">
        <v>2.9</v>
      </c>
      <c r="H153" s="971"/>
      <c r="I153" s="31" t="s">
        <v>300</v>
      </c>
      <c r="J153" s="14">
        <f>ROWS(I$8:$I153)</f>
        <v>146</v>
      </c>
      <c r="K153" s="14" t="str">
        <f>IF(ID!$B$89=I153,J153,"")</f>
        <v/>
      </c>
      <c r="L153" s="14" t="str">
        <f>IFERROR(SMALL($K$8:$K$174,ROWS($K$8:K153)),"")</f>
        <v/>
      </c>
    </row>
    <row r="154" spans="2:12" x14ac:dyDescent="0.2">
      <c r="B154" s="10">
        <v>40</v>
      </c>
      <c r="C154" s="210">
        <v>0.1</v>
      </c>
      <c r="D154" s="34">
        <v>0.5</v>
      </c>
      <c r="E154" s="10">
        <v>90</v>
      </c>
      <c r="F154" s="35">
        <v>-2.2999999999999998</v>
      </c>
      <c r="G154" s="34">
        <v>2.9</v>
      </c>
      <c r="H154" s="972"/>
      <c r="I154" s="31" t="s">
        <v>300</v>
      </c>
      <c r="J154" s="14">
        <f>ROWS(I$8:$I154)</f>
        <v>147</v>
      </c>
      <c r="K154" s="14" t="str">
        <f>IF(ID!$B$89=I154,J154,"")</f>
        <v/>
      </c>
      <c r="L154" s="14" t="str">
        <f>IFERROR(SMALL($K$8:$K$174,ROWS($K$8:K154)),"")</f>
        <v/>
      </c>
    </row>
    <row r="155" spans="2:12" x14ac:dyDescent="0.2">
      <c r="J155" s="14">
        <f>ROWS(I$8:$I155)</f>
        <v>148</v>
      </c>
      <c r="K155" s="14" t="str">
        <f>IF(ID!$B$89=I155,J155,"")</f>
        <v/>
      </c>
      <c r="L155" s="14" t="str">
        <f>IFERROR(SMALL($K$8:$K$174,ROWS($K$8:K155)),"")</f>
        <v/>
      </c>
    </row>
    <row r="156" spans="2:12" x14ac:dyDescent="0.2">
      <c r="J156" s="14">
        <f>ROWS(I$8:$I156)</f>
        <v>149</v>
      </c>
      <c r="K156" s="14" t="str">
        <f>IF(ID!$B$89=I156,J156,"")</f>
        <v/>
      </c>
      <c r="L156" s="14" t="str">
        <f>IFERROR(SMALL($K$8:$K$174,ROWS($K$8:K156)),"")</f>
        <v/>
      </c>
    </row>
    <row r="157" spans="2:12" x14ac:dyDescent="0.2">
      <c r="J157" s="14">
        <f>ROWS(I$8:$I157)</f>
        <v>150</v>
      </c>
      <c r="K157" s="14" t="str">
        <f>IF(ID!$B$89=I157,J157,"")</f>
        <v/>
      </c>
      <c r="L157" s="14" t="str">
        <f>IFERROR(SMALL($K$8:$K$174,ROWS($K$8:K157)),"")</f>
        <v/>
      </c>
    </row>
    <row r="158" spans="2:12" x14ac:dyDescent="0.2">
      <c r="B158" s="9">
        <v>15</v>
      </c>
      <c r="C158" s="34">
        <v>0.2</v>
      </c>
      <c r="D158" s="34">
        <v>0.7</v>
      </c>
      <c r="E158" s="9">
        <v>30</v>
      </c>
      <c r="F158" s="34">
        <v>-6.2</v>
      </c>
      <c r="G158" s="34">
        <v>2.7</v>
      </c>
      <c r="H158" s="971" t="s">
        <v>391</v>
      </c>
      <c r="I158" s="31" t="s">
        <v>392</v>
      </c>
      <c r="J158" s="14">
        <f>ROWS(I$8:$I158)</f>
        <v>151</v>
      </c>
      <c r="K158" s="14" t="str">
        <f>IF(ID!$B$89=I158,J158,"")</f>
        <v/>
      </c>
      <c r="L158" s="14" t="str">
        <f>IFERROR(SMALL($K$8:$K$174,ROWS($K$8:K158)),"")</f>
        <v/>
      </c>
    </row>
    <row r="159" spans="2:12" x14ac:dyDescent="0.2">
      <c r="B159" s="9">
        <v>20</v>
      </c>
      <c r="C159" s="34">
        <v>0.2</v>
      </c>
      <c r="D159" s="34">
        <v>0.7</v>
      </c>
      <c r="E159" s="9">
        <v>40</v>
      </c>
      <c r="F159" s="34">
        <v>-5.7</v>
      </c>
      <c r="G159" s="34">
        <v>2.7</v>
      </c>
      <c r="H159" s="971"/>
      <c r="I159" s="31" t="s">
        <v>392</v>
      </c>
      <c r="J159" s="14">
        <f>ROWS(I$8:$I159)</f>
        <v>152</v>
      </c>
      <c r="K159" s="14" t="str">
        <f>IF(ID!$B$89=I159,J159,"")</f>
        <v/>
      </c>
      <c r="L159" s="14" t="str">
        <f>IFERROR(SMALL($K$8:$K$174,ROWS($K$8:K159)),"")</f>
        <v/>
      </c>
    </row>
    <row r="160" spans="2:12" x14ac:dyDescent="0.2">
      <c r="B160" s="9">
        <v>25</v>
      </c>
      <c r="C160" s="34">
        <v>0.1</v>
      </c>
      <c r="D160" s="34">
        <v>0.7</v>
      </c>
      <c r="E160" s="9">
        <v>50</v>
      </c>
      <c r="F160" s="34">
        <v>-5.2</v>
      </c>
      <c r="G160" s="34">
        <v>2.7</v>
      </c>
      <c r="H160" s="971"/>
      <c r="I160" s="31" t="s">
        <v>392</v>
      </c>
      <c r="J160" s="14">
        <f>ROWS(I$8:$I160)</f>
        <v>153</v>
      </c>
      <c r="K160" s="14" t="str">
        <f>IF(ID!$B$89=I160,J160,"")</f>
        <v/>
      </c>
      <c r="L160" s="14" t="str">
        <f>IFERROR(SMALL($K$8:$K$174,ROWS($K$8:K160)),"")</f>
        <v/>
      </c>
    </row>
    <row r="161" spans="2:12" x14ac:dyDescent="0.2">
      <c r="B161" s="9">
        <v>30</v>
      </c>
      <c r="C161" s="34">
        <v>0.2</v>
      </c>
      <c r="D161" s="34">
        <v>0.7</v>
      </c>
      <c r="E161" s="9">
        <v>60</v>
      </c>
      <c r="F161" s="34">
        <v>-4.5999999999999996</v>
      </c>
      <c r="G161" s="34">
        <v>2.7</v>
      </c>
      <c r="H161" s="971"/>
      <c r="I161" s="31" t="s">
        <v>392</v>
      </c>
      <c r="J161" s="14">
        <f>ROWS(I$8:$I161)</f>
        <v>154</v>
      </c>
      <c r="K161" s="14" t="str">
        <f>IF(ID!$B$89=I161,J161,"")</f>
        <v/>
      </c>
      <c r="L161" s="14" t="str">
        <f>IFERROR(SMALL($K$8:$K$174,ROWS($K$8:K161)),"")</f>
        <v/>
      </c>
    </row>
    <row r="162" spans="2:12" x14ac:dyDescent="0.2">
      <c r="B162" s="9">
        <v>35</v>
      </c>
      <c r="C162" s="34">
        <v>0.3</v>
      </c>
      <c r="D162" s="34">
        <v>0.7</v>
      </c>
      <c r="E162" s="9">
        <v>70</v>
      </c>
      <c r="F162" s="34">
        <v>-3.9</v>
      </c>
      <c r="G162" s="34">
        <v>2.7</v>
      </c>
      <c r="H162" s="971"/>
      <c r="I162" s="31" t="s">
        <v>392</v>
      </c>
      <c r="J162" s="14">
        <f>ROWS(I$8:$I162)</f>
        <v>155</v>
      </c>
      <c r="K162" s="14" t="str">
        <f>IF(ID!$B$89=I162,J162,"")</f>
        <v/>
      </c>
      <c r="L162" s="14" t="str">
        <f>IFERROR(SMALL($K$8:$K$174,ROWS($K$8:K162)),"")</f>
        <v/>
      </c>
    </row>
    <row r="163" spans="2:12" x14ac:dyDescent="0.2">
      <c r="B163" s="10">
        <v>37</v>
      </c>
      <c r="C163" s="34">
        <v>0.4</v>
      </c>
      <c r="D163" s="34">
        <v>0.7</v>
      </c>
      <c r="E163" s="10">
        <v>80</v>
      </c>
      <c r="F163" s="34">
        <v>-3.2</v>
      </c>
      <c r="G163" s="34">
        <v>2.7</v>
      </c>
      <c r="H163" s="971"/>
      <c r="I163" s="31" t="s">
        <v>392</v>
      </c>
      <c r="J163" s="14">
        <f>ROWS(I$8:$I163)</f>
        <v>156</v>
      </c>
      <c r="K163" s="14" t="str">
        <f>IF(ID!$B$89=I163,J163,"")</f>
        <v/>
      </c>
      <c r="L163" s="14" t="str">
        <f>IFERROR(SMALL($K$8:$K$174,ROWS($K$8:K163)),"")</f>
        <v/>
      </c>
    </row>
    <row r="164" spans="2:12" x14ac:dyDescent="0.2">
      <c r="B164" s="10">
        <v>40</v>
      </c>
      <c r="C164" s="35">
        <v>0.5</v>
      </c>
      <c r="D164" s="34">
        <v>0.7</v>
      </c>
      <c r="E164" s="10">
        <v>90</v>
      </c>
      <c r="F164" s="35">
        <v>-2.4</v>
      </c>
      <c r="G164" s="34">
        <v>2.7</v>
      </c>
      <c r="H164" s="971"/>
      <c r="I164" s="31" t="s">
        <v>392</v>
      </c>
      <c r="J164" s="14">
        <f>ROWS(I$8:$I164)</f>
        <v>157</v>
      </c>
      <c r="K164" s="14" t="str">
        <f>IF(ID!$B$89=I164,J164,"")</f>
        <v/>
      </c>
      <c r="L164" s="14" t="str">
        <f>IFERROR(SMALL($K$8:$K$174,ROWS($K$8:K164)),"")</f>
        <v/>
      </c>
    </row>
    <row r="165" spans="2:12" x14ac:dyDescent="0.2">
      <c r="J165" s="14">
        <f>ROWS(I$8:$I165)</f>
        <v>158</v>
      </c>
      <c r="K165" s="14" t="str">
        <f>IF(ID!$B$89=I165,J165,"")</f>
        <v/>
      </c>
      <c r="L165" s="14" t="str">
        <f>IFERROR(SMALL($K$8:$K$174,ROWS($K$8:K165)),"")</f>
        <v/>
      </c>
    </row>
    <row r="166" spans="2:12" x14ac:dyDescent="0.2">
      <c r="J166" s="14">
        <f>ROWS(I$8:$I166)</f>
        <v>159</v>
      </c>
      <c r="K166" s="14" t="str">
        <f>IF(ID!$B$89=I166,J166,"")</f>
        <v/>
      </c>
      <c r="L166" s="14" t="str">
        <f>IFERROR(SMALL($K$8:$K$174,ROWS($K$8:K166)),"")</f>
        <v/>
      </c>
    </row>
    <row r="167" spans="2:12" x14ac:dyDescent="0.2">
      <c r="J167" s="14">
        <f>ROWS(I$8:$I167)</f>
        <v>160</v>
      </c>
      <c r="K167" s="14" t="str">
        <f>IF(ID!$B$89=I167,J167,"")</f>
        <v/>
      </c>
      <c r="L167" s="14" t="str">
        <f>IFERROR(SMALL($K$8:$K$174,ROWS($K$8:K167)),"")</f>
        <v/>
      </c>
    </row>
    <row r="168" spans="2:12" x14ac:dyDescent="0.2">
      <c r="B168" s="9">
        <v>15</v>
      </c>
      <c r="C168" s="34">
        <v>0.2</v>
      </c>
      <c r="D168" s="34">
        <v>0.5</v>
      </c>
      <c r="E168" s="9">
        <v>30</v>
      </c>
      <c r="F168" s="34">
        <v>-3.8</v>
      </c>
      <c r="G168" s="34">
        <v>2.2000000000000002</v>
      </c>
      <c r="H168" s="971" t="s">
        <v>391</v>
      </c>
      <c r="I168" s="31" t="s">
        <v>297</v>
      </c>
      <c r="J168" s="14">
        <f>ROWS(I$8:$I168)</f>
        <v>161</v>
      </c>
      <c r="K168" s="14" t="str">
        <f>IF(ID!$B$89=I168,J168,"")</f>
        <v/>
      </c>
      <c r="L168" s="14" t="str">
        <f>IFERROR(SMALL($K$8:$K$174,ROWS($K$8:K168)),"")</f>
        <v/>
      </c>
    </row>
    <row r="169" spans="2:12" x14ac:dyDescent="0.2">
      <c r="B169" s="9">
        <v>20</v>
      </c>
      <c r="C169" s="34">
        <v>0.2</v>
      </c>
      <c r="D169" s="34">
        <v>0.5</v>
      </c>
      <c r="E169" s="9">
        <v>40</v>
      </c>
      <c r="F169" s="34">
        <v>-4</v>
      </c>
      <c r="G169" s="34">
        <v>2.2000000000000002</v>
      </c>
      <c r="H169" s="971"/>
      <c r="I169" s="31" t="s">
        <v>297</v>
      </c>
      <c r="J169" s="14">
        <f>ROWS(I$8:$I169)</f>
        <v>162</v>
      </c>
      <c r="K169" s="14" t="str">
        <f>IF(ID!$B$89=I169,J169,"")</f>
        <v/>
      </c>
      <c r="L169" s="14" t="str">
        <f>IFERROR(SMALL($K$8:$K$174,ROWS($K$8:K169)),"")</f>
        <v/>
      </c>
    </row>
    <row r="170" spans="2:12" x14ac:dyDescent="0.2">
      <c r="B170" s="9">
        <v>25</v>
      </c>
      <c r="C170" s="34">
        <v>0.1</v>
      </c>
      <c r="D170" s="34">
        <v>0.5</v>
      </c>
      <c r="E170" s="9">
        <v>50</v>
      </c>
      <c r="F170" s="34">
        <v>-4.0999999999999996</v>
      </c>
      <c r="G170" s="34">
        <v>2.2000000000000002</v>
      </c>
      <c r="H170" s="971"/>
      <c r="I170" s="31" t="s">
        <v>297</v>
      </c>
      <c r="J170" s="14">
        <f>ROWS(I$8:$I170)</f>
        <v>163</v>
      </c>
      <c r="K170" s="14" t="str">
        <f>IF(ID!$B$89=I170,J170,"")</f>
        <v/>
      </c>
      <c r="L170" s="14" t="str">
        <f>IFERROR(SMALL($K$8:$K$174,ROWS($K$8:K170)),"")</f>
        <v/>
      </c>
    </row>
    <row r="171" spans="2:12" x14ac:dyDescent="0.2">
      <c r="B171" s="9">
        <v>30</v>
      </c>
      <c r="C171" s="34">
        <v>-0.1</v>
      </c>
      <c r="D171" s="34">
        <v>0.5</v>
      </c>
      <c r="E171" s="9">
        <v>60</v>
      </c>
      <c r="F171" s="34">
        <v>-4.0999999999999996</v>
      </c>
      <c r="G171" s="34">
        <v>2.2000000000000002</v>
      </c>
      <c r="H171" s="971"/>
      <c r="I171" s="31" t="s">
        <v>297</v>
      </c>
      <c r="J171" s="14">
        <f>ROWS(I$8:$I171)</f>
        <v>164</v>
      </c>
      <c r="K171" s="14" t="str">
        <f>IF(ID!$B$89=I171,J171,"")</f>
        <v/>
      </c>
      <c r="L171" s="14" t="str">
        <f>IFERROR(SMALL($K$8:$K$174,ROWS($K$8:K171)),"")</f>
        <v/>
      </c>
    </row>
    <row r="172" spans="2:12" x14ac:dyDescent="0.2">
      <c r="B172" s="9">
        <v>35</v>
      </c>
      <c r="C172" s="34">
        <v>-0.3</v>
      </c>
      <c r="D172" s="34">
        <v>0.5</v>
      </c>
      <c r="E172" s="9">
        <v>70</v>
      </c>
      <c r="F172" s="34">
        <v>-4</v>
      </c>
      <c r="G172" s="34">
        <v>2.2000000000000002</v>
      </c>
      <c r="H172" s="971"/>
      <c r="I172" s="31" t="s">
        <v>297</v>
      </c>
      <c r="J172" s="14">
        <f>ROWS(I$8:$I172)</f>
        <v>165</v>
      </c>
      <c r="K172" s="14" t="str">
        <f>IF(ID!$B$89=I172,J172,"")</f>
        <v/>
      </c>
      <c r="L172" s="14" t="str">
        <f>IFERROR(SMALL($K$8:$K$174,ROWS($K$8:K172)),"")</f>
        <v/>
      </c>
    </row>
    <row r="173" spans="2:12" x14ac:dyDescent="0.2">
      <c r="B173" s="10">
        <v>37</v>
      </c>
      <c r="C173" s="34">
        <v>-0.4</v>
      </c>
      <c r="D173" s="34">
        <v>0.5</v>
      </c>
      <c r="E173" s="10">
        <v>80</v>
      </c>
      <c r="F173" s="34">
        <v>-3.9</v>
      </c>
      <c r="G173" s="34">
        <v>2.2000000000000002</v>
      </c>
      <c r="H173" s="971"/>
      <c r="I173" s="31" t="s">
        <v>297</v>
      </c>
      <c r="J173" s="14">
        <f>ROWS(I$8:$I173)</f>
        <v>166</v>
      </c>
      <c r="K173" s="14" t="str">
        <f>IF(ID!$B$89=I173,J173,"")</f>
        <v/>
      </c>
      <c r="L173" s="14" t="str">
        <f>IFERROR(SMALL($K$8:$K$174,ROWS($K$8:K173)),"")</f>
        <v/>
      </c>
    </row>
    <row r="174" spans="2:12" x14ac:dyDescent="0.2">
      <c r="B174" s="10">
        <v>40</v>
      </c>
      <c r="C174" s="35">
        <v>-0.5</v>
      </c>
      <c r="D174" s="34">
        <v>0.5</v>
      </c>
      <c r="E174" s="10">
        <v>90</v>
      </c>
      <c r="F174" s="35">
        <v>-3.7</v>
      </c>
      <c r="G174" s="34">
        <v>2.2000000000000002</v>
      </c>
      <c r="H174" s="971"/>
      <c r="I174" s="31" t="s">
        <v>297</v>
      </c>
      <c r="J174" s="14">
        <f>ROWS(I$8:$I174)</f>
        <v>167</v>
      </c>
      <c r="K174" s="14" t="str">
        <f>IF(ID!$B$89=I174,J174,"")</f>
        <v/>
      </c>
      <c r="L174" s="14" t="str">
        <f>IFERROR(SMALL($K$8:$K$174,ROWS($K$8:K174)),"")</f>
        <v/>
      </c>
    </row>
    <row r="175" spans="2:12" x14ac:dyDescent="0.2">
      <c r="J175" s="14">
        <f>ROWS(I$8:$I175)</f>
        <v>168</v>
      </c>
      <c r="K175" s="14" t="str">
        <f>IF(ID!$B$89=I175,J175,"")</f>
        <v/>
      </c>
      <c r="L175" s="14" t="str">
        <f>IFERROR(SMALL($K$8:$K$174,ROWS($K$8:K175)),"")</f>
        <v/>
      </c>
    </row>
    <row r="176" spans="2:12" x14ac:dyDescent="0.2">
      <c r="J176" s="14">
        <f>ROWS(I$8:$I176)</f>
        <v>169</v>
      </c>
      <c r="K176" s="14" t="str">
        <f>IF(ID!$B$89=I176,J176,"")</f>
        <v/>
      </c>
      <c r="L176" s="14" t="str">
        <f>IFERROR(SMALL($K$8:$K$174,ROWS($K$8:K176)),"")</f>
        <v/>
      </c>
    </row>
    <row r="177" spans="2:12" x14ac:dyDescent="0.2">
      <c r="J177" s="14">
        <f>ROWS(I$8:$I177)</f>
        <v>170</v>
      </c>
      <c r="K177" s="14" t="str">
        <f>IF(ID!$B$89=I177,J177,"")</f>
        <v/>
      </c>
      <c r="L177" s="14" t="str">
        <f>IFERROR(SMALL($K$8:$K$174,ROWS($K$8:K177)),"")</f>
        <v/>
      </c>
    </row>
    <row r="178" spans="2:12" x14ac:dyDescent="0.2">
      <c r="B178" s="763">
        <v>15</v>
      </c>
      <c r="C178" s="764">
        <v>9.9999999999999995E-7</v>
      </c>
      <c r="D178" s="764">
        <v>0.3</v>
      </c>
      <c r="E178" s="763">
        <v>30</v>
      </c>
      <c r="F178" s="764">
        <v>-0.4</v>
      </c>
      <c r="G178" s="764">
        <v>2</v>
      </c>
      <c r="H178" s="765" t="s">
        <v>434</v>
      </c>
      <c r="I178" s="769" t="s">
        <v>435</v>
      </c>
      <c r="J178" s="14">
        <f>ROWS(I$8:$I178)</f>
        <v>171</v>
      </c>
      <c r="K178" s="14" t="str">
        <f>IF(ID!$B$89=I178,J178,"")</f>
        <v/>
      </c>
      <c r="L178" s="14" t="str">
        <f>IFERROR(SMALL($K$8:$K$174,ROWS($K$8:K178)),"")</f>
        <v/>
      </c>
    </row>
    <row r="179" spans="2:12" x14ac:dyDescent="0.2">
      <c r="B179" s="763">
        <v>20</v>
      </c>
      <c r="C179" s="764">
        <v>9.9999999999999995E-7</v>
      </c>
      <c r="D179" s="764">
        <v>0.3</v>
      </c>
      <c r="E179" s="763">
        <v>40</v>
      </c>
      <c r="F179" s="764">
        <v>-0.1</v>
      </c>
      <c r="G179" s="764">
        <v>2</v>
      </c>
      <c r="H179" s="765" t="s">
        <v>434</v>
      </c>
      <c r="I179" s="769" t="s">
        <v>435</v>
      </c>
      <c r="J179" s="14">
        <f>ROWS(I$8:$I179)</f>
        <v>172</v>
      </c>
      <c r="K179" s="14" t="str">
        <f>IF(ID!$B$89=I179,J179,"")</f>
        <v/>
      </c>
      <c r="L179" s="14" t="str">
        <f>IFERROR(SMALL($K$8:$K$174,ROWS($K$8:K179)),"")</f>
        <v/>
      </c>
    </row>
    <row r="180" spans="2:12" x14ac:dyDescent="0.2">
      <c r="B180" s="763">
        <v>25</v>
      </c>
      <c r="C180" s="764">
        <v>9.9999999999999995E-7</v>
      </c>
      <c r="D180" s="764">
        <v>0.3</v>
      </c>
      <c r="E180" s="763">
        <v>50</v>
      </c>
      <c r="F180" s="764">
        <v>9.9999999999999995E-7</v>
      </c>
      <c r="G180" s="764">
        <v>2</v>
      </c>
      <c r="H180" s="765" t="s">
        <v>434</v>
      </c>
      <c r="I180" s="769" t="s">
        <v>435</v>
      </c>
      <c r="J180" s="14">
        <f>ROWS(I$8:$I180)</f>
        <v>173</v>
      </c>
      <c r="K180" s="14" t="str">
        <f>IF(ID!$B$89=I180,J180,"")</f>
        <v/>
      </c>
      <c r="L180" s="14" t="str">
        <f>IFERROR(SMALL($K$8:$K$174,ROWS($K$8:K180)),"")</f>
        <v/>
      </c>
    </row>
    <row r="181" spans="2:12" x14ac:dyDescent="0.2">
      <c r="B181" s="763">
        <v>30</v>
      </c>
      <c r="C181" s="764">
        <v>-0.1</v>
      </c>
      <c r="D181" s="764">
        <v>0.3</v>
      </c>
      <c r="E181" s="763">
        <v>60</v>
      </c>
      <c r="F181" s="764">
        <v>9.9999999999999995E-7</v>
      </c>
      <c r="G181" s="764">
        <v>2</v>
      </c>
      <c r="H181" s="765" t="s">
        <v>434</v>
      </c>
      <c r="I181" s="769" t="s">
        <v>435</v>
      </c>
      <c r="J181" s="14">
        <f>ROWS(I$8:$I181)</f>
        <v>174</v>
      </c>
      <c r="K181" s="14" t="str">
        <f>IF(ID!$B$89=I181,J181,"")</f>
        <v/>
      </c>
      <c r="L181" s="14" t="str">
        <f>IFERROR(SMALL($K$8:$K$174,ROWS($K$8:K181)),"")</f>
        <v/>
      </c>
    </row>
    <row r="182" spans="2:12" x14ac:dyDescent="0.2">
      <c r="B182" s="763">
        <v>35</v>
      </c>
      <c r="C182" s="764">
        <v>-0.2</v>
      </c>
      <c r="D182" s="764">
        <v>0.3</v>
      </c>
      <c r="E182" s="763">
        <v>70</v>
      </c>
      <c r="F182" s="764">
        <v>-0.1</v>
      </c>
      <c r="G182" s="764">
        <v>2</v>
      </c>
      <c r="H182" s="765" t="s">
        <v>434</v>
      </c>
      <c r="I182" s="769" t="s">
        <v>435</v>
      </c>
      <c r="J182" s="14">
        <f>ROWS(I$8:$I182)</f>
        <v>175</v>
      </c>
      <c r="K182" s="14" t="str">
        <f>IF(ID!$B$89=I182,J182,"")</f>
        <v/>
      </c>
      <c r="L182" s="14" t="str">
        <f>IFERROR(SMALL($K$8:$K$174,ROWS($K$8:K182)),"")</f>
        <v/>
      </c>
    </row>
    <row r="183" spans="2:12" x14ac:dyDescent="0.2">
      <c r="B183" s="766">
        <v>37</v>
      </c>
      <c r="C183" s="764">
        <v>-0.3</v>
      </c>
      <c r="D183" s="764">
        <v>0.3</v>
      </c>
      <c r="E183" s="766">
        <v>80</v>
      </c>
      <c r="F183" s="764">
        <v>-0.5</v>
      </c>
      <c r="G183" s="764">
        <v>2</v>
      </c>
      <c r="H183" s="765" t="s">
        <v>434</v>
      </c>
      <c r="I183" s="769" t="s">
        <v>435</v>
      </c>
      <c r="J183" s="14">
        <f>ROWS(I$8:$I183)</f>
        <v>176</v>
      </c>
      <c r="K183" s="14" t="str">
        <f>IF(ID!$B$89=I183,J183,"")</f>
        <v/>
      </c>
      <c r="L183" s="14" t="str">
        <f>IFERROR(SMALL($K$8:$K$174,ROWS($K$8:K183)),"")</f>
        <v/>
      </c>
    </row>
    <row r="184" spans="2:12" x14ac:dyDescent="0.2">
      <c r="B184" s="766">
        <v>40</v>
      </c>
      <c r="C184" s="767">
        <v>-0.4</v>
      </c>
      <c r="D184" s="764">
        <v>0.3</v>
      </c>
      <c r="E184" s="766">
        <v>90</v>
      </c>
      <c r="F184" s="767">
        <v>-0.9</v>
      </c>
      <c r="G184" s="764">
        <v>2</v>
      </c>
      <c r="H184" s="765" t="s">
        <v>434</v>
      </c>
      <c r="I184" s="769" t="s">
        <v>435</v>
      </c>
      <c r="J184" s="14">
        <f>ROWS(I$8:$I184)</f>
        <v>177</v>
      </c>
      <c r="K184" s="14" t="str">
        <f>IF(ID!$B$89=I184,J184,"")</f>
        <v/>
      </c>
      <c r="L184" s="14" t="str">
        <f>IFERROR(SMALL($K$8:$K$174,ROWS($K$8:K184)),"")</f>
        <v/>
      </c>
    </row>
    <row r="185" spans="2:12" x14ac:dyDescent="0.2">
      <c r="J185" s="14">
        <f>ROWS(I$8:$I185)</f>
        <v>178</v>
      </c>
      <c r="K185" s="14" t="str">
        <f>IF(ID!$B$89=I185,J185,"")</f>
        <v/>
      </c>
      <c r="L185" s="14" t="str">
        <f>IFERROR(SMALL($K$8:$K$174,ROWS($K$8:K185)),"")</f>
        <v/>
      </c>
    </row>
    <row r="186" spans="2:12" x14ac:dyDescent="0.2">
      <c r="J186" s="14">
        <f>ROWS(I$8:$I186)</f>
        <v>179</v>
      </c>
      <c r="K186" s="14" t="str">
        <f>IF(ID!$B$89=I186,J186,"")</f>
        <v/>
      </c>
      <c r="L186" s="14" t="str">
        <f>IFERROR(SMALL($K$8:$K$174,ROWS($K$8:K186)),"")</f>
        <v/>
      </c>
    </row>
    <row r="187" spans="2:12" x14ac:dyDescent="0.2">
      <c r="J187" s="14">
        <f>ROWS(I$8:$I187)</f>
        <v>180</v>
      </c>
      <c r="K187" s="14" t="str">
        <f>IF(ID!$B$89=I187,J187,"")</f>
        <v/>
      </c>
      <c r="L187" s="14" t="str">
        <f>IFERROR(SMALL($K$8:$K$174,ROWS($K$8:K187)),"")</f>
        <v/>
      </c>
    </row>
    <row r="188" spans="2:12" x14ac:dyDescent="0.2">
      <c r="B188" s="763">
        <v>15</v>
      </c>
      <c r="C188" s="764">
        <v>0.1</v>
      </c>
      <c r="D188" s="764">
        <v>0.4</v>
      </c>
      <c r="E188" s="763">
        <v>30</v>
      </c>
      <c r="F188" s="764">
        <v>-1.6</v>
      </c>
      <c r="G188" s="764">
        <v>2.2000000000000002</v>
      </c>
      <c r="H188" s="765" t="s">
        <v>434</v>
      </c>
      <c r="I188" s="769" t="s">
        <v>436</v>
      </c>
      <c r="J188" s="14">
        <f>ROWS(I$8:$I188)</f>
        <v>181</v>
      </c>
      <c r="K188" s="14" t="str">
        <f>IF(ID!$B$89=I188,J188,"")</f>
        <v/>
      </c>
      <c r="L188" s="14" t="str">
        <f>IFERROR(SMALL($K$8:$K$174,ROWS($K$8:K188)),"")</f>
        <v/>
      </c>
    </row>
    <row r="189" spans="2:12" x14ac:dyDescent="0.2">
      <c r="B189" s="763">
        <v>20</v>
      </c>
      <c r="C189" s="764">
        <v>0.2</v>
      </c>
      <c r="D189" s="764">
        <v>0.4</v>
      </c>
      <c r="E189" s="763">
        <v>40</v>
      </c>
      <c r="F189" s="764">
        <v>-1.4</v>
      </c>
      <c r="G189" s="764">
        <v>2.2000000000000002</v>
      </c>
      <c r="H189" s="765" t="s">
        <v>434</v>
      </c>
      <c r="I189" s="769" t="s">
        <v>436</v>
      </c>
      <c r="J189" s="14">
        <f>ROWS(I$8:$I189)</f>
        <v>182</v>
      </c>
      <c r="K189" s="14" t="str">
        <f>IF(ID!$B$89=I189,J189,"")</f>
        <v/>
      </c>
      <c r="L189" s="14" t="str">
        <f>IFERROR(SMALL($K$8:$K$174,ROWS($K$8:K189)),"")</f>
        <v/>
      </c>
    </row>
    <row r="190" spans="2:12" x14ac:dyDescent="0.2">
      <c r="B190" s="763">
        <v>25</v>
      </c>
      <c r="C190" s="764">
        <v>0.2</v>
      </c>
      <c r="D190" s="764">
        <v>0.4</v>
      </c>
      <c r="E190" s="763">
        <v>50</v>
      </c>
      <c r="F190" s="764">
        <v>-1.4</v>
      </c>
      <c r="G190" s="764">
        <v>2.2000000000000002</v>
      </c>
      <c r="H190" s="765" t="s">
        <v>434</v>
      </c>
      <c r="I190" s="769" t="s">
        <v>436</v>
      </c>
      <c r="J190" s="14">
        <f>ROWS(I$8:$I190)</f>
        <v>183</v>
      </c>
      <c r="K190" s="14" t="str">
        <f>IF(ID!$B$89=I190,J190,"")</f>
        <v/>
      </c>
      <c r="L190" s="14" t="str">
        <f>IFERROR(SMALL($K$8:$K$174,ROWS($K$8:K190)),"")</f>
        <v/>
      </c>
    </row>
    <row r="191" spans="2:12" x14ac:dyDescent="0.2">
      <c r="B191" s="763">
        <v>30</v>
      </c>
      <c r="C191" s="764">
        <v>0.2</v>
      </c>
      <c r="D191" s="764">
        <v>0.4</v>
      </c>
      <c r="E191" s="763">
        <v>60</v>
      </c>
      <c r="F191" s="764">
        <v>-1.5</v>
      </c>
      <c r="G191" s="764">
        <v>2.2000000000000002</v>
      </c>
      <c r="H191" s="765" t="s">
        <v>434</v>
      </c>
      <c r="I191" s="769" t="s">
        <v>436</v>
      </c>
      <c r="J191" s="14">
        <f>ROWS(I$8:$I191)</f>
        <v>184</v>
      </c>
      <c r="K191" s="14" t="str">
        <f>IF(ID!$B$89=I191,J191,"")</f>
        <v/>
      </c>
      <c r="L191" s="14" t="str">
        <f>IFERROR(SMALL($K$8:$K$174,ROWS($K$8:K191)),"")</f>
        <v/>
      </c>
    </row>
    <row r="192" spans="2:12" x14ac:dyDescent="0.2">
      <c r="B192" s="763">
        <v>35</v>
      </c>
      <c r="C192" s="764">
        <v>0.1</v>
      </c>
      <c r="D192" s="764">
        <v>0.4</v>
      </c>
      <c r="E192" s="763">
        <v>70</v>
      </c>
      <c r="F192" s="764">
        <v>-1.8</v>
      </c>
      <c r="G192" s="764">
        <v>2.2000000000000002</v>
      </c>
      <c r="H192" s="765" t="s">
        <v>434</v>
      </c>
      <c r="I192" s="769" t="s">
        <v>436</v>
      </c>
      <c r="J192" s="14">
        <f>ROWS(I$8:$I192)</f>
        <v>185</v>
      </c>
      <c r="K192" s="14" t="str">
        <f>IF(ID!$B$89=I192,J192,"")</f>
        <v/>
      </c>
      <c r="L192" s="14" t="str">
        <f>IFERROR(SMALL($K$8:$K$174,ROWS($K$8:K192)),"")</f>
        <v/>
      </c>
    </row>
    <row r="193" spans="2:12" x14ac:dyDescent="0.2">
      <c r="B193" s="766">
        <v>37</v>
      </c>
      <c r="C193" s="764">
        <v>9.9999999999999995E-7</v>
      </c>
      <c r="D193" s="764">
        <v>0.4</v>
      </c>
      <c r="E193" s="766">
        <v>80</v>
      </c>
      <c r="F193" s="764">
        <v>-2.2999999999999998</v>
      </c>
      <c r="G193" s="764">
        <v>2.2000000000000002</v>
      </c>
      <c r="H193" s="765" t="s">
        <v>434</v>
      </c>
      <c r="I193" s="769" t="s">
        <v>436</v>
      </c>
      <c r="J193" s="14">
        <f>ROWS(I$8:$I193)</f>
        <v>186</v>
      </c>
      <c r="K193" s="14" t="str">
        <f>IF(ID!$B$89=I193,J193,"")</f>
        <v/>
      </c>
      <c r="L193" s="14" t="str">
        <f>IFERROR(SMALL($K$8:$K$174,ROWS($K$8:K193)),"")</f>
        <v/>
      </c>
    </row>
    <row r="194" spans="2:12" x14ac:dyDescent="0.2">
      <c r="B194" s="766">
        <v>40</v>
      </c>
      <c r="C194" s="764">
        <v>9.9999999999999995E-7</v>
      </c>
      <c r="D194" s="764">
        <v>0.4</v>
      </c>
      <c r="E194" s="766">
        <v>90</v>
      </c>
      <c r="F194" s="768">
        <v>-3</v>
      </c>
      <c r="G194" s="764">
        <v>2.2000000000000002</v>
      </c>
      <c r="H194" s="765" t="s">
        <v>434</v>
      </c>
      <c r="I194" s="769" t="s">
        <v>436</v>
      </c>
      <c r="J194" s="14">
        <f>ROWS(I$8:$I194)</f>
        <v>187</v>
      </c>
      <c r="K194" s="14" t="str">
        <f>IF(ID!$B$89=I194,J194,"")</f>
        <v/>
      </c>
      <c r="L194" s="14" t="str">
        <f>IFERROR(SMALL($K$8:$K$174,ROWS($K$8:K194)),"")</f>
        <v/>
      </c>
    </row>
    <row r="195" spans="2:12" x14ac:dyDescent="0.2">
      <c r="J195" s="14">
        <f>ROWS(I$8:$I195)</f>
        <v>188</v>
      </c>
      <c r="K195" s="14" t="str">
        <f>IF(ID!$B$89=I195,J195,"")</f>
        <v/>
      </c>
      <c r="L195" s="14" t="str">
        <f>IFERROR(SMALL($K$8:$K$174,ROWS($K$8:K195)),"")</f>
        <v/>
      </c>
    </row>
    <row r="196" spans="2:12" x14ac:dyDescent="0.2">
      <c r="J196" s="14">
        <f>ROWS(I$8:$I196)</f>
        <v>189</v>
      </c>
      <c r="K196" s="14" t="str">
        <f>IF(ID!$B$89=I196,J196,"")</f>
        <v/>
      </c>
      <c r="L196" s="14" t="str">
        <f>IFERROR(SMALL($K$8:$K$174,ROWS($K$8:K196)),"")</f>
        <v/>
      </c>
    </row>
    <row r="197" spans="2:12" x14ac:dyDescent="0.2">
      <c r="J197" s="14">
        <f>ROWS(I$8:$I197)</f>
        <v>190</v>
      </c>
      <c r="K197" s="14" t="str">
        <f>IF(ID!$B$89=I197,J197,"")</f>
        <v/>
      </c>
      <c r="L197" s="14" t="str">
        <f>IFERROR(SMALL($K$8:$K$174,ROWS($K$8:K197)),"")</f>
        <v/>
      </c>
    </row>
    <row r="198" spans="2:12" x14ac:dyDescent="0.2">
      <c r="B198" s="763">
        <v>15</v>
      </c>
      <c r="C198" s="764">
        <v>9.9999999999999995E-7</v>
      </c>
      <c r="D198" s="764">
        <v>0.3</v>
      </c>
      <c r="E198" s="763">
        <v>30</v>
      </c>
      <c r="F198" s="764">
        <v>-0.4</v>
      </c>
      <c r="G198" s="764">
        <v>1.6</v>
      </c>
      <c r="H198" s="765" t="s">
        <v>434</v>
      </c>
      <c r="I198" s="769" t="s">
        <v>437</v>
      </c>
      <c r="J198" s="14">
        <f>ROWS(I$8:$I198)</f>
        <v>191</v>
      </c>
      <c r="K198" s="14" t="str">
        <f>IF(ID!$B$89=I198,J198,"")</f>
        <v/>
      </c>
      <c r="L198" s="14" t="str">
        <f>IFERROR(SMALL($K$8:$K$174,ROWS($K$8:K198)),"")</f>
        <v/>
      </c>
    </row>
    <row r="199" spans="2:12" x14ac:dyDescent="0.2">
      <c r="B199" s="763">
        <v>20</v>
      </c>
      <c r="C199" s="764">
        <v>-0.1</v>
      </c>
      <c r="D199" s="764">
        <v>0.3</v>
      </c>
      <c r="E199" s="763">
        <v>40</v>
      </c>
      <c r="F199" s="764">
        <v>-0.2</v>
      </c>
      <c r="G199" s="764">
        <v>1.6</v>
      </c>
      <c r="H199" s="765" t="s">
        <v>434</v>
      </c>
      <c r="I199" s="769" t="s">
        <v>437</v>
      </c>
      <c r="J199" s="14">
        <f>ROWS(I$8:$I199)</f>
        <v>192</v>
      </c>
      <c r="K199" s="14" t="str">
        <f>IF(ID!$B$89=I199,J199,"")</f>
        <v/>
      </c>
      <c r="L199" s="14" t="str">
        <f>IFERROR(SMALL($K$8:$K$174,ROWS($K$8:K199)),"")</f>
        <v/>
      </c>
    </row>
    <row r="200" spans="2:12" x14ac:dyDescent="0.2">
      <c r="B200" s="763">
        <v>25</v>
      </c>
      <c r="C200" s="764">
        <v>-0.2</v>
      </c>
      <c r="D200" s="764">
        <v>0.3</v>
      </c>
      <c r="E200" s="763">
        <v>50</v>
      </c>
      <c r="F200" s="764">
        <v>-0.2</v>
      </c>
      <c r="G200" s="764">
        <v>1.6</v>
      </c>
      <c r="H200" s="765" t="s">
        <v>434</v>
      </c>
      <c r="I200" s="769" t="s">
        <v>437</v>
      </c>
      <c r="J200" s="14">
        <f>ROWS(I$8:$I200)</f>
        <v>193</v>
      </c>
      <c r="K200" s="14" t="str">
        <f>IF(ID!$B$89=I200,J200,"")</f>
        <v/>
      </c>
      <c r="L200" s="14" t="str">
        <f>IFERROR(SMALL($K$8:$K$174,ROWS($K$8:K200)),"")</f>
        <v/>
      </c>
    </row>
    <row r="201" spans="2:12" x14ac:dyDescent="0.2">
      <c r="B201" s="763">
        <v>30</v>
      </c>
      <c r="C201" s="764">
        <v>-0.2</v>
      </c>
      <c r="D201" s="764">
        <v>0.3</v>
      </c>
      <c r="E201" s="763">
        <v>60</v>
      </c>
      <c r="F201" s="764">
        <v>-0.2</v>
      </c>
      <c r="G201" s="764">
        <v>1.6</v>
      </c>
      <c r="H201" s="765" t="s">
        <v>434</v>
      </c>
      <c r="I201" s="769" t="s">
        <v>437</v>
      </c>
      <c r="J201" s="14">
        <f>ROWS(I$8:$I201)</f>
        <v>194</v>
      </c>
      <c r="K201" s="14" t="str">
        <f>IF(ID!$B$89=I201,J201,"")</f>
        <v/>
      </c>
      <c r="L201" s="14" t="str">
        <f>IFERROR(SMALL($K$8:$K$174,ROWS($K$8:K201)),"")</f>
        <v/>
      </c>
    </row>
    <row r="202" spans="2:12" x14ac:dyDescent="0.2">
      <c r="B202" s="763">
        <v>35</v>
      </c>
      <c r="C202" s="764">
        <v>-0.3</v>
      </c>
      <c r="D202" s="764">
        <v>0.3</v>
      </c>
      <c r="E202" s="763">
        <v>70</v>
      </c>
      <c r="F202" s="764">
        <v>-0.3</v>
      </c>
      <c r="G202" s="764">
        <v>1.6</v>
      </c>
      <c r="H202" s="765" t="s">
        <v>434</v>
      </c>
      <c r="I202" s="769" t="s">
        <v>437</v>
      </c>
      <c r="J202" s="14">
        <f>ROWS(I$8:$I202)</f>
        <v>195</v>
      </c>
      <c r="K202" s="14" t="str">
        <f>IF(ID!$B$89=I202,J202,"")</f>
        <v/>
      </c>
      <c r="L202" s="14" t="str">
        <f>IFERROR(SMALL($K$8:$K$174,ROWS($K$8:K202)),"")</f>
        <v/>
      </c>
    </row>
    <row r="203" spans="2:12" x14ac:dyDescent="0.2">
      <c r="B203" s="766">
        <v>37</v>
      </c>
      <c r="C203" s="764">
        <v>-0.3</v>
      </c>
      <c r="D203" s="764">
        <v>0.3</v>
      </c>
      <c r="E203" s="766">
        <v>80</v>
      </c>
      <c r="F203" s="764">
        <v>-0.5</v>
      </c>
      <c r="G203" s="764">
        <v>1.6</v>
      </c>
      <c r="H203" s="765" t="s">
        <v>434</v>
      </c>
      <c r="I203" s="769" t="s">
        <v>437</v>
      </c>
      <c r="J203" s="14">
        <f>ROWS(I$8:$I203)</f>
        <v>196</v>
      </c>
      <c r="K203" s="14" t="str">
        <f>IF(ID!$B$89=I203,J203,"")</f>
        <v/>
      </c>
      <c r="L203" s="14" t="str">
        <f>IFERROR(SMALL($K$8:$K$174,ROWS($K$8:K203)),"")</f>
        <v/>
      </c>
    </row>
    <row r="204" spans="2:12" x14ac:dyDescent="0.2">
      <c r="B204" s="766">
        <v>40</v>
      </c>
      <c r="C204" s="768">
        <v>-0.4</v>
      </c>
      <c r="D204" s="764">
        <v>0.3</v>
      </c>
      <c r="E204" s="766">
        <v>90</v>
      </c>
      <c r="F204" s="768">
        <v>-0.8</v>
      </c>
      <c r="G204" s="764">
        <v>1.6</v>
      </c>
      <c r="H204" s="765" t="s">
        <v>434</v>
      </c>
      <c r="I204" s="769" t="s">
        <v>437</v>
      </c>
      <c r="J204" s="14">
        <f>ROWS(I$8:$I204)</f>
        <v>197</v>
      </c>
      <c r="K204" s="14" t="str">
        <f>IF(ID!$B$89=I204,J204,"")</f>
        <v/>
      </c>
      <c r="L204" s="14" t="str">
        <f>IFERROR(SMALL($K$8:$K$174,ROWS($K$8:K204)),"")</f>
        <v/>
      </c>
    </row>
    <row r="205" spans="2:12" x14ac:dyDescent="0.2">
      <c r="J205" s="14">
        <f>ROWS(I$8:$I205)</f>
        <v>198</v>
      </c>
      <c r="K205" s="14" t="str">
        <f>IF(ID!$B$89=I205,J205,"")</f>
        <v/>
      </c>
      <c r="L205" s="14" t="str">
        <f>IFERROR(SMALL($K$8:$K$174,ROWS($K$8:K205)),"")</f>
        <v/>
      </c>
    </row>
    <row r="206" spans="2:12" x14ac:dyDescent="0.2">
      <c r="J206" s="14">
        <f>ROWS(I$8:$I206)</f>
        <v>199</v>
      </c>
      <c r="K206" s="14" t="str">
        <f>IF(ID!$B$89=I206,J206,"")</f>
        <v/>
      </c>
      <c r="L206" s="14" t="str">
        <f>IFERROR(SMALL($K$8:$K$174,ROWS($K$8:K206)),"")</f>
        <v/>
      </c>
    </row>
    <row r="207" spans="2:12" x14ac:dyDescent="0.2">
      <c r="J207" s="14">
        <f>ROWS(I$8:$I207)</f>
        <v>200</v>
      </c>
      <c r="K207" s="14" t="str">
        <f>IF(ID!$B$89=I207,J207,"")</f>
        <v/>
      </c>
      <c r="L207" s="14" t="str">
        <f>IFERROR(SMALL($K$8:$K$174,ROWS($K$8:K207)),"")</f>
        <v/>
      </c>
    </row>
    <row r="208" spans="2:12" x14ac:dyDescent="0.2">
      <c r="B208" s="763">
        <v>15</v>
      </c>
      <c r="C208" s="764">
        <v>0.1</v>
      </c>
      <c r="D208" s="764">
        <v>0.3</v>
      </c>
      <c r="E208" s="763">
        <v>30</v>
      </c>
      <c r="F208" s="764">
        <v>0.1</v>
      </c>
      <c r="G208" s="764">
        <v>2.8</v>
      </c>
      <c r="H208" s="973" t="s">
        <v>438</v>
      </c>
      <c r="I208" s="769" t="s">
        <v>439</v>
      </c>
      <c r="J208" s="14">
        <f>ROWS(I$8:$I208)</f>
        <v>201</v>
      </c>
      <c r="K208" s="14" t="str">
        <f>IF(ID!$B$89=I208,J208,"")</f>
        <v/>
      </c>
      <c r="L208" s="14" t="str">
        <f>IFERROR(SMALL($K$8:$K$174,ROWS($K$8:K208)),"")</f>
        <v/>
      </c>
    </row>
    <row r="209" spans="2:12" x14ac:dyDescent="0.2">
      <c r="B209" s="763">
        <v>20</v>
      </c>
      <c r="C209" s="764">
        <v>0.1</v>
      </c>
      <c r="D209" s="764">
        <v>0.3</v>
      </c>
      <c r="E209" s="763">
        <v>40</v>
      </c>
      <c r="F209" s="764">
        <v>0.2</v>
      </c>
      <c r="G209" s="764">
        <v>2.8</v>
      </c>
      <c r="H209" s="973" t="s">
        <v>438</v>
      </c>
      <c r="I209" s="769" t="s">
        <v>439</v>
      </c>
      <c r="J209" s="14">
        <f>ROWS(I$8:$I209)</f>
        <v>202</v>
      </c>
      <c r="K209" s="14" t="str">
        <f>IF(ID!$B$89=I209,J209,"")</f>
        <v/>
      </c>
      <c r="L209" s="14" t="str">
        <f>IFERROR(SMALL($K$8:$K$174,ROWS($K$8:K209)),"")</f>
        <v/>
      </c>
    </row>
    <row r="210" spans="2:12" x14ac:dyDescent="0.2">
      <c r="B210" s="763">
        <v>25</v>
      </c>
      <c r="C210" s="764">
        <v>0</v>
      </c>
      <c r="D210" s="764">
        <v>0.3</v>
      </c>
      <c r="E210" s="763">
        <v>50</v>
      </c>
      <c r="F210" s="764">
        <v>0.2</v>
      </c>
      <c r="G210" s="764">
        <v>2.8</v>
      </c>
      <c r="H210" s="973" t="s">
        <v>438</v>
      </c>
      <c r="I210" s="769" t="s">
        <v>439</v>
      </c>
      <c r="J210" s="14">
        <f>ROWS(I$8:$I210)</f>
        <v>203</v>
      </c>
      <c r="K210" s="14" t="str">
        <f>IF(ID!$B$89=I210,J210,"")</f>
        <v/>
      </c>
      <c r="L210" s="14" t="str">
        <f>IFERROR(SMALL($K$8:$K$174,ROWS($K$8:K210)),"")</f>
        <v/>
      </c>
    </row>
    <row r="211" spans="2:12" x14ac:dyDescent="0.2">
      <c r="B211" s="763">
        <v>30</v>
      </c>
      <c r="C211" s="764">
        <v>-0.2</v>
      </c>
      <c r="D211" s="764">
        <v>0.3</v>
      </c>
      <c r="E211" s="763">
        <v>60</v>
      </c>
      <c r="F211" s="764">
        <v>0</v>
      </c>
      <c r="G211" s="764">
        <v>2.8</v>
      </c>
      <c r="H211" s="973" t="s">
        <v>438</v>
      </c>
      <c r="I211" s="769" t="s">
        <v>439</v>
      </c>
      <c r="J211" s="14">
        <f>ROWS(I$8:$I211)</f>
        <v>204</v>
      </c>
      <c r="K211" s="14" t="str">
        <f>IF(ID!$B$89=I211,J211,"")</f>
        <v/>
      </c>
      <c r="L211" s="14" t="str">
        <f>IFERROR(SMALL($K$8:$K$174,ROWS($K$8:K211)),"")</f>
        <v/>
      </c>
    </row>
    <row r="212" spans="2:12" x14ac:dyDescent="0.2">
      <c r="B212" s="763">
        <v>35</v>
      </c>
      <c r="C212" s="764">
        <v>-0.5</v>
      </c>
      <c r="D212" s="764">
        <v>0.3</v>
      </c>
      <c r="E212" s="763">
        <v>70</v>
      </c>
      <c r="F212" s="764">
        <v>-0.3</v>
      </c>
      <c r="G212" s="764">
        <v>2.8</v>
      </c>
      <c r="H212" s="973" t="s">
        <v>438</v>
      </c>
      <c r="I212" s="769" t="s">
        <v>439</v>
      </c>
      <c r="J212" s="14">
        <f>ROWS(I$8:$I212)</f>
        <v>205</v>
      </c>
      <c r="K212" s="14" t="str">
        <f>IF(ID!$B$89=I212,J212,"")</f>
        <v/>
      </c>
      <c r="L212" s="14" t="str">
        <f>IFERROR(SMALL($K$8:$K$174,ROWS($K$8:K212)),"")</f>
        <v/>
      </c>
    </row>
    <row r="213" spans="2:12" x14ac:dyDescent="0.2">
      <c r="B213" s="766">
        <v>37</v>
      </c>
      <c r="C213" s="764">
        <v>-0.6</v>
      </c>
      <c r="D213" s="764">
        <v>0.3</v>
      </c>
      <c r="E213" s="766">
        <v>80</v>
      </c>
      <c r="F213" s="764">
        <v>-0.8</v>
      </c>
      <c r="G213" s="764">
        <v>2.8</v>
      </c>
      <c r="H213" s="973" t="s">
        <v>438</v>
      </c>
      <c r="I213" s="769" t="s">
        <v>439</v>
      </c>
      <c r="J213" s="14">
        <f>ROWS(I$8:$I213)</f>
        <v>206</v>
      </c>
      <c r="K213" s="14" t="str">
        <f>IF(ID!$B$89=I213,J213,"")</f>
        <v/>
      </c>
      <c r="L213" s="14" t="str">
        <f>IFERROR(SMALL($K$8:$K$174,ROWS($K$8:K213)),"")</f>
        <v/>
      </c>
    </row>
    <row r="214" spans="2:12" x14ac:dyDescent="0.2">
      <c r="B214" s="766">
        <v>40</v>
      </c>
      <c r="C214" s="768">
        <v>-0.8</v>
      </c>
      <c r="D214" s="764">
        <v>0.3</v>
      </c>
      <c r="E214" s="766">
        <v>90</v>
      </c>
      <c r="F214" s="768">
        <v>-1.4</v>
      </c>
      <c r="G214" s="764">
        <v>2.8</v>
      </c>
      <c r="H214" s="973" t="s">
        <v>438</v>
      </c>
      <c r="I214" s="769" t="s">
        <v>439</v>
      </c>
      <c r="J214" s="14">
        <f>ROWS(I$8:$I214)</f>
        <v>207</v>
      </c>
      <c r="K214" s="14" t="str">
        <f>IF(ID!$B$89=I214,J214,"")</f>
        <v/>
      </c>
      <c r="L214" s="14" t="str">
        <f>IFERROR(SMALL($K$8:$K$174,ROWS($K$8:K214)),"")</f>
        <v/>
      </c>
    </row>
    <row r="215" spans="2:12" x14ac:dyDescent="0.2">
      <c r="J215" s="14">
        <f>ROWS(I$8:$I215)</f>
        <v>208</v>
      </c>
      <c r="K215" s="14" t="str">
        <f>IF(ID!$B$89=I215,J215,"")</f>
        <v/>
      </c>
      <c r="L215" s="14" t="str">
        <f>IFERROR(SMALL($K$8:$K$174,ROWS($K$8:K215)),"")</f>
        <v/>
      </c>
    </row>
    <row r="216" spans="2:12" x14ac:dyDescent="0.2">
      <c r="J216" s="14">
        <f>ROWS(I$8:$I216)</f>
        <v>209</v>
      </c>
      <c r="K216" s="14" t="str">
        <f>IF(ID!$B$89=I216,J216,"")</f>
        <v/>
      </c>
      <c r="L216" s="14" t="str">
        <f>IFERROR(SMALL($K$8:$K$174,ROWS($K$8:K216)),"")</f>
        <v/>
      </c>
    </row>
    <row r="217" spans="2:12" x14ac:dyDescent="0.2">
      <c r="J217" s="14">
        <f>ROWS(I$8:$I217)</f>
        <v>210</v>
      </c>
      <c r="K217" s="14" t="str">
        <f>IF(ID!$B$89=I217,J217,"")</f>
        <v/>
      </c>
      <c r="L217" s="14" t="str">
        <f>IFERROR(SMALL($K$8:$K$174,ROWS($K$8:K217)),"")</f>
        <v/>
      </c>
    </row>
    <row r="218" spans="2:12" x14ac:dyDescent="0.2">
      <c r="B218" s="763">
        <v>15.1</v>
      </c>
      <c r="C218" s="764">
        <v>9.9999999999999995E-7</v>
      </c>
      <c r="D218" s="974">
        <v>0.1</v>
      </c>
      <c r="E218" s="763">
        <v>36.299999999999997</v>
      </c>
      <c r="F218" s="974">
        <v>-1.5</v>
      </c>
      <c r="G218" s="977">
        <v>1.5</v>
      </c>
      <c r="H218" s="970" t="s">
        <v>440</v>
      </c>
      <c r="I218" s="769" t="s">
        <v>441</v>
      </c>
      <c r="J218" s="14">
        <f>ROWS(I$8:$I218)</f>
        <v>211</v>
      </c>
      <c r="K218" s="14" t="str">
        <f>IF(ID!$B$89=I218,J218,"")</f>
        <v/>
      </c>
      <c r="L218" s="14" t="str">
        <f>IFERROR(SMALL($K$8:$K$174,ROWS($K$8:K218)),"")</f>
        <v/>
      </c>
    </row>
    <row r="219" spans="2:12" x14ac:dyDescent="0.2">
      <c r="B219" s="763">
        <v>20.2</v>
      </c>
      <c r="C219" s="974">
        <v>0.1</v>
      </c>
      <c r="D219" s="974">
        <v>0.1</v>
      </c>
      <c r="E219" s="763">
        <v>40.5</v>
      </c>
      <c r="F219" s="974">
        <v>-0.8</v>
      </c>
      <c r="G219" s="977">
        <v>1.5</v>
      </c>
      <c r="H219" s="970" t="s">
        <v>440</v>
      </c>
      <c r="I219" s="769" t="s">
        <v>441</v>
      </c>
      <c r="J219" s="14">
        <f>ROWS(I$8:$I219)</f>
        <v>212</v>
      </c>
      <c r="K219" s="14" t="str">
        <f>IF(ID!$B$89=I219,J219,"")</f>
        <v/>
      </c>
      <c r="L219" s="14" t="str">
        <f>IFERROR(SMALL($K$8:$K$174,ROWS($K$8:K219)),"")</f>
        <v/>
      </c>
    </row>
    <row r="220" spans="2:12" x14ac:dyDescent="0.2">
      <c r="B220" s="763">
        <v>25</v>
      </c>
      <c r="C220" s="764">
        <v>9.9999999999999995E-7</v>
      </c>
      <c r="D220" s="974">
        <v>0.1</v>
      </c>
      <c r="E220" s="763">
        <v>49.8</v>
      </c>
      <c r="F220" s="974">
        <v>-0.2</v>
      </c>
      <c r="G220" s="977">
        <v>1.5</v>
      </c>
      <c r="H220" s="970" t="s">
        <v>440</v>
      </c>
      <c r="I220" s="769" t="s">
        <v>441</v>
      </c>
      <c r="J220" s="14">
        <f>ROWS(I$8:$I220)</f>
        <v>213</v>
      </c>
      <c r="K220" s="14" t="str">
        <f>IF(ID!$B$89=I220,J220,"")</f>
        <v/>
      </c>
      <c r="L220" s="14" t="str">
        <f>IFERROR(SMALL($K$8:$K$174,ROWS($K$8:K220)),"")</f>
        <v/>
      </c>
    </row>
    <row r="221" spans="2:12" x14ac:dyDescent="0.2">
      <c r="B221" s="763">
        <v>30.5</v>
      </c>
      <c r="C221" s="974">
        <v>-0.1</v>
      </c>
      <c r="D221" s="974">
        <v>0.1</v>
      </c>
      <c r="E221" s="763">
        <v>59.2</v>
      </c>
      <c r="F221" s="974">
        <v>0.4</v>
      </c>
      <c r="G221" s="977">
        <v>1.5</v>
      </c>
      <c r="H221" s="970" t="s">
        <v>440</v>
      </c>
      <c r="I221" s="769" t="s">
        <v>441</v>
      </c>
      <c r="J221" s="14">
        <f>ROWS(I$8:$I221)</f>
        <v>214</v>
      </c>
      <c r="K221" s="14" t="str">
        <f>IF(ID!$B$89=I221,J221,"")</f>
        <v/>
      </c>
      <c r="L221" s="14" t="str">
        <f>IFERROR(SMALL($K$8:$K$174,ROWS($K$8:K221)),"")</f>
        <v/>
      </c>
    </row>
    <row r="222" spans="2:12" x14ac:dyDescent="0.2">
      <c r="B222" s="763">
        <v>35.5</v>
      </c>
      <c r="C222" s="974">
        <v>-0.1</v>
      </c>
      <c r="D222" s="974">
        <v>0.1</v>
      </c>
      <c r="E222" s="763">
        <v>70.599999999999994</v>
      </c>
      <c r="F222" s="974">
        <v>-0.7</v>
      </c>
      <c r="G222" s="977">
        <v>1.5</v>
      </c>
      <c r="H222" s="970" t="s">
        <v>440</v>
      </c>
      <c r="I222" s="769" t="s">
        <v>441</v>
      </c>
      <c r="J222" s="14">
        <f>ROWS(I$8:$I222)</f>
        <v>215</v>
      </c>
      <c r="K222" s="14" t="str">
        <f>IF(ID!$B$89=I222,J222,"")</f>
        <v/>
      </c>
      <c r="L222" s="14" t="str">
        <f>IFERROR(SMALL($K$8:$K$174,ROWS($K$8:K222)),"")</f>
        <v/>
      </c>
    </row>
    <row r="223" spans="2:12" x14ac:dyDescent="0.2">
      <c r="B223" s="766">
        <v>37.200000000000003</v>
      </c>
      <c r="C223" s="764">
        <v>9.9999999999999995E-7</v>
      </c>
      <c r="D223" s="974">
        <v>0.1</v>
      </c>
      <c r="E223" s="766">
        <v>80.900000000000006</v>
      </c>
      <c r="F223" s="974">
        <v>-0.9</v>
      </c>
      <c r="G223" s="977">
        <v>1.5</v>
      </c>
      <c r="H223" s="970" t="s">
        <v>440</v>
      </c>
      <c r="I223" s="769" t="s">
        <v>441</v>
      </c>
      <c r="J223" s="14">
        <f>ROWS(I$8:$I223)</f>
        <v>216</v>
      </c>
      <c r="K223" s="14" t="str">
        <f>IF(ID!$B$89=I223,J223,"")</f>
        <v/>
      </c>
      <c r="L223" s="14" t="str">
        <f>IFERROR(SMALL($K$8:$K$174,ROWS($K$8:K223)),"")</f>
        <v/>
      </c>
    </row>
    <row r="224" spans="2:12" x14ac:dyDescent="0.2">
      <c r="B224" s="766">
        <v>39.700000000000003</v>
      </c>
      <c r="C224" s="975">
        <v>0.2</v>
      </c>
      <c r="D224" s="974">
        <v>0.1</v>
      </c>
      <c r="E224" s="766">
        <v>90.4</v>
      </c>
      <c r="F224" s="978">
        <v>-0.6</v>
      </c>
      <c r="G224" s="977">
        <v>1.5</v>
      </c>
      <c r="H224" s="970" t="s">
        <v>440</v>
      </c>
      <c r="I224" s="769" t="s">
        <v>441</v>
      </c>
      <c r="J224" s="14">
        <f>ROWS(I$8:$I224)</f>
        <v>217</v>
      </c>
      <c r="K224" s="14" t="str">
        <f>IF(ID!$B$89=I224,J224,"")</f>
        <v/>
      </c>
      <c r="L224" s="14" t="str">
        <f>IFERROR(SMALL($K$8:$K$174,ROWS($K$8:K224)),"")</f>
        <v/>
      </c>
    </row>
    <row r="225" spans="3:4" x14ac:dyDescent="0.2">
      <c r="C225" s="976"/>
      <c r="D225" s="976"/>
    </row>
  </sheetData>
  <sheetProtection algorithmName="SHA-512" hashValue="clyZ1Zo1VWBJ+sAfsMY7NBM4Iyy9GC+0Xk/MFvGxRV0ZtwkYkYFfD9pa82A5ueadF4QlgOFC6GLnoM26ELOJBA==" saltValue="r1ibXX1yit9jWG4Wcf17X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T57"/>
  <sheetViews>
    <sheetView topLeftCell="J19" workbookViewId="0">
      <selection activeCell="L32" sqref="L32"/>
    </sheetView>
  </sheetViews>
  <sheetFormatPr defaultRowHeight="13.2" x14ac:dyDescent="0.25"/>
  <cols>
    <col min="11" max="11" width="14.88671875" customWidth="1"/>
    <col min="12" max="12" width="57" customWidth="1"/>
    <col min="16" max="16" width="18.33203125" customWidth="1"/>
    <col min="17" max="17" width="37" customWidth="1"/>
  </cols>
  <sheetData>
    <row r="1" spans="7:20" x14ac:dyDescent="0.25">
      <c r="M1" s="1331" t="s">
        <v>165</v>
      </c>
      <c r="N1" s="1332"/>
      <c r="O1" s="1332"/>
      <c r="P1" s="1332"/>
      <c r="Q1" s="47" t="str">
        <f>IF(M36=""," [ISI G/NO/NC] ",IF(N36=""," [ISI G/NO/NC] ",IF(O36=""," [ISI G/NO/NC] "," [oke] ")))</f>
        <v xml:space="preserve"> [ISI G/NO/NC] </v>
      </c>
    </row>
    <row r="4" spans="7:20" x14ac:dyDescent="0.25">
      <c r="G4" s="1333"/>
      <c r="H4" s="1333"/>
    </row>
    <row r="6" spans="7:20" x14ac:dyDescent="0.25">
      <c r="H6" s="47"/>
      <c r="K6" s="47"/>
      <c r="L6" s="47"/>
    </row>
    <row r="7" spans="7:20" x14ac:dyDescent="0.25">
      <c r="K7" s="47"/>
      <c r="L7" s="47"/>
    </row>
    <row r="8" spans="7:20" x14ac:dyDescent="0.25">
      <c r="K8" s="503"/>
      <c r="L8" s="47"/>
    </row>
    <row r="10" spans="7:20" x14ac:dyDescent="0.25">
      <c r="K10" s="504"/>
      <c r="L10" s="504"/>
      <c r="R10" s="504" t="str">
        <f>IF(OR(G6="",H6=""),"JANGAN KOSONG",IF(H6=0,"JANGAN 0 ISI -",IF(AND(H6="-",G6="-"),35,IF(OR(G6="OL",H6="OL"),"JANGAN OL",IF(AND(G6&lt;=500,H6="-"),35,IF(AND(AND(G6&gt;=0.01,G6&lt;=500),H6&gt;=0.01),"GANTI NC -",IF(AND(AND(G6&gt;=500,G6&lt;=100000),H6&gt;=0.01),"GANTI NC -",IF(AND(G6&gt;=0.01,G6&lt;=500),35,IF(AND(H6&gt;=0.01,H6&lt;=100),35,0)))))))))</f>
        <v>JANGAN KOSONG</v>
      </c>
    </row>
    <row r="11" spans="7:20" x14ac:dyDescent="0.25">
      <c r="L11" s="47"/>
    </row>
    <row r="12" spans="7:20" x14ac:dyDescent="0.25">
      <c r="K12" s="47"/>
      <c r="L12" s="47"/>
    </row>
    <row r="13" spans="7:20" x14ac:dyDescent="0.25">
      <c r="K13" s="504"/>
      <c r="L13" s="504"/>
      <c r="T13" s="47">
        <v>6</v>
      </c>
    </row>
    <row r="14" spans="7:20" x14ac:dyDescent="0.25">
      <c r="L14" s="47"/>
      <c r="T14" s="47">
        <v>345</v>
      </c>
    </row>
    <row r="15" spans="7:20" x14ac:dyDescent="0.25">
      <c r="K15" s="47"/>
      <c r="L15" s="47"/>
      <c r="T15" s="47">
        <v>12345</v>
      </c>
    </row>
    <row r="16" spans="7:20" x14ac:dyDescent="0.25">
      <c r="J16" s="47"/>
      <c r="L16" s="47"/>
    </row>
    <row r="17" spans="1:20" ht="15.6" x14ac:dyDescent="0.25">
      <c r="A17" s="47"/>
      <c r="B17" s="505"/>
      <c r="T17" s="47"/>
    </row>
    <row r="18" spans="1:20" ht="15.6" x14ac:dyDescent="0.25">
      <c r="A18" s="47"/>
      <c r="B18" s="506"/>
      <c r="H18" s="144"/>
      <c r="J18" s="47"/>
    </row>
    <row r="19" spans="1:20" ht="15.6" x14ac:dyDescent="0.25">
      <c r="A19" s="47"/>
      <c r="B19" s="507"/>
      <c r="H19" s="144"/>
      <c r="N19" s="47"/>
    </row>
    <row r="20" spans="1:20" ht="15.6" x14ac:dyDescent="0.25">
      <c r="B20" s="506"/>
      <c r="H20" s="144"/>
      <c r="K20" s="47"/>
      <c r="L20" s="47"/>
      <c r="N20" s="47"/>
      <c r="O20" s="47"/>
      <c r="P20" s="47"/>
      <c r="Q20" s="47"/>
      <c r="R20" s="47"/>
    </row>
    <row r="21" spans="1:20" ht="15.6" x14ac:dyDescent="0.25">
      <c r="A21" s="47"/>
      <c r="B21" s="506"/>
      <c r="H21" s="144"/>
      <c r="L21" s="47"/>
    </row>
    <row r="22" spans="1:20" ht="15.6" x14ac:dyDescent="0.25">
      <c r="A22" s="47"/>
      <c r="B22" s="506"/>
      <c r="H22" s="144"/>
    </row>
    <row r="23" spans="1:20" ht="15.6" x14ac:dyDescent="0.3">
      <c r="B23" s="508"/>
      <c r="H23" s="144"/>
    </row>
    <row r="24" spans="1:20" ht="15.6" x14ac:dyDescent="0.3">
      <c r="A24" s="47"/>
      <c r="B24" s="509"/>
      <c r="H24" s="144"/>
      <c r="M24" s="1334" t="s">
        <v>166</v>
      </c>
      <c r="N24" s="1334"/>
      <c r="O24" s="1334"/>
      <c r="P24" s="1334"/>
    </row>
    <row r="25" spans="1:20" x14ac:dyDescent="0.25">
      <c r="L25" s="665" t="s">
        <v>167</v>
      </c>
      <c r="M25" s="665" t="s">
        <v>168</v>
      </c>
      <c r="N25" s="510" t="s">
        <v>169</v>
      </c>
      <c r="O25" s="510" t="s">
        <v>170</v>
      </c>
      <c r="P25" s="510" t="s">
        <v>171</v>
      </c>
      <c r="Q25" s="665" t="s">
        <v>172</v>
      </c>
      <c r="R25" s="47"/>
    </row>
    <row r="26" spans="1:20" ht="15.6" x14ac:dyDescent="0.3">
      <c r="I26" s="47"/>
      <c r="J26" s="47"/>
      <c r="K26" s="47"/>
      <c r="L26" s="511" t="s">
        <v>173</v>
      </c>
      <c r="M26" s="512" t="s">
        <v>174</v>
      </c>
      <c r="N26" s="513" t="s">
        <v>174</v>
      </c>
      <c r="O26" s="513" t="s">
        <v>174</v>
      </c>
      <c r="P26" s="514" t="s">
        <v>175</v>
      </c>
      <c r="Q26" s="515" t="s">
        <v>111</v>
      </c>
    </row>
    <row r="27" spans="1:20" ht="39" customHeight="1" x14ac:dyDescent="0.25">
      <c r="I27" s="47"/>
      <c r="J27" s="47"/>
      <c r="K27" s="516"/>
      <c r="L27" s="517" t="s">
        <v>176</v>
      </c>
      <c r="M27" s="512" t="s">
        <v>174</v>
      </c>
      <c r="N27" s="518" t="s">
        <v>174</v>
      </c>
      <c r="O27" s="518" t="s">
        <v>174</v>
      </c>
      <c r="P27" s="519" t="s">
        <v>177</v>
      </c>
      <c r="Q27" s="520" t="s">
        <v>178</v>
      </c>
    </row>
    <row r="28" spans="1:20" ht="15.6" x14ac:dyDescent="0.25">
      <c r="I28" s="47"/>
      <c r="J28" s="47"/>
      <c r="K28" s="47"/>
      <c r="L28" s="517" t="s">
        <v>179</v>
      </c>
      <c r="M28" s="512" t="s">
        <v>174</v>
      </c>
      <c r="N28" s="518" t="s">
        <v>174</v>
      </c>
      <c r="O28" s="518" t="s">
        <v>111</v>
      </c>
      <c r="P28" s="519" t="s">
        <v>175</v>
      </c>
      <c r="Q28" s="521" t="s">
        <v>111</v>
      </c>
    </row>
    <row r="29" spans="1:20" ht="15.6" x14ac:dyDescent="0.25">
      <c r="I29" s="47"/>
      <c r="J29" s="47"/>
      <c r="K29" s="47"/>
      <c r="L29" s="511" t="s">
        <v>180</v>
      </c>
      <c r="M29" s="512" t="s">
        <v>174</v>
      </c>
      <c r="N29" s="513" t="s">
        <v>174</v>
      </c>
      <c r="O29" s="513" t="s">
        <v>111</v>
      </c>
      <c r="P29" s="514" t="s">
        <v>181</v>
      </c>
      <c r="Q29" s="522" t="s">
        <v>182</v>
      </c>
    </row>
    <row r="30" spans="1:20" ht="15.6" x14ac:dyDescent="0.25">
      <c r="I30" s="47"/>
      <c r="J30" s="47"/>
      <c r="K30" s="47"/>
      <c r="L30" s="517" t="s">
        <v>183</v>
      </c>
      <c r="M30" s="512" t="s">
        <v>174</v>
      </c>
      <c r="N30" s="518" t="s">
        <v>174</v>
      </c>
      <c r="O30" s="518" t="s">
        <v>111</v>
      </c>
      <c r="P30" s="519" t="s">
        <v>181</v>
      </c>
      <c r="Q30" s="521" t="s">
        <v>182</v>
      </c>
    </row>
    <row r="31" spans="1:20" ht="15.6" x14ac:dyDescent="0.3">
      <c r="I31" s="47"/>
      <c r="J31" s="47"/>
      <c r="K31" s="47"/>
      <c r="L31" s="523" t="s">
        <v>136</v>
      </c>
      <c r="M31" s="512" t="s">
        <v>111</v>
      </c>
      <c r="N31" s="518" t="s">
        <v>111</v>
      </c>
      <c r="O31" s="518" t="s">
        <v>111</v>
      </c>
      <c r="P31" s="519" t="s">
        <v>181</v>
      </c>
      <c r="Q31" s="521" t="s">
        <v>182</v>
      </c>
    </row>
    <row r="32" spans="1:20" ht="15.6" x14ac:dyDescent="0.25">
      <c r="L32" s="517"/>
      <c r="M32" s="512"/>
      <c r="N32" s="518"/>
      <c r="O32" s="518"/>
      <c r="P32" s="519"/>
      <c r="Q32" s="521"/>
    </row>
    <row r="33" spans="11:17" ht="32.25" customHeight="1" x14ac:dyDescent="0.25">
      <c r="L33" s="524" t="s">
        <v>184</v>
      </c>
      <c r="M33" s="665" t="str">
        <f>VLOOKUP([1]INPUT!$M$37,$L$26:$Q$32,2,0)</f>
        <v>√</v>
      </c>
      <c r="N33" s="525" t="str">
        <f>VLOOKUP([1]INPUT!$M$37,$L$26:$Q$32,3,0)</f>
        <v>√</v>
      </c>
      <c r="O33" s="525" t="str">
        <f>VLOOKUP([1]INPUT!$M$37,$L$26:$Q$32,4,0)</f>
        <v>√</v>
      </c>
      <c r="P33" s="526" t="str">
        <f>VLOOKUP([1]INPUT!$M$37,$L$26:$Q$32,5,0)</f>
        <v>Gket</v>
      </c>
      <c r="Q33" s="527" t="str">
        <f>VLOOKUP([1]INPUT!$M$37,$L$26:$Q$32,6,0)</f>
        <v>Alat tidak boleh digunakan pada instalasi tanpa dilengkapi grounding</v>
      </c>
    </row>
    <row r="35" spans="11:17" ht="13.8" thickBot="1" x14ac:dyDescent="0.3">
      <c r="K35" s="528"/>
    </row>
    <row r="36" spans="11:17" s="528" customFormat="1" ht="15.6" x14ac:dyDescent="0.3">
      <c r="K36" s="529"/>
      <c r="L36" s="530" t="s">
        <v>136</v>
      </c>
      <c r="M36" s="531"/>
      <c r="N36" s="532" t="str">
        <f>IF(N56="","",N56)</f>
        <v/>
      </c>
      <c r="O36" s="533" t="str">
        <f>IF(O56="","",O56)</f>
        <v/>
      </c>
      <c r="P36" s="534" t="str">
        <f>CONCATENATE(N37,O37)</f>
        <v>XX</v>
      </c>
      <c r="Q36" s="535" t="str">
        <f>IF(NOT(P36="√√"),"X",35)</f>
        <v>X</v>
      </c>
    </row>
    <row r="37" spans="11:17" s="528" customFormat="1" ht="13.8" thickBot="1" x14ac:dyDescent="0.3">
      <c r="L37" s="536"/>
      <c r="M37" s="537"/>
      <c r="N37" s="538" t="str">
        <f>IF(NOT(N36="-"),"X","√")</f>
        <v>X</v>
      </c>
      <c r="O37" s="538" t="str">
        <f>IF(NOT(O36="-"),"X","√")</f>
        <v>X</v>
      </c>
      <c r="P37" s="539"/>
      <c r="Q37" s="540"/>
    </row>
    <row r="38" spans="11:17" s="528" customFormat="1" ht="15.6" x14ac:dyDescent="0.25">
      <c r="L38" s="541" t="s">
        <v>183</v>
      </c>
      <c r="M38" s="542"/>
      <c r="N38" s="532" t="str">
        <f>IF(N56="","",N56)</f>
        <v/>
      </c>
      <c r="O38" s="533" t="str">
        <f>IF(O56="","",O56)</f>
        <v/>
      </c>
      <c r="P38" s="534" t="str">
        <f>CONCATENATE(N39,O39)</f>
        <v>XX</v>
      </c>
      <c r="Q38" s="535" t="str">
        <f>IF(NOT(P38="√√"),"X",35)</f>
        <v>X</v>
      </c>
    </row>
    <row r="39" spans="11:17" x14ac:dyDescent="0.25">
      <c r="K39" s="528"/>
      <c r="L39" s="543"/>
      <c r="M39" s="528"/>
      <c r="N39" s="544" t="str">
        <f>IF(N38="","X",IF(N38="-","X",IF(N38="OL","X",IF(N38&lt;=500,"√","X"))))</f>
        <v>X</v>
      </c>
      <c r="O39" s="544" t="str">
        <f>IF(O38="","X",IF(O38="OL","X",IF(O38="-","√","X")))</f>
        <v>X</v>
      </c>
      <c r="P39" s="544"/>
      <c r="Q39" s="545"/>
    </row>
    <row r="40" spans="11:17" ht="13.8" thickBot="1" x14ac:dyDescent="0.3">
      <c r="K40" s="528"/>
      <c r="L40" s="546"/>
      <c r="M40" s="547"/>
      <c r="N40" s="539"/>
      <c r="O40" s="539"/>
      <c r="P40" s="539"/>
      <c r="Q40" s="548"/>
    </row>
    <row r="41" spans="11:17" ht="15.6" x14ac:dyDescent="0.25">
      <c r="L41" s="549" t="s">
        <v>180</v>
      </c>
      <c r="M41" s="550"/>
      <c r="N41" s="551" t="str">
        <f>IF(N56="","",N56)</f>
        <v/>
      </c>
      <c r="O41" s="552" t="str">
        <f>IF(O56="","",O56)</f>
        <v/>
      </c>
      <c r="P41" s="553" t="str">
        <f>CONCATENATE(N42,O42)</f>
        <v>XX</v>
      </c>
      <c r="Q41" s="554" t="str">
        <f>IF(NOT(P41="√√"),"X",0)</f>
        <v>X</v>
      </c>
    </row>
    <row r="42" spans="11:17" x14ac:dyDescent="0.25">
      <c r="L42" s="555"/>
      <c r="N42" s="556" t="str">
        <f>IF(N41="","X",IF(N41="-","X",IF(N41="OL","X",IF(N41&gt;=500,"√","X"))))</f>
        <v>X</v>
      </c>
      <c r="O42" s="556" t="str">
        <f>IF(O41="","X",IF(O41="OL","X",IF(O41="-","√","X")))</f>
        <v>X</v>
      </c>
      <c r="P42" s="556"/>
      <c r="Q42" s="557"/>
    </row>
    <row r="43" spans="11:17" ht="13.8" thickBot="1" x14ac:dyDescent="0.3">
      <c r="L43" s="558"/>
      <c r="M43" s="559"/>
      <c r="N43" s="560"/>
      <c r="O43" s="560"/>
      <c r="P43" s="560"/>
      <c r="Q43" s="561"/>
    </row>
    <row r="44" spans="11:17" ht="15.6" x14ac:dyDescent="0.25">
      <c r="L44" s="541" t="s">
        <v>179</v>
      </c>
      <c r="M44" s="550"/>
      <c r="N44" s="532" t="str">
        <f>IF(N56="","",N56)</f>
        <v/>
      </c>
      <c r="O44" s="533" t="str">
        <f>IF(O56="","",O56)</f>
        <v/>
      </c>
      <c r="P44" s="532" t="str">
        <f>CONCATENATE(N45,O45)</f>
        <v>XX</v>
      </c>
      <c r="Q44" s="535" t="str">
        <f>IF(NOT(P44="√√"),"X",35)</f>
        <v>X</v>
      </c>
    </row>
    <row r="45" spans="11:17" x14ac:dyDescent="0.25">
      <c r="L45" s="555"/>
      <c r="N45" s="562" t="str">
        <f>IF(N44="","X",IF(N44="-","X",IF(N44="OL","X",IF(N44&lt;=500,"√","X"))))</f>
        <v>X</v>
      </c>
      <c r="O45" s="562" t="str">
        <f>IF(O44="","X",IF(O44="OL","X",IF(O44="-","√","X")))</f>
        <v>X</v>
      </c>
      <c r="P45" s="544"/>
      <c r="Q45" s="545"/>
    </row>
    <row r="46" spans="11:17" ht="13.8" thickBot="1" x14ac:dyDescent="0.3">
      <c r="L46" s="558"/>
      <c r="M46" s="559"/>
      <c r="N46" s="559"/>
      <c r="O46" s="559"/>
      <c r="P46" s="559"/>
      <c r="Q46" s="563"/>
    </row>
    <row r="47" spans="11:17" ht="15.6" x14ac:dyDescent="0.25">
      <c r="L47" s="541" t="s">
        <v>176</v>
      </c>
      <c r="M47" s="550"/>
      <c r="N47" s="532" t="str">
        <f>IF(N56="","",N56)</f>
        <v/>
      </c>
      <c r="O47" s="533" t="str">
        <f>IF(O56="","",O56)</f>
        <v/>
      </c>
      <c r="P47" s="534" t="str">
        <f>CONCATENATE(N48,O48)</f>
        <v>XX</v>
      </c>
      <c r="Q47" s="535" t="str">
        <f>IF(NOT(P47="√√"),"X",35)</f>
        <v>X</v>
      </c>
    </row>
    <row r="48" spans="11:17" x14ac:dyDescent="0.25">
      <c r="L48" s="555"/>
      <c r="N48" s="544" t="str">
        <f>IF(N47="","X",IF(N47="-","X",IF(N47="OL","X",IF(N47&gt;=500,"√","X"))))</f>
        <v>X</v>
      </c>
      <c r="O48" s="544" t="str">
        <f>IF(O47="","X",IF(O47="-","X",IF(O47="OL","X",IF(O47&lt;=100,"√","X"))))</f>
        <v>X</v>
      </c>
      <c r="P48" s="544"/>
      <c r="Q48" s="545"/>
    </row>
    <row r="49" spans="12:17" ht="13.8" thickBot="1" x14ac:dyDescent="0.3">
      <c r="L49" s="558"/>
      <c r="M49" s="559"/>
      <c r="N49" s="539"/>
      <c r="O49" s="539"/>
      <c r="P49" s="539"/>
      <c r="Q49" s="548"/>
    </row>
    <row r="50" spans="12:17" ht="15.6" x14ac:dyDescent="0.25">
      <c r="L50" s="549" t="s">
        <v>173</v>
      </c>
      <c r="M50" s="550"/>
      <c r="N50" s="551" t="str">
        <f>IF(N56="","",N56)</f>
        <v/>
      </c>
      <c r="O50" s="552" t="str">
        <f>IF(O56="","",O56)</f>
        <v/>
      </c>
      <c r="P50" s="553" t="str">
        <f>CONCATENATE(N51,O51)</f>
        <v>XX</v>
      </c>
      <c r="Q50" s="554" t="str">
        <f>IF(NOT(P50="√√"),"X",0)</f>
        <v>X</v>
      </c>
    </row>
    <row r="51" spans="12:17" x14ac:dyDescent="0.25">
      <c r="L51" s="555"/>
      <c r="N51" s="556" t="str">
        <f>IF(N50="","X",IF(N50="-","X",IF(N50="OL","X",IF(N50&gt;=500,"√","X"))))</f>
        <v>X</v>
      </c>
      <c r="O51" s="556" t="str">
        <f>IF(O50="","X",IF(O50="-","X",IF(O50="OL","X",IF(O50&gt;=500,"√","X"))))</f>
        <v>X</v>
      </c>
      <c r="P51" s="556"/>
      <c r="Q51" s="557"/>
    </row>
    <row r="52" spans="12:17" ht="13.8" thickBot="1" x14ac:dyDescent="0.3">
      <c r="L52" s="558"/>
      <c r="M52" s="559"/>
      <c r="N52" s="560"/>
      <c r="O52" s="560"/>
      <c r="P52" s="560"/>
      <c r="Q52" s="561"/>
    </row>
    <row r="53" spans="12:17" ht="15.6" x14ac:dyDescent="0.3">
      <c r="L53" s="530"/>
      <c r="M53" s="531"/>
      <c r="N53" s="532"/>
      <c r="O53" s="532"/>
      <c r="P53" s="532"/>
      <c r="Q53" s="535"/>
    </row>
    <row r="54" spans="12:17" ht="13.8" thickBot="1" x14ac:dyDescent="0.3">
      <c r="L54" s="564"/>
      <c r="M54" s="198"/>
      <c r="N54" s="565"/>
      <c r="O54" s="565"/>
      <c r="P54" s="544"/>
      <c r="Q54" s="566"/>
    </row>
    <row r="55" spans="12:17" ht="13.8" thickBot="1" x14ac:dyDescent="0.3">
      <c r="L55" s="567" t="s">
        <v>184</v>
      </c>
      <c r="M55" s="568"/>
      <c r="N55" s="568"/>
      <c r="O55" s="568"/>
      <c r="P55" s="569"/>
      <c r="Q55" s="570" t="e">
        <f>VLOOKUP(ID!#REF!,$L$36:$Q$54,6,0)</f>
        <v>#REF!</v>
      </c>
    </row>
    <row r="56" spans="12:17" ht="13.8" thickBot="1" x14ac:dyDescent="0.3">
      <c r="L56" s="567" t="s">
        <v>185</v>
      </c>
      <c r="M56" s="571"/>
      <c r="N56" s="572" t="str">
        <f>IF(ID!P45="","",ID!P45)</f>
        <v/>
      </c>
      <c r="O56" s="573" t="str">
        <f>IF(ID!Q45="","",ID!Q45)</f>
        <v/>
      </c>
    </row>
    <row r="57" spans="12:17" ht="15.6" x14ac:dyDescent="0.3">
      <c r="N57" s="574"/>
      <c r="O57" s="574"/>
    </row>
  </sheetData>
  <sheetProtection algorithmName="SHA-512" hashValue="qJ33h1jbtVlsN+2xGCOeOpZLa/+TZTqEqTaWC1UbWbwpD9zu73SGqpqMSiQKgIwlf2wseHl19wLvu4lpR+1Hvg==" saltValue="ig16eAulBt/qeNI5Bps8MQ==" spinCount="100000" sheet="1" objects="1" scenarios="1"/>
  <mergeCells count="3">
    <mergeCell ref="M1:P1"/>
    <mergeCell ref="G4:H4"/>
    <mergeCell ref="M24:P24"/>
  </mergeCells>
  <dataValidations disablePrompts="1" count="1">
    <dataValidation type="list" allowBlank="1" showInputMessage="1" sqref="G6:J6" xr:uid="{00000000-0002-0000-0300-000000000000}">
      <formula1>$L$1:$L$5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/>
  <dimension ref="N14:AC41"/>
  <sheetViews>
    <sheetView topLeftCell="U22" workbookViewId="0">
      <selection activeCell="T21" sqref="T21"/>
    </sheetView>
  </sheetViews>
  <sheetFormatPr defaultRowHeight="13.2" x14ac:dyDescent="0.25"/>
  <cols>
    <col min="14" max="14" width="10.33203125" bestFit="1" customWidth="1"/>
    <col min="20" max="20" width="68" customWidth="1"/>
    <col min="21" max="21" width="45.33203125" customWidth="1"/>
    <col min="22" max="22" width="20.5546875" customWidth="1"/>
    <col min="24" max="24" width="19" customWidth="1"/>
    <col min="29" max="29" width="36.109375" customWidth="1"/>
  </cols>
  <sheetData>
    <row r="14" spans="14:29" ht="17.399999999999999" x14ac:dyDescent="0.25">
      <c r="N14" s="575" t="s">
        <v>186</v>
      </c>
      <c r="T14" s="576" t="s">
        <v>166</v>
      </c>
      <c r="U14" s="577"/>
      <c r="V14" s="577"/>
      <c r="W14" s="577"/>
      <c r="X14" s="577"/>
      <c r="Y14" s="577"/>
      <c r="Z14" s="577"/>
      <c r="AA14" s="577"/>
      <c r="AB14" s="577"/>
      <c r="AC14" s="577"/>
    </row>
    <row r="15" spans="14:29" x14ac:dyDescent="0.25">
      <c r="T15" s="578" t="str">
        <f>CONCATENATE(ID!A2," ",ID!I2)</f>
        <v>Nomor sertifikat : 9 / 2 / II - 20 / E - 015.38 DL</v>
      </c>
      <c r="U15" s="576" t="s">
        <v>132</v>
      </c>
    </row>
    <row r="16" spans="14:29" ht="15.6" x14ac:dyDescent="0.25">
      <c r="N16" s="579" t="s">
        <v>47</v>
      </c>
      <c r="O16" s="580"/>
      <c r="P16" s="580"/>
      <c r="Q16" s="580"/>
      <c r="R16" s="580"/>
      <c r="S16" s="581"/>
      <c r="T16" s="579" t="e">
        <f>IF(U20="X","PERBAIKI EXCELL",T15)</f>
        <v>#N/A</v>
      </c>
      <c r="U16" s="582" t="e">
        <f>LOOKUP(ID!A44,'KELAS 2 NA'!N16:N17,'KELAS 2 NA'!T16:T17)</f>
        <v>#N/A</v>
      </c>
    </row>
    <row r="17" spans="14:29" ht="15.6" x14ac:dyDescent="0.25">
      <c r="N17" s="579" t="s">
        <v>50</v>
      </c>
      <c r="O17" s="580"/>
      <c r="P17" s="580"/>
      <c r="Q17" s="580"/>
      <c r="R17" s="580"/>
      <c r="S17" s="581"/>
      <c r="T17" s="579" t="e">
        <f>IF(U20="X","PERBAIKI EXCELL",T15)</f>
        <v>#N/A</v>
      </c>
    </row>
    <row r="19" spans="14:29" x14ac:dyDescent="0.25">
      <c r="N19" s="583" t="s">
        <v>187</v>
      </c>
      <c r="T19" s="47" t="s">
        <v>188</v>
      </c>
      <c r="U19" s="47" t="s">
        <v>132</v>
      </c>
    </row>
    <row r="20" spans="14:29" ht="15.6" x14ac:dyDescent="0.25">
      <c r="N20" s="579" t="s">
        <v>47</v>
      </c>
      <c r="O20" s="580"/>
      <c r="P20" s="580"/>
      <c r="Q20" s="580"/>
      <c r="R20" s="580"/>
      <c r="S20" s="581"/>
      <c r="T20" s="597" t="e">
        <f>'KELAS 1 NA'!Q55</f>
        <v>#REF!</v>
      </c>
      <c r="U20" s="584" t="e">
        <f>LOOKUP(ID!A44,'KELAS 2 NA'!N20:N21,'KELAS 2 NA'!T20:T21)</f>
        <v>#N/A</v>
      </c>
    </row>
    <row r="21" spans="14:29" ht="15.6" x14ac:dyDescent="0.3">
      <c r="N21" s="579" t="s">
        <v>50</v>
      </c>
      <c r="O21" s="580"/>
      <c r="P21" s="580"/>
      <c r="Q21" s="580"/>
      <c r="R21" s="580"/>
      <c r="S21" s="581"/>
      <c r="T21" s="585" t="e">
        <f>AC40</f>
        <v>#N/A</v>
      </c>
      <c r="U21" s="586"/>
    </row>
    <row r="22" spans="14:29" x14ac:dyDescent="0.25">
      <c r="T22" s="664"/>
      <c r="U22" s="664"/>
    </row>
    <row r="23" spans="14:29" x14ac:dyDescent="0.25">
      <c r="N23" s="583" t="s">
        <v>189</v>
      </c>
      <c r="T23" s="47" t="s">
        <v>188</v>
      </c>
      <c r="U23" s="47" t="s">
        <v>132</v>
      </c>
    </row>
    <row r="24" spans="14:29" ht="15.6" x14ac:dyDescent="0.25">
      <c r="N24" s="579" t="s">
        <v>47</v>
      </c>
      <c r="O24" s="580"/>
      <c r="P24" s="580"/>
      <c r="Q24" s="580"/>
      <c r="R24" s="580"/>
      <c r="S24" s="581"/>
      <c r="T24" s="587" t="str">
        <f>'KELAS 1 NA'!Q33</f>
        <v>Alat tidak boleh digunakan pada instalasi tanpa dilengkapi grounding</v>
      </c>
      <c r="U24" s="587" t="str">
        <f>LOOKUP(ID!A44,'KELAS 2 NA'!N24:N25,'KELAS 2 NA'!T24:T25)</f>
        <v>Catu daya menggunakan baterai</v>
      </c>
    </row>
    <row r="25" spans="14:29" ht="15.6" x14ac:dyDescent="0.3">
      <c r="N25" s="579" t="s">
        <v>50</v>
      </c>
      <c r="O25" s="580"/>
      <c r="P25" s="580"/>
      <c r="Q25" s="580"/>
      <c r="R25" s="580"/>
      <c r="S25" s="581"/>
      <c r="T25" s="588" t="str">
        <f>AC30</f>
        <v>Catu daya menggunakan baterai</v>
      </c>
      <c r="U25" s="586"/>
    </row>
    <row r="26" spans="14:29" x14ac:dyDescent="0.25">
      <c r="Y26" s="1334" t="s">
        <v>166</v>
      </c>
      <c r="Z26" s="1334"/>
      <c r="AA26" s="1334"/>
      <c r="AB26" s="1334"/>
    </row>
    <row r="27" spans="14:29" x14ac:dyDescent="0.25">
      <c r="X27" s="665" t="s">
        <v>167</v>
      </c>
      <c r="Y27" s="665" t="s">
        <v>168</v>
      </c>
      <c r="Z27" s="510" t="s">
        <v>169</v>
      </c>
      <c r="AA27" s="510" t="s">
        <v>170</v>
      </c>
      <c r="AB27" s="510" t="s">
        <v>171</v>
      </c>
      <c r="AC27" s="665" t="s">
        <v>172</v>
      </c>
    </row>
    <row r="28" spans="14:29" ht="15.6" x14ac:dyDescent="0.25">
      <c r="X28" s="517" t="s">
        <v>129</v>
      </c>
      <c r="Y28" s="512" t="s">
        <v>111</v>
      </c>
      <c r="Z28" s="518" t="s">
        <v>111</v>
      </c>
      <c r="AA28" s="518" t="s">
        <v>111</v>
      </c>
      <c r="AB28" s="519" t="s">
        <v>181</v>
      </c>
      <c r="AC28" s="521" t="s">
        <v>159</v>
      </c>
    </row>
    <row r="29" spans="14:29" ht="15.6" x14ac:dyDescent="0.25">
      <c r="X29" s="517" t="s">
        <v>190</v>
      </c>
      <c r="Y29" s="512" t="s">
        <v>111</v>
      </c>
      <c r="Z29" s="518" t="s">
        <v>174</v>
      </c>
      <c r="AA29" s="518" t="s">
        <v>111</v>
      </c>
      <c r="AB29" s="519" t="s">
        <v>191</v>
      </c>
      <c r="AC29" s="521" t="s">
        <v>111</v>
      </c>
    </row>
    <row r="30" spans="14:29" ht="15.6" x14ac:dyDescent="0.25">
      <c r="X30" s="589" t="s">
        <v>184</v>
      </c>
      <c r="Y30" s="665" t="str">
        <f>VLOOKUP([1]INPUT!$M$32,$X$28:$AC$29,2,0)</f>
        <v>-</v>
      </c>
      <c r="Z30" s="525" t="str">
        <f>VLOOKUP([1]INPUT!$M$32,$X$28:$AC$29,3,0)</f>
        <v>-</v>
      </c>
      <c r="AA30" s="525" t="str">
        <f>VLOOKUP([1]INPUT!$M$32,$X$28:$AC$29,4,0)</f>
        <v>-</v>
      </c>
      <c r="AB30" s="525" t="str">
        <f>VLOOKUP([1]INPUT!$M$32,$X$28:$AC$29,5,0)</f>
        <v>NGket</v>
      </c>
      <c r="AC30" s="590" t="str">
        <f>VLOOKUP([1]INPUT!$M$32,$X$28:$AC$29,6,0)</f>
        <v>Catu daya menggunakan baterai</v>
      </c>
    </row>
    <row r="33" spans="24:29" ht="13.8" thickBot="1" x14ac:dyDescent="0.3"/>
    <row r="34" spans="24:29" ht="15.6" x14ac:dyDescent="0.3">
      <c r="X34" s="530" t="s">
        <v>129</v>
      </c>
      <c r="Y34" s="531"/>
      <c r="Z34" s="532" t="str">
        <f>IF(Z41="","",Z41)</f>
        <v/>
      </c>
      <c r="AA34" s="532" t="str">
        <f>IF(AA41="","",AA41)</f>
        <v/>
      </c>
      <c r="AB34" s="532" t="str">
        <f>CONCATENATE(Z35,AA35)</f>
        <v>XX</v>
      </c>
      <c r="AC34" s="535" t="str">
        <f>IF(NOT(AB34="√√"),"X",35)</f>
        <v>X</v>
      </c>
    </row>
    <row r="35" spans="24:29" x14ac:dyDescent="0.25">
      <c r="X35" s="564"/>
      <c r="Y35" s="198"/>
      <c r="Z35" s="565" t="str">
        <f>IF(NOT(Z34="-"),"X","√")</f>
        <v>X</v>
      </c>
      <c r="AA35" s="565" t="str">
        <f>IF(NOT(AA34="-"),"X","√")</f>
        <v>X</v>
      </c>
      <c r="AB35" s="544"/>
      <c r="AC35" s="566"/>
    </row>
    <row r="36" spans="24:29" ht="13.8" thickBot="1" x14ac:dyDescent="0.3">
      <c r="X36" s="558"/>
      <c r="Y36" s="559"/>
      <c r="Z36" s="559"/>
      <c r="AA36" s="559"/>
      <c r="AB36" s="559"/>
      <c r="AC36" s="563"/>
    </row>
    <row r="37" spans="24:29" ht="15.6" x14ac:dyDescent="0.25">
      <c r="X37" s="541" t="s">
        <v>190</v>
      </c>
      <c r="Y37" s="550"/>
      <c r="Z37" s="532" t="str">
        <f>IF(Z41="","",Z41)</f>
        <v/>
      </c>
      <c r="AA37" s="532" t="str">
        <f>IF(AA41="","",AA41)</f>
        <v/>
      </c>
      <c r="AB37" s="532" t="str">
        <f>CONCATENATE(Z38,AA38)</f>
        <v>XX</v>
      </c>
      <c r="AC37" s="535" t="str">
        <f>IF(Z37="","X",IF(Z37="-","X",IF(Z37="OL","X",IF(AB37="0√",0,IF(AB37="35√",35,"X")))))</f>
        <v>X</v>
      </c>
    </row>
    <row r="38" spans="24:29" x14ac:dyDescent="0.25">
      <c r="X38" s="555"/>
      <c r="Z38" s="562" t="str">
        <f>IF(Z37="","X",IF(Z37="-","X",IF(Z37="OL","X",IF(Z37&lt;=100,"35","0"))))</f>
        <v>X</v>
      </c>
      <c r="AA38" s="562" t="str">
        <f>IF(AA37="","X",IF(AA37="OL","X",IF(AA37="-","√","X")))</f>
        <v>X</v>
      </c>
      <c r="AB38" s="544"/>
      <c r="AC38" s="545"/>
    </row>
    <row r="39" spans="24:29" ht="13.8" thickBot="1" x14ac:dyDescent="0.3">
      <c r="X39" s="558"/>
      <c r="Y39" s="559"/>
      <c r="Z39" s="559"/>
      <c r="AA39" s="559"/>
      <c r="AB39" s="559"/>
      <c r="AC39" s="563"/>
    </row>
    <row r="40" spans="24:29" ht="16.2" thickBot="1" x14ac:dyDescent="0.3">
      <c r="X40" s="591" t="s">
        <v>184</v>
      </c>
      <c r="Y40" s="568"/>
      <c r="Z40" s="568"/>
      <c r="AA40" s="568"/>
      <c r="AB40" s="568"/>
      <c r="AC40" s="592" t="e">
        <f>VLOOKUP(ID!P38,'KELAS 2 NA'!X34:AC39,6,0)</f>
        <v>#N/A</v>
      </c>
    </row>
    <row r="41" spans="24:29" ht="13.8" thickBot="1" x14ac:dyDescent="0.3">
      <c r="X41" s="567" t="s">
        <v>192</v>
      </c>
      <c r="Y41" s="568"/>
      <c r="Z41" s="593" t="str">
        <f>IF(ID!P40="","",ID!P40)</f>
        <v/>
      </c>
      <c r="AA41" s="594" t="str">
        <f>IF(ID!Q40="","",ID!Q40)</f>
        <v/>
      </c>
    </row>
  </sheetData>
  <mergeCells count="1">
    <mergeCell ref="Y26:AB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H1:O73"/>
  <sheetViews>
    <sheetView topLeftCell="C52" workbookViewId="0">
      <selection activeCell="H14" sqref="H14:H17"/>
    </sheetView>
  </sheetViews>
  <sheetFormatPr defaultRowHeight="13.2" x14ac:dyDescent="0.25"/>
  <sheetData>
    <row r="1" spans="8:11" x14ac:dyDescent="0.25">
      <c r="H1" s="47" t="s">
        <v>193</v>
      </c>
    </row>
    <row r="2" spans="8:11" ht="16.2" thickBot="1" x14ac:dyDescent="0.3">
      <c r="H2" s="120">
        <v>200</v>
      </c>
      <c r="I2" s="121">
        <v>170</v>
      </c>
      <c r="J2" s="121">
        <v>160</v>
      </c>
      <c r="K2" s="118">
        <f>IF(ID!C63=200,200,IF(ID!C63=170,170,IF(ID!C63=160,160)))</f>
        <v>200</v>
      </c>
    </row>
    <row r="3" spans="8:11" ht="15.6" x14ac:dyDescent="0.25">
      <c r="H3" s="117">
        <v>200</v>
      </c>
      <c r="I3" s="117">
        <v>170</v>
      </c>
      <c r="J3" s="117">
        <v>160</v>
      </c>
      <c r="K3" s="116">
        <f>IF(ID!C63=200,150,IF(ID!C63=170,100,IF(ID!C63=160,100)))</f>
        <v>150</v>
      </c>
    </row>
    <row r="4" spans="8:11" ht="15.6" x14ac:dyDescent="0.25">
      <c r="H4" s="117">
        <v>150</v>
      </c>
      <c r="I4" s="117">
        <v>100</v>
      </c>
      <c r="J4" s="117">
        <v>100</v>
      </c>
    </row>
    <row r="18" spans="8:15" x14ac:dyDescent="0.25">
      <c r="H18" s="664" t="s">
        <v>194</v>
      </c>
      <c r="I18" s="664" t="s">
        <v>20</v>
      </c>
      <c r="J18" s="664" t="s">
        <v>195</v>
      </c>
      <c r="K18" s="664" t="s">
        <v>196</v>
      </c>
      <c r="L18" s="664" t="s">
        <v>197</v>
      </c>
      <c r="M18" s="664"/>
      <c r="N18" s="664"/>
      <c r="O18" s="108" t="s">
        <v>194</v>
      </c>
    </row>
    <row r="19" spans="8:15" ht="15.6" x14ac:dyDescent="0.25">
      <c r="H19" s="105">
        <v>80</v>
      </c>
      <c r="I19" s="47" t="s">
        <v>78</v>
      </c>
      <c r="J19" s="14">
        <f>ROWS($I$19:I19)</f>
        <v>1</v>
      </c>
      <c r="K19" s="14" t="str">
        <f>IF(ID!$E$16=I19,J19,"")</f>
        <v/>
      </c>
      <c r="L19" s="14">
        <f>IFERROR(SMALL($K$19:$K$72,ROWS($K$19:K19)),"")</f>
        <v>13</v>
      </c>
      <c r="O19" s="14">
        <f>IFERROR(INDEX($H$19:$H$72,$L19,COLUMNS($N$19:N19)),"")</f>
        <v>80</v>
      </c>
    </row>
    <row r="20" spans="8:15" ht="15.6" x14ac:dyDescent="0.25">
      <c r="H20" s="105">
        <v>50</v>
      </c>
      <c r="I20" s="47" t="s">
        <v>78</v>
      </c>
      <c r="J20" s="14">
        <f>ROWS($I$19:I20)</f>
        <v>2</v>
      </c>
      <c r="K20" s="14" t="str">
        <f>IF(ID!$E$16=I20,J20,"")</f>
        <v/>
      </c>
      <c r="L20" s="14">
        <f>IFERROR(SMALL($K$19:$K$72,ROWS($K$19:K20)),"")</f>
        <v>14</v>
      </c>
      <c r="O20" s="14">
        <f>IFERROR(INDEX($H$19:$H$72,$L20,COLUMNS($N$19:N20)),"")</f>
        <v>50</v>
      </c>
    </row>
    <row r="21" spans="8:15" ht="15.6" x14ac:dyDescent="0.25">
      <c r="H21" s="105"/>
      <c r="I21" s="47" t="s">
        <v>78</v>
      </c>
      <c r="J21" s="14">
        <f>ROWS($I$19:I21)</f>
        <v>3</v>
      </c>
      <c r="K21" s="14" t="str">
        <f>IF(ID!$E$16=I21,J21,"")</f>
        <v/>
      </c>
      <c r="L21" s="14">
        <f>IFERROR(SMALL($K$19:$K$72,ROWS($K$19:K21)),"")</f>
        <v>15</v>
      </c>
      <c r="O21" s="14">
        <f>IFERROR(INDEX($H$19:$H$72,$L21,COLUMNS($N$19:N21)),"")</f>
        <v>0</v>
      </c>
    </row>
    <row r="22" spans="8:15" ht="15.6" x14ac:dyDescent="0.25">
      <c r="H22" s="105">
        <v>100</v>
      </c>
      <c r="I22" s="47" t="s">
        <v>78</v>
      </c>
      <c r="J22" s="14">
        <f>ROWS($I$19:I22)</f>
        <v>4</v>
      </c>
      <c r="K22" s="14" t="str">
        <f>IF(ID!$E$16=I22,J22,"")</f>
        <v/>
      </c>
      <c r="L22" s="14">
        <f>IFERROR(SMALL($K$19:$K$72,ROWS($K$19:K22)),"")</f>
        <v>16</v>
      </c>
      <c r="O22" s="14">
        <f>IFERROR(INDEX($H$19:$H$72,$L22,COLUMNS($N$19:N22)),"")</f>
        <v>100</v>
      </c>
    </row>
    <row r="23" spans="8:15" ht="15.6" x14ac:dyDescent="0.25">
      <c r="H23" s="105">
        <v>65</v>
      </c>
      <c r="I23" s="47" t="s">
        <v>78</v>
      </c>
      <c r="J23" s="14">
        <f>ROWS($I$19:I23)</f>
        <v>5</v>
      </c>
      <c r="K23" s="14" t="str">
        <f>IF(ID!$E$16=I23,J23,"")</f>
        <v/>
      </c>
      <c r="L23" s="14">
        <f>IFERROR(SMALL($K$19:$K$72,ROWS($K$19:K23)),"")</f>
        <v>17</v>
      </c>
      <c r="O23" s="14">
        <f>IFERROR(INDEX($H$19:$H$72,$L23,COLUMNS($N$19:N23)),"")</f>
        <v>65</v>
      </c>
    </row>
    <row r="24" spans="8:15" ht="15.6" x14ac:dyDescent="0.25">
      <c r="H24" s="105"/>
      <c r="I24" s="47" t="s">
        <v>78</v>
      </c>
      <c r="J24" s="14">
        <f>ROWS($I$19:I24)</f>
        <v>6</v>
      </c>
      <c r="K24" s="14" t="str">
        <f>IF(ID!$E$16=I24,J24,"")</f>
        <v/>
      </c>
      <c r="L24" s="14">
        <f>IFERROR(SMALL($K$19:$K$72,ROWS($K$19:K24)),"")</f>
        <v>18</v>
      </c>
      <c r="O24" s="14">
        <f>IFERROR(INDEX($H$19:$H$72,$L24,COLUMNS($N$19:N24)),"")</f>
        <v>0</v>
      </c>
    </row>
    <row r="25" spans="8:15" ht="15.6" x14ac:dyDescent="0.25">
      <c r="H25" s="105">
        <v>120</v>
      </c>
      <c r="I25" s="47" t="s">
        <v>78</v>
      </c>
      <c r="J25" s="14">
        <f>ROWS($I$19:I25)</f>
        <v>7</v>
      </c>
      <c r="K25" s="14" t="str">
        <f>IF(ID!$E$16=I25,J25,"")</f>
        <v/>
      </c>
      <c r="L25" s="14">
        <f>IFERROR(SMALL($K$19:$K$72,ROWS($K$19:K25)),"")</f>
        <v>19</v>
      </c>
      <c r="O25" s="14">
        <f>IFERROR(INDEX($H$19:$H$72,$L25,COLUMNS($N$19:N25)),"")</f>
        <v>120</v>
      </c>
    </row>
    <row r="26" spans="8:15" ht="15.6" x14ac:dyDescent="0.25">
      <c r="H26" s="105">
        <v>80</v>
      </c>
      <c r="I26" s="47" t="s">
        <v>78</v>
      </c>
      <c r="J26" s="14">
        <f>ROWS($I$19:I26)</f>
        <v>8</v>
      </c>
      <c r="K26" s="14" t="str">
        <f>IF(ID!$E$16=I26,J26,"")</f>
        <v/>
      </c>
      <c r="L26" s="14">
        <f>IFERROR(SMALL($K$19:$K$72,ROWS($K$19:K26)),"")</f>
        <v>20</v>
      </c>
      <c r="O26" s="14">
        <f>IFERROR(INDEX($H$19:$H$72,$L26,COLUMNS($N$19:N26)),"")</f>
        <v>80</v>
      </c>
    </row>
    <row r="27" spans="8:15" ht="15.6" x14ac:dyDescent="0.25">
      <c r="H27" s="105"/>
      <c r="I27" s="47" t="s">
        <v>78</v>
      </c>
      <c r="J27" s="14">
        <f>ROWS($I$19:I27)</f>
        <v>9</v>
      </c>
      <c r="K27" s="14" t="str">
        <f>IF(ID!$E$16=I27,J27,"")</f>
        <v/>
      </c>
      <c r="L27" s="14">
        <f>IFERROR(SMALL($K$19:$K$72,ROWS($K$19:K27)),"")</f>
        <v>21</v>
      </c>
      <c r="O27" s="14">
        <f>IFERROR(INDEX($H$19:$H$72,$L27,COLUMNS($N$19:N27)),"")</f>
        <v>0</v>
      </c>
    </row>
    <row r="28" spans="8:15" ht="15.6" x14ac:dyDescent="0.25">
      <c r="H28" s="105">
        <v>150</v>
      </c>
      <c r="I28" s="47" t="s">
        <v>78</v>
      </c>
      <c r="J28" s="14">
        <f>ROWS($I$19:I28)</f>
        <v>10</v>
      </c>
      <c r="K28" s="14" t="str">
        <f>IF(ID!$E$16=I28,J28,"")</f>
        <v/>
      </c>
      <c r="L28" s="14">
        <f>IFERROR(SMALL($K$19:$K$72,ROWS($K$19:K28)),"")</f>
        <v>22</v>
      </c>
      <c r="O28" s="14">
        <f>IFERROR(INDEX($H$19:$H$72,$L28,COLUMNS($N$19:N28)),"")</f>
        <v>150</v>
      </c>
    </row>
    <row r="29" spans="8:15" ht="15.6" x14ac:dyDescent="0.25">
      <c r="H29" s="105">
        <v>100</v>
      </c>
      <c r="I29" s="47" t="s">
        <v>78</v>
      </c>
      <c r="J29" s="14">
        <f>ROWS($I$19:I29)</f>
        <v>11</v>
      </c>
      <c r="K29" s="14" t="str">
        <f>IF(ID!$E$16=I29,J29,"")</f>
        <v/>
      </c>
      <c r="L29" s="14">
        <f>IFERROR(SMALL($K$19:$K$72,ROWS($K$19:K29)),"")</f>
        <v>23</v>
      </c>
      <c r="O29" s="14">
        <f>IFERROR(INDEX($H$19:$H$72,$L29,COLUMNS($N$19:N29)),"")</f>
        <v>100</v>
      </c>
    </row>
    <row r="30" spans="8:15" ht="15.6" x14ac:dyDescent="0.25">
      <c r="H30" s="105"/>
      <c r="I30" s="47" t="s">
        <v>78</v>
      </c>
      <c r="J30" s="14">
        <f>ROWS($I$19:I30)</f>
        <v>12</v>
      </c>
      <c r="K30" s="14" t="str">
        <f>IF(ID!$E$16=I30,J30,"")</f>
        <v/>
      </c>
      <c r="L30" s="14">
        <f>IFERROR(SMALL($K$19:$K$72,ROWS($K$19:K30)),"")</f>
        <v>24</v>
      </c>
      <c r="O30" s="14">
        <f>IFERROR(INDEX($H$19:$H$72,$L30,COLUMNS($N$19:N30)),"")</f>
        <v>0</v>
      </c>
    </row>
    <row r="31" spans="8:15" ht="15.6" x14ac:dyDescent="0.25">
      <c r="H31" s="103">
        <v>80</v>
      </c>
      <c r="I31" s="47" t="s">
        <v>79</v>
      </c>
      <c r="J31" s="14">
        <f>ROWS($I$19:I31)</f>
        <v>13</v>
      </c>
      <c r="K31" s="14">
        <f>IF(ID!$E$16=I31,J31,"")</f>
        <v>13</v>
      </c>
      <c r="L31" s="14">
        <f>IFERROR(SMALL($K$19:$K$72,ROWS($K$19:K31)),"")</f>
        <v>25</v>
      </c>
      <c r="O31" s="14">
        <f>IFERROR(INDEX($H$19:$H$72,$L31,COLUMNS($N$19:N31)),"")</f>
        <v>200</v>
      </c>
    </row>
    <row r="32" spans="8:15" ht="15.6" x14ac:dyDescent="0.25">
      <c r="H32" s="103">
        <v>50</v>
      </c>
      <c r="I32" s="47" t="s">
        <v>79</v>
      </c>
      <c r="J32" s="14">
        <f>ROWS($I$19:I32)</f>
        <v>14</v>
      </c>
      <c r="K32" s="14">
        <f>IF(ID!$E$16=I32,J32,"")</f>
        <v>14</v>
      </c>
      <c r="L32" s="14">
        <f>IFERROR(SMALL($K$19:$K$72,ROWS($K$19:K32)),"")</f>
        <v>26</v>
      </c>
      <c r="O32" s="14">
        <f>IFERROR(INDEX($H$19:$H$72,$L32,COLUMNS($N$19:N32)),"")</f>
        <v>150</v>
      </c>
    </row>
    <row r="33" spans="8:15" ht="15.6" x14ac:dyDescent="0.25">
      <c r="H33" s="103"/>
      <c r="I33" s="47" t="s">
        <v>79</v>
      </c>
      <c r="J33" s="14">
        <f>ROWS($I$19:I33)</f>
        <v>15</v>
      </c>
      <c r="K33" s="14">
        <f>IF(ID!$E$16=I33,J33,"")</f>
        <v>15</v>
      </c>
      <c r="L33" s="14">
        <f>IFERROR(SMALL($K$19:$K$72,ROWS($K$19:K33)),"")</f>
        <v>27</v>
      </c>
      <c r="O33" s="14">
        <f>IFERROR(INDEX($H$19:$H$72,$L33,COLUMNS($N$19:N33)),"")</f>
        <v>0</v>
      </c>
    </row>
    <row r="34" spans="8:15" ht="15.6" x14ac:dyDescent="0.25">
      <c r="H34" s="103">
        <v>100</v>
      </c>
      <c r="I34" s="47" t="s">
        <v>79</v>
      </c>
      <c r="J34" s="14">
        <f>ROWS($I$19:I34)</f>
        <v>16</v>
      </c>
      <c r="K34" s="14">
        <f>IF(ID!$E$16=I34,J34,"")</f>
        <v>16</v>
      </c>
      <c r="L34" s="14" t="str">
        <f>IFERROR(SMALL($K$19:$K$72,ROWS($K$19:K34)),"")</f>
        <v/>
      </c>
      <c r="O34" s="14" t="str">
        <f>IFERROR(INDEX($H$19:$H$72,$L34,COLUMNS($N$19:N34)),"")</f>
        <v/>
      </c>
    </row>
    <row r="35" spans="8:15" ht="15.6" x14ac:dyDescent="0.25">
      <c r="H35" s="103">
        <v>65</v>
      </c>
      <c r="I35" s="47" t="s">
        <v>79</v>
      </c>
      <c r="J35" s="14">
        <f>ROWS($I$19:I35)</f>
        <v>17</v>
      </c>
      <c r="K35" s="14">
        <f>IF(ID!$E$16=I35,J35,"")</f>
        <v>17</v>
      </c>
      <c r="L35" s="14" t="str">
        <f>IFERROR(SMALL($K$19:$K$72,ROWS($K$19:K35)),"")</f>
        <v/>
      </c>
      <c r="O35" s="14" t="str">
        <f>IFERROR(INDEX($H$19:$H$72,$L35,COLUMNS($N$19:N35)),"")</f>
        <v/>
      </c>
    </row>
    <row r="36" spans="8:15" ht="15.6" x14ac:dyDescent="0.25">
      <c r="H36" s="103"/>
      <c r="I36" s="47" t="s">
        <v>79</v>
      </c>
      <c r="J36" s="14">
        <f>ROWS($I$19:I36)</f>
        <v>18</v>
      </c>
      <c r="K36" s="14">
        <f>IF(ID!$E$16=I36,J36,"")</f>
        <v>18</v>
      </c>
      <c r="L36" s="14" t="str">
        <f>IFERROR(SMALL($K$19:$K$72,ROWS($K$19:K36)),"")</f>
        <v/>
      </c>
      <c r="O36" s="14" t="str">
        <f>IFERROR(INDEX($H$19:$H$72,$L36,COLUMNS($N$19:N36)),"")</f>
        <v/>
      </c>
    </row>
    <row r="37" spans="8:15" ht="15.6" x14ac:dyDescent="0.25">
      <c r="H37" s="103">
        <v>120</v>
      </c>
      <c r="I37" s="47" t="s">
        <v>79</v>
      </c>
      <c r="J37" s="14">
        <f>ROWS($I$19:I37)</f>
        <v>19</v>
      </c>
      <c r="K37" s="14">
        <f>IF(ID!$E$16=I37,J37,"")</f>
        <v>19</v>
      </c>
      <c r="L37" s="14" t="str">
        <f>IFERROR(SMALL($K$19:$K$72,ROWS($K$19:K37)),"")</f>
        <v/>
      </c>
      <c r="O37" s="106" t="str">
        <f>IFERROR(INDEX($H$19:$H$60,$L37,COLUMNS($N$19:N37)),"")</f>
        <v/>
      </c>
    </row>
    <row r="38" spans="8:15" ht="15.6" x14ac:dyDescent="0.25">
      <c r="H38" s="103">
        <v>80</v>
      </c>
      <c r="I38" s="47" t="s">
        <v>79</v>
      </c>
      <c r="J38" s="14">
        <f>ROWS($I$19:I38)</f>
        <v>20</v>
      </c>
      <c r="K38" s="14">
        <f>IF(ID!$E$16=I38,J38,"")</f>
        <v>20</v>
      </c>
      <c r="L38" s="14" t="str">
        <f>IFERROR(SMALL($K$19:$K$72,ROWS($K$19:K38)),"")</f>
        <v/>
      </c>
      <c r="O38" s="107" t="str">
        <f>IFERROR(INDEX($H$19:$H$60,$L38,COLUMNS($N$19:N38)),"")</f>
        <v/>
      </c>
    </row>
    <row r="39" spans="8:15" ht="15.6" x14ac:dyDescent="0.25">
      <c r="H39" s="103"/>
      <c r="I39" s="47" t="s">
        <v>79</v>
      </c>
      <c r="J39" s="14">
        <f>ROWS($I$19:I39)</f>
        <v>21</v>
      </c>
      <c r="K39" s="14">
        <f>IF(ID!$E$16=I39,J39,"")</f>
        <v>21</v>
      </c>
      <c r="L39" s="14" t="str">
        <f>IFERROR(SMALL($K$19:$K$72,ROWS($K$19:K39)),"")</f>
        <v/>
      </c>
      <c r="O39" s="107" t="str">
        <f>IFERROR(INDEX($H$19:$H$60,$L39,COLUMNS($N$19:N39)),"")</f>
        <v/>
      </c>
    </row>
    <row r="40" spans="8:15" ht="15.6" x14ac:dyDescent="0.25">
      <c r="H40" s="103">
        <v>150</v>
      </c>
      <c r="I40" s="47" t="s">
        <v>79</v>
      </c>
      <c r="J40" s="14">
        <f>ROWS($I$19:I40)</f>
        <v>22</v>
      </c>
      <c r="K40" s="14">
        <f>IF(ID!$E$16=I40,J40,"")</f>
        <v>22</v>
      </c>
      <c r="L40" s="14" t="str">
        <f>IFERROR(SMALL($K$19:$K$72,ROWS($K$19:K40)),"")</f>
        <v/>
      </c>
      <c r="O40" s="107" t="str">
        <f>IFERROR(INDEX($H$19:$H$60,$L40,COLUMNS($N$19:N40)),"")</f>
        <v/>
      </c>
    </row>
    <row r="41" spans="8:15" ht="15.6" x14ac:dyDescent="0.25">
      <c r="H41" s="103">
        <v>100</v>
      </c>
      <c r="I41" s="47" t="s">
        <v>79</v>
      </c>
      <c r="J41" s="14">
        <f>ROWS($I$19:I41)</f>
        <v>23</v>
      </c>
      <c r="K41" s="14">
        <f>IF(ID!$E$16=I41,J41,"")</f>
        <v>23</v>
      </c>
      <c r="L41" s="14" t="str">
        <f>IFERROR(SMALL($K$19:$K$72,ROWS($K$19:K41)),"")</f>
        <v/>
      </c>
    </row>
    <row r="42" spans="8:15" ht="15.6" x14ac:dyDescent="0.25">
      <c r="H42" s="103"/>
      <c r="I42" s="47" t="s">
        <v>79</v>
      </c>
      <c r="J42" s="14">
        <f>ROWS($I$19:I42)</f>
        <v>24</v>
      </c>
      <c r="K42" s="14">
        <f>IF(ID!$E$16=I42,J42,"")</f>
        <v>24</v>
      </c>
      <c r="L42" s="14" t="str">
        <f>IFERROR(SMALL($K$19:$K$72,ROWS($K$19:K42)),"")</f>
        <v/>
      </c>
    </row>
    <row r="43" spans="8:15" ht="15.6" x14ac:dyDescent="0.25">
      <c r="H43" s="103">
        <f>ID!C63</f>
        <v>200</v>
      </c>
      <c r="I43" s="47" t="s">
        <v>79</v>
      </c>
      <c r="J43" s="14">
        <f>ROWS($I$19:I43)</f>
        <v>25</v>
      </c>
      <c r="K43" s="14">
        <f>IF(ID!$E$16=I43,J43,"")</f>
        <v>25</v>
      </c>
      <c r="L43" s="14" t="str">
        <f>IFERROR(SMALL($K$19:$K$72,ROWS($K$19:K43)),"")</f>
        <v/>
      </c>
    </row>
    <row r="44" spans="8:15" ht="15.6" x14ac:dyDescent="0.25">
      <c r="H44" s="103">
        <f>ID!D64</f>
        <v>150</v>
      </c>
      <c r="I44" s="47" t="s">
        <v>79</v>
      </c>
      <c r="J44" s="14">
        <f>ROWS($I$19:I44)</f>
        <v>26</v>
      </c>
      <c r="K44" s="14">
        <f>IF(ID!$E$16=I44,J44,"")</f>
        <v>26</v>
      </c>
      <c r="L44" s="14" t="str">
        <f>IFERROR(SMALL($K$19:$K$72,ROWS($K$19:K44)),"")</f>
        <v/>
      </c>
    </row>
    <row r="45" spans="8:15" ht="15.6" x14ac:dyDescent="0.25">
      <c r="H45" s="103"/>
      <c r="I45" s="47" t="s">
        <v>79</v>
      </c>
      <c r="J45" s="14">
        <f>ROWS($I$19:I45)</f>
        <v>27</v>
      </c>
      <c r="K45" s="14">
        <f>IF(ID!$E$16=I45,J45,"")</f>
        <v>27</v>
      </c>
      <c r="L45" s="14" t="str">
        <f>IFERROR(SMALL($K$19:$K$72,ROWS($K$19:K45)),"")</f>
        <v/>
      </c>
    </row>
    <row r="46" spans="8:15" ht="15.6" x14ac:dyDescent="0.25">
      <c r="H46" s="104">
        <v>80</v>
      </c>
      <c r="I46" s="47" t="s">
        <v>122</v>
      </c>
      <c r="J46" s="14">
        <f>ROWS($I$19:I46)</f>
        <v>28</v>
      </c>
      <c r="K46" s="14" t="str">
        <f>IF(ID!$E$16=I46,J46,"")</f>
        <v/>
      </c>
      <c r="L46" s="14" t="str">
        <f>IFERROR(SMALL($K$19:$K$72,ROWS($K$19:K46)),"")</f>
        <v/>
      </c>
    </row>
    <row r="47" spans="8:15" ht="15.6" x14ac:dyDescent="0.25">
      <c r="H47" s="104">
        <v>50</v>
      </c>
      <c r="I47" s="47" t="s">
        <v>122</v>
      </c>
      <c r="J47" s="14">
        <f>ROWS($I$19:I47)</f>
        <v>29</v>
      </c>
      <c r="K47" s="14" t="str">
        <f>IF(ID!$E$16=I47,J47,"")</f>
        <v/>
      </c>
      <c r="L47" s="14" t="str">
        <f>IFERROR(SMALL($K$19:$K$72,ROWS($K$19:K47)),"")</f>
        <v/>
      </c>
    </row>
    <row r="48" spans="8:15" ht="15.6" x14ac:dyDescent="0.25">
      <c r="H48" s="104"/>
      <c r="I48" s="47" t="s">
        <v>122</v>
      </c>
      <c r="J48" s="14">
        <f>ROWS($I$19:I48)</f>
        <v>30</v>
      </c>
      <c r="K48" s="14" t="str">
        <f>IF(ID!$E$16=I48,J48,"")</f>
        <v/>
      </c>
      <c r="L48" s="14" t="str">
        <f>IFERROR(SMALL($K$19:$K$72,ROWS($K$19:K48)),"")</f>
        <v/>
      </c>
    </row>
    <row r="49" spans="8:12" ht="15.6" x14ac:dyDescent="0.25">
      <c r="H49" s="104">
        <v>100</v>
      </c>
      <c r="I49" s="47" t="s">
        <v>122</v>
      </c>
      <c r="J49" s="14">
        <f>ROWS($I$19:I49)</f>
        <v>31</v>
      </c>
      <c r="K49" s="14" t="str">
        <f>IF(ID!$E$16=I49,J49,"")</f>
        <v/>
      </c>
      <c r="L49" s="14" t="str">
        <f>IFERROR(SMALL($K$19:$K$72,ROWS($K$19:K49)),"")</f>
        <v/>
      </c>
    </row>
    <row r="50" spans="8:12" ht="15.6" x14ac:dyDescent="0.25">
      <c r="H50" s="104">
        <v>65</v>
      </c>
      <c r="I50" s="47" t="s">
        <v>122</v>
      </c>
      <c r="J50" s="14">
        <f>ROWS($I$19:I50)</f>
        <v>32</v>
      </c>
      <c r="K50" s="14" t="str">
        <f>IF(ID!$E$16=I50,J50,"")</f>
        <v/>
      </c>
      <c r="L50" s="14" t="str">
        <f>IFERROR(SMALL($K$19:$K$72,ROWS($K$19:K50)),"")</f>
        <v/>
      </c>
    </row>
    <row r="51" spans="8:12" ht="15.6" x14ac:dyDescent="0.25">
      <c r="H51" s="104"/>
      <c r="I51" s="47" t="s">
        <v>122</v>
      </c>
      <c r="J51" s="14">
        <f>ROWS($I$19:I51)</f>
        <v>33</v>
      </c>
      <c r="K51" s="14" t="str">
        <f>IF(ID!$E$16=I51,J51,"")</f>
        <v/>
      </c>
      <c r="L51" s="14" t="str">
        <f>IFERROR(SMALL($K$19:$K$72,ROWS($K$19:K51)),"")</f>
        <v/>
      </c>
    </row>
    <row r="52" spans="8:12" ht="15.6" x14ac:dyDescent="0.25">
      <c r="H52" s="104">
        <v>120</v>
      </c>
      <c r="I52" s="47" t="s">
        <v>122</v>
      </c>
      <c r="J52" s="14">
        <f>ROWS($I$19:I52)</f>
        <v>34</v>
      </c>
      <c r="K52" s="14" t="str">
        <f>IF(ID!$E$16=I52,J52,"")</f>
        <v/>
      </c>
      <c r="L52" s="14" t="str">
        <f>IFERROR(SMALL($K$19:$K$72,ROWS($K$19:K52)),"")</f>
        <v/>
      </c>
    </row>
    <row r="53" spans="8:12" ht="15.6" x14ac:dyDescent="0.25">
      <c r="H53" s="104">
        <v>80</v>
      </c>
      <c r="I53" s="47" t="s">
        <v>122</v>
      </c>
      <c r="J53" s="14">
        <f>ROWS($I$19:I53)</f>
        <v>35</v>
      </c>
      <c r="K53" s="14" t="str">
        <f>IF(ID!$E$16=I53,J53,"")</f>
        <v/>
      </c>
      <c r="L53" s="14" t="str">
        <f>IFERROR(SMALL($K$19:$K$72,ROWS($K$19:K53)),"")</f>
        <v/>
      </c>
    </row>
    <row r="54" spans="8:12" ht="15.6" x14ac:dyDescent="0.25">
      <c r="H54" s="104"/>
      <c r="I54" s="47" t="s">
        <v>122</v>
      </c>
      <c r="J54" s="14">
        <f>ROWS($I$19:I54)</f>
        <v>36</v>
      </c>
      <c r="K54" s="14" t="str">
        <f>IF(ID!$E$16=I54,J54,"")</f>
        <v/>
      </c>
      <c r="L54" s="14" t="str">
        <f>IFERROR(SMALL($K$19:$K$72,ROWS($K$19:K54)),"")</f>
        <v/>
      </c>
    </row>
    <row r="55" spans="8:12" ht="15.6" x14ac:dyDescent="0.25">
      <c r="H55" s="104">
        <v>150</v>
      </c>
      <c r="I55" s="47" t="s">
        <v>122</v>
      </c>
      <c r="J55" s="14">
        <f>ROWS($I$19:I55)</f>
        <v>37</v>
      </c>
      <c r="K55" s="14" t="str">
        <f>IF(ID!$E$16=I55,J55,"")</f>
        <v/>
      </c>
      <c r="L55" s="14" t="str">
        <f>IFERROR(SMALL($K$19:$K$72,ROWS($K$19:K55)),"")</f>
        <v/>
      </c>
    </row>
    <row r="56" spans="8:12" ht="15.6" x14ac:dyDescent="0.25">
      <c r="H56" s="104">
        <v>100</v>
      </c>
      <c r="I56" s="47" t="s">
        <v>122</v>
      </c>
      <c r="J56" s="14">
        <f>ROWS($I$19:I56)</f>
        <v>38</v>
      </c>
      <c r="K56" s="14" t="str">
        <f>IF(ID!$E$16=I56,J56,"")</f>
        <v/>
      </c>
      <c r="L56" s="14" t="str">
        <f>IFERROR(SMALL($K$19:$K$72,ROWS($K$19:K56)),"")</f>
        <v/>
      </c>
    </row>
    <row r="57" spans="8:12" ht="15.6" x14ac:dyDescent="0.25">
      <c r="H57" s="104"/>
      <c r="I57" s="47" t="s">
        <v>122</v>
      </c>
      <c r="J57" s="14">
        <f>ROWS($I$19:I57)</f>
        <v>39</v>
      </c>
      <c r="K57" s="14" t="str">
        <f>IF(ID!$E$16=I57,J57,"")</f>
        <v/>
      </c>
      <c r="L57" s="14" t="str">
        <f>IFERROR(SMALL($K$19:$K$72,ROWS($K$19:K57)),"")</f>
        <v/>
      </c>
    </row>
    <row r="58" spans="8:12" ht="15.6" x14ac:dyDescent="0.25">
      <c r="H58" s="104">
        <f>ID!C63</f>
        <v>200</v>
      </c>
      <c r="I58" s="47" t="s">
        <v>122</v>
      </c>
      <c r="J58" s="14">
        <f>ROWS($I$19:I58)</f>
        <v>40</v>
      </c>
      <c r="K58" s="14" t="str">
        <f>IF(ID!$E$16=I58,J58,"")</f>
        <v/>
      </c>
      <c r="L58" s="14" t="str">
        <f>IFERROR(SMALL($K$19:$K$72,ROWS($K$19:K58)),"")</f>
        <v/>
      </c>
    </row>
    <row r="59" spans="8:12" ht="15.6" x14ac:dyDescent="0.25">
      <c r="H59" s="104">
        <f>ID!D64</f>
        <v>150</v>
      </c>
      <c r="I59" s="47" t="s">
        <v>122</v>
      </c>
      <c r="J59" s="14">
        <f>ROWS($I$19:I59)</f>
        <v>41</v>
      </c>
      <c r="K59" s="14" t="str">
        <f>IF(ID!$E$16=I59,J59,"")</f>
        <v/>
      </c>
      <c r="L59" s="14" t="str">
        <f>IFERROR(SMALL($K$19:$K$72,ROWS($K$19:K59)),"")</f>
        <v/>
      </c>
    </row>
    <row r="60" spans="8:12" ht="15.6" x14ac:dyDescent="0.25">
      <c r="H60" s="104"/>
      <c r="I60" s="47" t="s">
        <v>122</v>
      </c>
      <c r="J60" s="14">
        <f>ROWS($I$19:I60)</f>
        <v>42</v>
      </c>
      <c r="K60" s="14" t="str">
        <f>IF(ID!$E$16=I60,J60,"")</f>
        <v/>
      </c>
      <c r="L60" s="14" t="str">
        <f>IFERROR(SMALL($K$19:$K$72,ROWS($K$19:K60)),"")</f>
        <v/>
      </c>
    </row>
    <row r="61" spans="8:12" ht="15.6" x14ac:dyDescent="0.25">
      <c r="H61" s="114">
        <v>35</v>
      </c>
      <c r="I61" s="47" t="s">
        <v>77</v>
      </c>
      <c r="J61" s="14">
        <f>ROWS($I$19:I61)</f>
        <v>43</v>
      </c>
      <c r="K61" s="14" t="str">
        <f>IF(ID!$E$16=I61,J61,"")</f>
        <v/>
      </c>
      <c r="L61" s="14" t="str">
        <f>IFERROR(SMALL($K$19:$K$72,ROWS($K$19:K61)),"")</f>
        <v/>
      </c>
    </row>
    <row r="62" spans="8:12" ht="15.6" x14ac:dyDescent="0.25">
      <c r="H62" s="114">
        <v>15</v>
      </c>
      <c r="I62" s="47" t="s">
        <v>77</v>
      </c>
      <c r="J62" s="14">
        <f>ROWS($I$19:I62)</f>
        <v>44</v>
      </c>
      <c r="K62" s="14" t="str">
        <f>IF(ID!$E$16=I62,J62,"")</f>
        <v/>
      </c>
      <c r="L62" s="14" t="str">
        <f>IFERROR(SMALL($K$19:$K$72,ROWS($K$19:K62)),"")</f>
        <v/>
      </c>
    </row>
    <row r="63" spans="8:12" ht="15.6" x14ac:dyDescent="0.25">
      <c r="H63" s="114"/>
      <c r="I63" s="47" t="s">
        <v>77</v>
      </c>
      <c r="J63" s="14">
        <f>ROWS($I$19:I63)</f>
        <v>45</v>
      </c>
      <c r="K63" s="14" t="str">
        <f>IF(ID!$E$16=I63,J63,"")</f>
        <v/>
      </c>
      <c r="L63" s="14" t="str">
        <f>IFERROR(SMALL($K$19:$K$72,ROWS($K$19:K63)),"")</f>
        <v/>
      </c>
    </row>
    <row r="64" spans="8:12" ht="15.6" x14ac:dyDescent="0.25">
      <c r="H64" s="114">
        <v>60</v>
      </c>
      <c r="I64" s="47" t="s">
        <v>77</v>
      </c>
      <c r="J64" s="14">
        <f>ROWS($I$19:I64)</f>
        <v>46</v>
      </c>
      <c r="K64" s="14" t="str">
        <f>IF(ID!$E$16=I64,J64,"")</f>
        <v/>
      </c>
      <c r="L64" s="14" t="str">
        <f>IFERROR(SMALL($K$19:$K$72,ROWS($K$19:K64)),"")</f>
        <v/>
      </c>
    </row>
    <row r="65" spans="8:12" ht="15.6" x14ac:dyDescent="0.25">
      <c r="H65" s="114">
        <v>30</v>
      </c>
      <c r="I65" s="47" t="s">
        <v>77</v>
      </c>
      <c r="J65" s="14">
        <f>ROWS($I$19:I65)</f>
        <v>47</v>
      </c>
      <c r="K65" s="14" t="str">
        <f>IF(ID!$E$16=I65,J65,"")</f>
        <v/>
      </c>
      <c r="L65" s="14" t="str">
        <f>IFERROR(SMALL($K$19:$K$72,ROWS($K$19:K65)),"")</f>
        <v/>
      </c>
    </row>
    <row r="66" spans="8:12" ht="15.6" x14ac:dyDescent="0.25">
      <c r="H66" s="114"/>
      <c r="I66" s="47" t="s">
        <v>77</v>
      </c>
      <c r="J66" s="14">
        <f>ROWS($I$19:I66)</f>
        <v>48</v>
      </c>
      <c r="K66" s="14" t="str">
        <f>IF(ID!$E$16=I66,J66,"")</f>
        <v/>
      </c>
      <c r="L66" s="14" t="str">
        <f>IFERROR(SMALL($K$19:$K$72,ROWS($K$19:K66)),"")</f>
        <v/>
      </c>
    </row>
    <row r="67" spans="8:12" ht="15.6" x14ac:dyDescent="0.25">
      <c r="H67" s="114">
        <v>80</v>
      </c>
      <c r="I67" s="47" t="s">
        <v>77</v>
      </c>
      <c r="J67" s="14">
        <f>ROWS($I$19:I67)</f>
        <v>49</v>
      </c>
      <c r="K67" s="14" t="str">
        <f>IF(ID!$E$16=I67,J67,"")</f>
        <v/>
      </c>
      <c r="L67" s="14" t="str">
        <f>IFERROR(SMALL($K$19:$K$72,ROWS($K$19:K67)),"")</f>
        <v/>
      </c>
    </row>
    <row r="68" spans="8:12" ht="15.6" x14ac:dyDescent="0.25">
      <c r="H68" s="114">
        <v>50</v>
      </c>
      <c r="I68" s="47" t="s">
        <v>77</v>
      </c>
      <c r="J68" s="14">
        <f>ROWS($I$19:I68)</f>
        <v>50</v>
      </c>
      <c r="K68" s="14" t="str">
        <f>IF(ID!$E$16=I68,J68,"")</f>
        <v/>
      </c>
      <c r="L68" s="14" t="str">
        <f>IFERROR(SMALL($K$19:$K$72,ROWS($K$19:K68)),"")</f>
        <v/>
      </c>
    </row>
    <row r="69" spans="8:12" ht="15.6" x14ac:dyDescent="0.25">
      <c r="H69" s="114"/>
      <c r="I69" s="47" t="s">
        <v>77</v>
      </c>
      <c r="J69" s="14">
        <f>ROWS($I$19:I69)</f>
        <v>51</v>
      </c>
      <c r="K69" s="14" t="str">
        <f>IF(ID!$E$16=I69,J69,"")</f>
        <v/>
      </c>
      <c r="L69" s="14" t="str">
        <f>IFERROR(SMALL($K$19:$K$72,ROWS($K$19:K69)),"")</f>
        <v/>
      </c>
    </row>
    <row r="70" spans="8:12" ht="15.6" x14ac:dyDescent="0.25">
      <c r="H70" s="114">
        <v>100</v>
      </c>
      <c r="I70" s="47" t="s">
        <v>77</v>
      </c>
      <c r="J70" s="14">
        <f>ROWS($I$19:I70)</f>
        <v>52</v>
      </c>
      <c r="K70" s="14" t="str">
        <f>IF(ID!$E$16=I70,J70,"")</f>
        <v/>
      </c>
      <c r="L70" s="14" t="str">
        <f>IFERROR(SMALL($K$19:$K$72,ROWS($K$19:K70)),"")</f>
        <v/>
      </c>
    </row>
    <row r="71" spans="8:12" ht="15.6" x14ac:dyDescent="0.25">
      <c r="H71" s="114">
        <v>70</v>
      </c>
      <c r="I71" s="47" t="s">
        <v>77</v>
      </c>
      <c r="J71" s="14">
        <f>ROWS($I$19:I71)</f>
        <v>53</v>
      </c>
      <c r="K71" s="14" t="str">
        <f>IF(ID!$E$16=I71,J71,"")</f>
        <v/>
      </c>
      <c r="L71" s="14" t="str">
        <f>IFERROR(SMALL($K$19:$K$72,ROWS($K$19:K71)),"")</f>
        <v/>
      </c>
    </row>
    <row r="72" spans="8:12" ht="15.6" x14ac:dyDescent="0.25">
      <c r="H72" s="114"/>
      <c r="I72" s="47" t="s">
        <v>77</v>
      </c>
      <c r="J72" s="14">
        <f>ROWS($I$19:I72)</f>
        <v>54</v>
      </c>
      <c r="K72" s="14" t="str">
        <f>IF(ID!$E$16=I72,J72,"")</f>
        <v/>
      </c>
      <c r="L72" s="14" t="str">
        <f>IFERROR(SMALL($K$19:$K$72,ROWS($K$19:K72)),"")</f>
        <v/>
      </c>
    </row>
    <row r="73" spans="8:12" x14ac:dyDescent="0.25">
      <c r="I73" s="4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B0F0"/>
  </sheetPr>
  <dimension ref="A1:IN204"/>
  <sheetViews>
    <sheetView showGridLines="0" view="pageBreakPreview" topLeftCell="F25" zoomScaleNormal="85" zoomScaleSheetLayoutView="100" workbookViewId="0">
      <selection activeCell="L40" sqref="L40"/>
    </sheetView>
  </sheetViews>
  <sheetFormatPr defaultColWidth="9.109375" defaultRowHeight="15.6" x14ac:dyDescent="0.25"/>
  <cols>
    <col min="1" max="1" width="5.44140625" style="127" customWidth="1"/>
    <col min="2" max="2" width="4" style="338" customWidth="1"/>
    <col min="3" max="3" width="18.88671875" style="338" customWidth="1"/>
    <col min="4" max="4" width="0.5546875" style="338" hidden="1" customWidth="1"/>
    <col min="5" max="5" width="1.44140625" style="338" customWidth="1"/>
    <col min="6" max="6" width="14" style="338" customWidth="1"/>
    <col min="7" max="7" width="13.5546875" style="338" customWidth="1"/>
    <col min="8" max="8" width="12.109375" style="338" customWidth="1"/>
    <col min="9" max="9" width="11.5546875" style="338" customWidth="1"/>
    <col min="10" max="10" width="14.88671875" style="338" customWidth="1"/>
    <col min="11" max="11" width="15.33203125" style="338" customWidth="1"/>
    <col min="12" max="12" width="14.88671875" style="340" customWidth="1"/>
    <col min="13" max="13" width="7.5546875" style="338" customWidth="1"/>
    <col min="14" max="14" width="9.109375" style="338" customWidth="1"/>
    <col min="15" max="15" width="11.109375" style="338" customWidth="1"/>
    <col min="16" max="22" width="9.109375" style="338" customWidth="1"/>
    <col min="23" max="23" width="9.88671875" style="338" customWidth="1"/>
    <col min="24" max="223" width="9.109375" style="338" customWidth="1"/>
    <col min="224" max="247" width="10.33203125" style="338" customWidth="1"/>
    <col min="248" max="248" width="7.5546875" style="338" customWidth="1"/>
    <col min="249" max="249" width="8.6640625" style="338" customWidth="1"/>
    <col min="250" max="255" width="8.88671875" style="338" customWidth="1"/>
    <col min="256" max="16384" width="9.109375" style="338"/>
  </cols>
  <sheetData>
    <row r="1" spans="1:248" ht="18" x14ac:dyDescent="0.25">
      <c r="A1" s="1352" t="s">
        <v>226</v>
      </c>
      <c r="B1" s="1352"/>
      <c r="C1" s="1352"/>
      <c r="D1" s="1352"/>
      <c r="E1" s="1352"/>
      <c r="F1" s="1352"/>
      <c r="G1" s="1352"/>
      <c r="H1" s="1352"/>
      <c r="I1" s="1352"/>
      <c r="J1" s="1352"/>
      <c r="K1" s="1352"/>
      <c r="L1" s="1352"/>
      <c r="M1" s="1352"/>
      <c r="N1" s="337"/>
      <c r="O1" s="344"/>
      <c r="P1" s="337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  <c r="AB1" s="344"/>
      <c r="AC1" s="344"/>
      <c r="AD1" s="344"/>
      <c r="AE1" s="344"/>
      <c r="AF1" s="344"/>
      <c r="AG1" s="344"/>
      <c r="AH1" s="344"/>
      <c r="AI1" s="344"/>
      <c r="AJ1" s="344"/>
      <c r="AK1" s="344"/>
      <c r="AL1" s="344"/>
      <c r="AM1" s="344"/>
      <c r="AN1" s="344"/>
      <c r="AO1" s="344"/>
      <c r="AP1" s="344"/>
      <c r="AQ1" s="344"/>
      <c r="AR1" s="344"/>
      <c r="AS1" s="344"/>
      <c r="AT1" s="344"/>
      <c r="AU1" s="344"/>
      <c r="AV1" s="344"/>
      <c r="AW1" s="344"/>
      <c r="AX1" s="344"/>
      <c r="AY1" s="344"/>
      <c r="AZ1" s="344"/>
      <c r="BA1" s="344"/>
      <c r="BB1" s="344"/>
      <c r="BC1" s="344"/>
      <c r="BD1" s="344"/>
      <c r="BE1" s="344"/>
      <c r="BF1" s="344"/>
      <c r="BG1" s="344"/>
      <c r="BH1" s="344"/>
      <c r="BI1" s="344"/>
      <c r="BJ1" s="344"/>
      <c r="BK1" s="344"/>
      <c r="BL1" s="344"/>
      <c r="BM1" s="344"/>
      <c r="BN1" s="344"/>
      <c r="BO1" s="344"/>
      <c r="BP1" s="344"/>
      <c r="BQ1" s="344"/>
      <c r="BR1" s="344"/>
      <c r="BS1" s="344"/>
      <c r="BT1" s="344"/>
      <c r="BU1" s="344"/>
      <c r="BV1" s="344"/>
      <c r="BW1" s="344"/>
      <c r="BX1" s="344"/>
      <c r="BY1" s="344"/>
      <c r="BZ1" s="344"/>
      <c r="CA1" s="344"/>
      <c r="CB1" s="344"/>
      <c r="CC1" s="344"/>
      <c r="CD1" s="344"/>
      <c r="CE1" s="344"/>
      <c r="CF1" s="344"/>
      <c r="CG1" s="344"/>
      <c r="CH1" s="344"/>
      <c r="CI1" s="344"/>
      <c r="CJ1" s="344"/>
      <c r="CK1" s="344"/>
      <c r="CL1" s="344"/>
      <c r="CM1" s="344"/>
      <c r="CN1" s="344"/>
      <c r="CO1" s="344"/>
      <c r="CP1" s="344"/>
      <c r="CQ1" s="344"/>
      <c r="CR1" s="344"/>
      <c r="CS1" s="344"/>
      <c r="CT1" s="344"/>
      <c r="CU1" s="344"/>
      <c r="CV1" s="344"/>
      <c r="CW1" s="344"/>
      <c r="CX1" s="344"/>
      <c r="CY1" s="344"/>
      <c r="CZ1" s="344"/>
      <c r="DA1" s="344"/>
      <c r="DB1" s="344"/>
      <c r="DC1" s="344"/>
      <c r="DD1" s="344"/>
      <c r="DE1" s="344"/>
      <c r="DF1" s="344"/>
      <c r="DG1" s="344"/>
      <c r="DH1" s="344"/>
      <c r="DI1" s="344"/>
      <c r="DJ1" s="344"/>
      <c r="DK1" s="344"/>
      <c r="DL1" s="344"/>
      <c r="DM1" s="344"/>
      <c r="DN1" s="344"/>
      <c r="DO1" s="344"/>
      <c r="DP1" s="344"/>
      <c r="DQ1" s="344"/>
      <c r="DR1" s="344"/>
      <c r="DS1" s="344"/>
      <c r="DT1" s="344"/>
      <c r="DU1" s="344"/>
      <c r="DV1" s="344"/>
      <c r="DW1" s="344"/>
      <c r="DX1" s="344"/>
      <c r="DY1" s="344"/>
      <c r="DZ1" s="344"/>
      <c r="EA1" s="344"/>
      <c r="EB1" s="344"/>
      <c r="EC1" s="344"/>
      <c r="ED1" s="344"/>
      <c r="EE1" s="344"/>
      <c r="EF1" s="344"/>
      <c r="EG1" s="344"/>
      <c r="EH1" s="344"/>
      <c r="EI1" s="344"/>
      <c r="EJ1" s="344"/>
      <c r="EK1" s="344"/>
      <c r="EL1" s="344"/>
      <c r="EM1" s="344"/>
      <c r="EN1" s="344"/>
      <c r="EO1" s="344"/>
      <c r="EP1" s="344"/>
      <c r="EQ1" s="344"/>
      <c r="ER1" s="344"/>
      <c r="ES1" s="344"/>
      <c r="ET1" s="344"/>
      <c r="EU1" s="344"/>
      <c r="EV1" s="344"/>
      <c r="EW1" s="344"/>
      <c r="EX1" s="344"/>
      <c r="EY1" s="344"/>
      <c r="EZ1" s="344"/>
      <c r="FA1" s="344"/>
      <c r="FB1" s="344"/>
      <c r="FC1" s="344"/>
      <c r="FD1" s="344"/>
      <c r="FE1" s="344"/>
      <c r="FF1" s="344"/>
      <c r="FG1" s="344"/>
      <c r="FH1" s="344"/>
      <c r="FI1" s="344"/>
      <c r="FJ1" s="344"/>
      <c r="FK1" s="344"/>
      <c r="FL1" s="344"/>
      <c r="FM1" s="344"/>
      <c r="FN1" s="344"/>
      <c r="FO1" s="344"/>
      <c r="FP1" s="344"/>
      <c r="FQ1" s="344"/>
      <c r="FR1" s="344"/>
      <c r="FS1" s="344"/>
      <c r="FT1" s="344"/>
      <c r="FU1" s="344"/>
      <c r="FV1" s="344"/>
      <c r="FW1" s="344"/>
      <c r="FX1" s="344"/>
      <c r="FY1" s="344"/>
      <c r="FZ1" s="344"/>
      <c r="GA1" s="344"/>
      <c r="GB1" s="344"/>
      <c r="GC1" s="344"/>
      <c r="GD1" s="344"/>
      <c r="GE1" s="344"/>
      <c r="GF1" s="344"/>
      <c r="GG1" s="344"/>
      <c r="GH1" s="344"/>
      <c r="GI1" s="344"/>
      <c r="GJ1" s="344"/>
      <c r="GK1" s="344"/>
      <c r="GL1" s="344"/>
      <c r="GM1" s="344"/>
      <c r="GN1" s="344"/>
      <c r="GO1" s="344"/>
      <c r="GP1" s="344"/>
      <c r="GQ1" s="344"/>
      <c r="GR1" s="344"/>
      <c r="GS1" s="344"/>
      <c r="GT1" s="344"/>
      <c r="GU1" s="344"/>
      <c r="GV1" s="344"/>
      <c r="GW1" s="344"/>
      <c r="GX1" s="344"/>
      <c r="GY1" s="344"/>
      <c r="GZ1" s="344"/>
      <c r="HA1" s="344"/>
      <c r="HB1" s="344"/>
      <c r="HC1" s="344"/>
      <c r="HD1" s="344"/>
      <c r="HE1" s="344"/>
      <c r="HF1" s="344"/>
      <c r="HG1" s="344"/>
      <c r="HH1" s="344"/>
      <c r="HI1" s="344"/>
      <c r="HJ1" s="344"/>
      <c r="HK1" s="344"/>
      <c r="HL1" s="344"/>
      <c r="HM1" s="344"/>
      <c r="HN1" s="344"/>
      <c r="HO1" s="344"/>
      <c r="HP1" s="344"/>
      <c r="HQ1" s="344"/>
      <c r="HR1" s="344"/>
      <c r="HS1" s="344"/>
      <c r="HT1" s="344"/>
      <c r="HU1" s="344"/>
      <c r="HV1" s="344"/>
      <c r="HW1" s="344"/>
      <c r="HX1" s="344"/>
      <c r="HY1" s="344"/>
      <c r="HZ1" s="344"/>
      <c r="IA1" s="344"/>
      <c r="IB1" s="344"/>
      <c r="IC1" s="344"/>
      <c r="ID1" s="344"/>
      <c r="IE1" s="344"/>
      <c r="IF1" s="344"/>
      <c r="IG1" s="344"/>
      <c r="IH1" s="344"/>
      <c r="II1" s="344"/>
      <c r="IJ1" s="344"/>
      <c r="IK1" s="344"/>
      <c r="IL1" s="344"/>
      <c r="IM1" s="344"/>
      <c r="IN1" s="710"/>
    </row>
    <row r="2" spans="1:248" ht="17.399999999999999" x14ac:dyDescent="0.25">
      <c r="A2" s="1353" t="str">
        <f>CONCATENATE(ID!A2,ID!I2)</f>
        <v>Nomor sertifikat : 9 /2 / II - 20 / E - 015.38 DL</v>
      </c>
      <c r="B2" s="1353"/>
      <c r="C2" s="1353"/>
      <c r="D2" s="1353"/>
      <c r="E2" s="1353"/>
      <c r="F2" s="1353"/>
      <c r="G2" s="1353"/>
      <c r="H2" s="1353"/>
      <c r="I2" s="1353"/>
      <c r="J2" s="1353"/>
      <c r="K2" s="1353"/>
      <c r="L2" s="1353"/>
      <c r="M2" s="1353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  <c r="AC2" s="344"/>
      <c r="AD2" s="344"/>
      <c r="AE2" s="344"/>
      <c r="AF2" s="344"/>
      <c r="AG2" s="344"/>
      <c r="AH2" s="344"/>
      <c r="AI2" s="344"/>
      <c r="AJ2" s="344"/>
      <c r="AK2" s="344"/>
      <c r="AL2" s="344"/>
      <c r="AM2" s="344"/>
      <c r="AN2" s="344"/>
      <c r="AO2" s="344"/>
      <c r="AP2" s="344"/>
      <c r="AQ2" s="344"/>
      <c r="AR2" s="344"/>
      <c r="AS2" s="344"/>
      <c r="AT2" s="344"/>
      <c r="AU2" s="344"/>
      <c r="AV2" s="344"/>
      <c r="AW2" s="344"/>
      <c r="AX2" s="344"/>
      <c r="AY2" s="344"/>
      <c r="AZ2" s="344"/>
      <c r="BA2" s="344"/>
      <c r="BB2" s="344"/>
      <c r="BC2" s="344"/>
      <c r="BD2" s="344"/>
      <c r="BE2" s="344"/>
      <c r="BF2" s="344"/>
      <c r="BG2" s="344"/>
      <c r="BH2" s="344"/>
      <c r="BI2" s="344"/>
      <c r="BJ2" s="344"/>
      <c r="BK2" s="344"/>
      <c r="BL2" s="344"/>
      <c r="BM2" s="344"/>
      <c r="BN2" s="344"/>
      <c r="BO2" s="344"/>
      <c r="BP2" s="344"/>
      <c r="BQ2" s="344"/>
      <c r="BR2" s="344"/>
      <c r="BS2" s="344"/>
      <c r="BT2" s="344"/>
      <c r="BU2" s="344"/>
      <c r="BV2" s="344"/>
      <c r="BW2" s="344"/>
      <c r="BX2" s="344"/>
      <c r="BY2" s="344"/>
      <c r="BZ2" s="344"/>
      <c r="CA2" s="344"/>
      <c r="CB2" s="344"/>
      <c r="CC2" s="344"/>
      <c r="CD2" s="344"/>
      <c r="CE2" s="344"/>
      <c r="CF2" s="344"/>
      <c r="CG2" s="344"/>
      <c r="CH2" s="344"/>
      <c r="CI2" s="344"/>
      <c r="CJ2" s="344"/>
      <c r="CK2" s="344"/>
      <c r="CL2" s="344"/>
      <c r="CM2" s="344"/>
      <c r="CN2" s="344"/>
      <c r="CO2" s="344"/>
      <c r="CP2" s="344"/>
      <c r="CQ2" s="344"/>
      <c r="CR2" s="344"/>
      <c r="CS2" s="344"/>
      <c r="CT2" s="344"/>
      <c r="CU2" s="344"/>
      <c r="CV2" s="344"/>
      <c r="CW2" s="344"/>
      <c r="CX2" s="344"/>
      <c r="CY2" s="344"/>
      <c r="CZ2" s="344"/>
      <c r="DA2" s="344"/>
      <c r="DB2" s="344"/>
      <c r="DC2" s="344"/>
      <c r="DD2" s="344"/>
      <c r="DE2" s="344"/>
      <c r="DF2" s="344"/>
      <c r="DG2" s="344"/>
      <c r="DH2" s="344"/>
      <c r="DI2" s="344"/>
      <c r="DJ2" s="344"/>
      <c r="DK2" s="344"/>
      <c r="DL2" s="344"/>
      <c r="DM2" s="344"/>
      <c r="DN2" s="344"/>
      <c r="DO2" s="344"/>
      <c r="DP2" s="344"/>
      <c r="DQ2" s="344"/>
      <c r="DR2" s="344"/>
      <c r="DS2" s="344"/>
      <c r="DT2" s="344"/>
      <c r="DU2" s="344"/>
      <c r="DV2" s="344"/>
      <c r="DW2" s="344"/>
      <c r="DX2" s="344"/>
      <c r="DY2" s="344"/>
      <c r="DZ2" s="344"/>
      <c r="EA2" s="344"/>
      <c r="EB2" s="344"/>
      <c r="EC2" s="344"/>
      <c r="ED2" s="344"/>
      <c r="EE2" s="344"/>
      <c r="EF2" s="344"/>
      <c r="EG2" s="344"/>
      <c r="EH2" s="344"/>
      <c r="EI2" s="344"/>
      <c r="EJ2" s="344"/>
      <c r="EK2" s="344"/>
      <c r="EL2" s="344"/>
      <c r="EM2" s="344"/>
      <c r="EN2" s="344"/>
      <c r="EO2" s="344"/>
      <c r="EP2" s="344"/>
      <c r="EQ2" s="344"/>
      <c r="ER2" s="344"/>
      <c r="ES2" s="344"/>
      <c r="ET2" s="344"/>
      <c r="EU2" s="344"/>
      <c r="EV2" s="344"/>
      <c r="EW2" s="344"/>
      <c r="EX2" s="344"/>
      <c r="EY2" s="344"/>
      <c r="EZ2" s="344"/>
      <c r="FA2" s="344"/>
      <c r="FB2" s="344"/>
      <c r="FC2" s="344"/>
      <c r="FD2" s="344"/>
      <c r="FE2" s="344"/>
      <c r="FF2" s="344"/>
      <c r="FG2" s="344"/>
      <c r="FH2" s="344"/>
      <c r="FI2" s="344"/>
      <c r="FJ2" s="344"/>
      <c r="FK2" s="344"/>
      <c r="FL2" s="344"/>
      <c r="FM2" s="344"/>
      <c r="FN2" s="344"/>
      <c r="FO2" s="344"/>
      <c r="FP2" s="344"/>
      <c r="FQ2" s="344"/>
      <c r="FR2" s="344"/>
      <c r="FS2" s="344"/>
      <c r="FT2" s="344"/>
      <c r="FU2" s="344"/>
      <c r="FV2" s="344"/>
      <c r="FW2" s="344"/>
      <c r="FX2" s="344"/>
      <c r="FY2" s="344"/>
      <c r="FZ2" s="344"/>
      <c r="GA2" s="344"/>
      <c r="GB2" s="344"/>
      <c r="GC2" s="344"/>
      <c r="GD2" s="344"/>
      <c r="GE2" s="344"/>
      <c r="GF2" s="344"/>
      <c r="GG2" s="344"/>
      <c r="GH2" s="344"/>
      <c r="GI2" s="344"/>
      <c r="GJ2" s="344"/>
      <c r="GK2" s="344"/>
      <c r="GL2" s="344"/>
      <c r="GM2" s="344"/>
      <c r="GN2" s="344"/>
      <c r="GO2" s="344"/>
      <c r="GP2" s="344"/>
      <c r="GQ2" s="344"/>
      <c r="GR2" s="344"/>
      <c r="GS2" s="344"/>
      <c r="GT2" s="344"/>
      <c r="GU2" s="344"/>
      <c r="GV2" s="344"/>
      <c r="GW2" s="344"/>
      <c r="GX2" s="344"/>
      <c r="GY2" s="344"/>
      <c r="GZ2" s="344"/>
      <c r="HA2" s="344"/>
      <c r="HB2" s="344"/>
      <c r="HC2" s="344"/>
      <c r="HD2" s="344"/>
      <c r="HE2" s="344"/>
      <c r="HF2" s="344"/>
      <c r="HG2" s="344"/>
      <c r="HH2" s="344"/>
      <c r="HI2" s="344"/>
      <c r="HJ2" s="344"/>
      <c r="HK2" s="344"/>
      <c r="HL2" s="344"/>
      <c r="HM2" s="344"/>
      <c r="HN2" s="344"/>
      <c r="HO2" s="344"/>
      <c r="HP2" s="344"/>
      <c r="HQ2" s="344"/>
      <c r="HR2" s="344"/>
      <c r="HS2" s="344"/>
      <c r="HT2" s="344"/>
      <c r="HU2" s="344"/>
      <c r="HV2" s="344"/>
      <c r="HW2" s="344"/>
      <c r="HX2" s="344"/>
      <c r="HY2" s="344"/>
      <c r="HZ2" s="344"/>
      <c r="IA2" s="344"/>
      <c r="IB2" s="344"/>
      <c r="IC2" s="344"/>
      <c r="ID2" s="344"/>
      <c r="IE2" s="344"/>
      <c r="IF2" s="344"/>
      <c r="IG2" s="344"/>
      <c r="IH2" s="344"/>
      <c r="II2" s="344"/>
      <c r="IJ2" s="344"/>
      <c r="IK2" s="344"/>
      <c r="IL2" s="344"/>
      <c r="IM2" s="344"/>
      <c r="IN2" s="710" t="s">
        <v>227</v>
      </c>
    </row>
    <row r="3" spans="1:248" ht="9.75" customHeight="1" x14ac:dyDescent="0.25">
      <c r="A3" s="339"/>
      <c r="B3" s="339"/>
      <c r="C3" s="339"/>
      <c r="D3" s="339"/>
      <c r="E3" s="339"/>
      <c r="F3" s="339"/>
      <c r="G3" s="339"/>
      <c r="H3" s="339"/>
      <c r="I3" s="339"/>
      <c r="J3" s="339"/>
      <c r="K3" s="339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  <c r="Y3" s="344"/>
      <c r="Z3" s="344"/>
      <c r="AA3" s="344"/>
      <c r="AB3" s="344"/>
      <c r="AC3" s="344"/>
      <c r="AD3" s="344"/>
      <c r="AE3" s="344"/>
      <c r="AF3" s="344"/>
      <c r="AG3" s="344"/>
      <c r="AH3" s="344"/>
      <c r="AI3" s="344"/>
      <c r="AJ3" s="344"/>
      <c r="AK3" s="344"/>
      <c r="AL3" s="344"/>
      <c r="AM3" s="344"/>
      <c r="AN3" s="344"/>
      <c r="AO3" s="344"/>
      <c r="AP3" s="344"/>
      <c r="AQ3" s="344"/>
      <c r="AR3" s="344"/>
      <c r="AS3" s="344"/>
      <c r="AT3" s="344"/>
      <c r="AU3" s="344"/>
      <c r="AV3" s="344"/>
      <c r="AW3" s="344"/>
      <c r="AX3" s="344"/>
      <c r="AY3" s="344"/>
      <c r="AZ3" s="344"/>
      <c r="BA3" s="344"/>
      <c r="BB3" s="344"/>
      <c r="BC3" s="344"/>
      <c r="BD3" s="344"/>
      <c r="BE3" s="344"/>
      <c r="BF3" s="344"/>
      <c r="BG3" s="344"/>
      <c r="BH3" s="344"/>
      <c r="BI3" s="344"/>
      <c r="BJ3" s="344"/>
      <c r="BK3" s="344"/>
      <c r="BL3" s="344"/>
      <c r="BM3" s="344"/>
      <c r="BN3" s="344"/>
      <c r="BO3" s="344"/>
      <c r="BP3" s="344"/>
      <c r="BQ3" s="344"/>
      <c r="BR3" s="344"/>
      <c r="BS3" s="344"/>
      <c r="BT3" s="344"/>
      <c r="BU3" s="344"/>
      <c r="BV3" s="344"/>
      <c r="BW3" s="344"/>
      <c r="BX3" s="344"/>
      <c r="BY3" s="344"/>
      <c r="BZ3" s="344"/>
      <c r="CA3" s="344"/>
      <c r="CB3" s="344"/>
      <c r="CC3" s="344"/>
      <c r="CD3" s="344"/>
      <c r="CE3" s="344"/>
      <c r="CF3" s="344"/>
      <c r="CG3" s="344"/>
      <c r="CH3" s="344"/>
      <c r="CI3" s="344"/>
      <c r="CJ3" s="344"/>
      <c r="CK3" s="344"/>
      <c r="CL3" s="344"/>
      <c r="CM3" s="344"/>
      <c r="CN3" s="344"/>
      <c r="CO3" s="344"/>
      <c r="CP3" s="344"/>
      <c r="CQ3" s="344"/>
      <c r="CR3" s="344"/>
      <c r="CS3" s="344"/>
      <c r="CT3" s="344"/>
      <c r="CU3" s="344"/>
      <c r="CV3" s="344"/>
      <c r="CW3" s="344"/>
      <c r="CX3" s="344"/>
      <c r="CY3" s="344"/>
      <c r="CZ3" s="344"/>
      <c r="DA3" s="344"/>
      <c r="DB3" s="344"/>
      <c r="DC3" s="344"/>
      <c r="DD3" s="344"/>
      <c r="DE3" s="344"/>
      <c r="DF3" s="344"/>
      <c r="DG3" s="344"/>
      <c r="DH3" s="344"/>
      <c r="DI3" s="344"/>
      <c r="DJ3" s="344"/>
      <c r="DK3" s="344"/>
      <c r="DL3" s="344"/>
      <c r="DM3" s="344"/>
      <c r="DN3" s="344"/>
      <c r="DO3" s="344"/>
      <c r="DP3" s="344"/>
      <c r="DQ3" s="344"/>
      <c r="DR3" s="344"/>
      <c r="DS3" s="344"/>
      <c r="DT3" s="344"/>
      <c r="DU3" s="344"/>
      <c r="DV3" s="344"/>
      <c r="DW3" s="344"/>
      <c r="DX3" s="344"/>
      <c r="DY3" s="344"/>
      <c r="DZ3" s="344"/>
      <c r="EA3" s="344"/>
      <c r="EB3" s="344"/>
      <c r="EC3" s="344"/>
      <c r="ED3" s="344"/>
      <c r="EE3" s="344"/>
      <c r="EF3" s="344"/>
      <c r="EG3" s="344"/>
      <c r="EH3" s="344"/>
      <c r="EI3" s="344"/>
      <c r="EJ3" s="344"/>
      <c r="EK3" s="344"/>
      <c r="EL3" s="344"/>
      <c r="EM3" s="344"/>
      <c r="EN3" s="344"/>
      <c r="EO3" s="344"/>
      <c r="EP3" s="344"/>
      <c r="EQ3" s="344"/>
      <c r="ER3" s="344"/>
      <c r="ES3" s="344"/>
      <c r="ET3" s="344"/>
      <c r="EU3" s="344"/>
      <c r="EV3" s="344"/>
      <c r="EW3" s="344"/>
      <c r="EX3" s="344"/>
      <c r="EY3" s="344"/>
      <c r="EZ3" s="344"/>
      <c r="FA3" s="344"/>
      <c r="FB3" s="344"/>
      <c r="FC3" s="344"/>
      <c r="FD3" s="344"/>
      <c r="FE3" s="344"/>
      <c r="FF3" s="344"/>
      <c r="FG3" s="344"/>
      <c r="FH3" s="344"/>
      <c r="FI3" s="344"/>
      <c r="FJ3" s="344"/>
      <c r="FK3" s="344"/>
      <c r="FL3" s="344"/>
      <c r="FM3" s="344"/>
      <c r="FN3" s="344"/>
      <c r="FO3" s="344"/>
      <c r="FP3" s="344"/>
      <c r="FQ3" s="344"/>
      <c r="FR3" s="344"/>
      <c r="FS3" s="344"/>
      <c r="FT3" s="344"/>
      <c r="FU3" s="344"/>
      <c r="FV3" s="344"/>
      <c r="FW3" s="344"/>
      <c r="FX3" s="344"/>
      <c r="FY3" s="344"/>
      <c r="FZ3" s="344"/>
      <c r="GA3" s="344"/>
      <c r="GB3" s="344"/>
      <c r="GC3" s="344"/>
      <c r="GD3" s="344"/>
      <c r="GE3" s="344"/>
      <c r="GF3" s="344"/>
      <c r="GG3" s="344"/>
      <c r="GH3" s="344"/>
      <c r="GI3" s="344"/>
      <c r="GJ3" s="344"/>
      <c r="GK3" s="344"/>
      <c r="GL3" s="344"/>
      <c r="GM3" s="344"/>
      <c r="GN3" s="344"/>
      <c r="GO3" s="344"/>
      <c r="GP3" s="344"/>
      <c r="GQ3" s="344"/>
      <c r="GR3" s="344"/>
      <c r="GS3" s="344"/>
      <c r="GT3" s="344"/>
      <c r="GU3" s="344"/>
      <c r="GV3" s="344"/>
      <c r="GW3" s="344"/>
      <c r="GX3" s="344"/>
      <c r="GY3" s="344"/>
      <c r="GZ3" s="344"/>
      <c r="HA3" s="344"/>
      <c r="HB3" s="344"/>
      <c r="HC3" s="344"/>
      <c r="HD3" s="344"/>
      <c r="HE3" s="344"/>
      <c r="HF3" s="344"/>
      <c r="HG3" s="344"/>
      <c r="HH3" s="344"/>
      <c r="HI3" s="344"/>
      <c r="HJ3" s="344"/>
      <c r="HK3" s="344"/>
      <c r="HL3" s="344"/>
      <c r="HM3" s="344"/>
      <c r="HN3" s="344"/>
      <c r="HO3" s="344"/>
      <c r="HP3" s="344"/>
      <c r="HQ3" s="344"/>
      <c r="HR3" s="344"/>
      <c r="HS3" s="344"/>
      <c r="HT3" s="344"/>
      <c r="HU3" s="344"/>
      <c r="HV3" s="344"/>
      <c r="HW3" s="344"/>
      <c r="HX3" s="344"/>
      <c r="HY3" s="344"/>
      <c r="HZ3" s="344"/>
      <c r="IA3" s="344"/>
      <c r="IB3" s="344"/>
      <c r="IC3" s="344"/>
      <c r="ID3" s="344"/>
      <c r="IE3" s="344"/>
      <c r="IF3" s="344"/>
      <c r="IG3" s="344"/>
      <c r="IH3" s="344"/>
      <c r="II3" s="344"/>
      <c r="IJ3" s="344"/>
      <c r="IK3" s="344"/>
      <c r="IL3" s="344"/>
      <c r="IM3" s="344"/>
      <c r="IN3" s="710"/>
    </row>
    <row r="4" spans="1:248" x14ac:dyDescent="0.25">
      <c r="A4" s="1354" t="str">
        <f>ID!B4</f>
        <v>Merek</v>
      </c>
      <c r="B4" s="1354"/>
      <c r="C4" s="1354"/>
      <c r="D4" s="471" t="s">
        <v>7</v>
      </c>
      <c r="E4" s="471" t="s">
        <v>7</v>
      </c>
      <c r="F4" s="711" t="str">
        <f>ID!E4</f>
        <v>OMRON</v>
      </c>
      <c r="G4" s="711"/>
      <c r="H4" s="711"/>
      <c r="I4" s="711"/>
      <c r="J4" s="344"/>
      <c r="K4" s="344"/>
      <c r="M4" s="344"/>
      <c r="N4" s="344"/>
      <c r="O4" s="344"/>
      <c r="P4" s="344"/>
      <c r="Q4" s="344"/>
      <c r="R4" s="344"/>
      <c r="S4" s="344"/>
      <c r="T4" s="344"/>
      <c r="U4" s="344"/>
      <c r="V4" s="344"/>
      <c r="W4" s="344"/>
      <c r="X4" s="344"/>
      <c r="Y4" s="344"/>
      <c r="Z4" s="344"/>
      <c r="AA4" s="344"/>
      <c r="AB4" s="344"/>
      <c r="AC4" s="344"/>
      <c r="AD4" s="344"/>
      <c r="AE4" s="344"/>
      <c r="AF4" s="344"/>
      <c r="AG4" s="344"/>
      <c r="AH4" s="344"/>
      <c r="AI4" s="344"/>
      <c r="AJ4" s="344"/>
      <c r="AK4" s="344"/>
      <c r="AL4" s="344"/>
      <c r="AM4" s="344"/>
      <c r="AN4" s="344"/>
      <c r="AO4" s="344"/>
      <c r="AP4" s="344"/>
      <c r="AQ4" s="344"/>
      <c r="AR4" s="344"/>
      <c r="AS4" s="344"/>
      <c r="AT4" s="344"/>
      <c r="AU4" s="344"/>
      <c r="AV4" s="344"/>
      <c r="AW4" s="344"/>
      <c r="AX4" s="344"/>
      <c r="AY4" s="344"/>
      <c r="AZ4" s="344"/>
      <c r="BA4" s="344"/>
      <c r="BB4" s="344"/>
      <c r="BC4" s="344"/>
      <c r="BD4" s="344"/>
      <c r="BE4" s="344"/>
      <c r="BF4" s="344"/>
      <c r="BG4" s="344"/>
      <c r="BH4" s="344"/>
      <c r="BI4" s="344"/>
      <c r="BJ4" s="344"/>
      <c r="BK4" s="344"/>
      <c r="BL4" s="344"/>
      <c r="BM4" s="344"/>
      <c r="BN4" s="344"/>
      <c r="BO4" s="344"/>
      <c r="BP4" s="344"/>
      <c r="BQ4" s="344"/>
      <c r="BR4" s="344"/>
      <c r="BS4" s="344"/>
      <c r="BT4" s="344"/>
      <c r="BU4" s="344"/>
      <c r="BV4" s="344"/>
      <c r="BW4" s="344"/>
      <c r="BX4" s="344"/>
      <c r="BY4" s="344"/>
      <c r="BZ4" s="344"/>
      <c r="CA4" s="344"/>
      <c r="CB4" s="344"/>
      <c r="CC4" s="344"/>
      <c r="CD4" s="344"/>
      <c r="CE4" s="344"/>
      <c r="CF4" s="344"/>
      <c r="CG4" s="344"/>
      <c r="CH4" s="344"/>
      <c r="CI4" s="344"/>
      <c r="CJ4" s="344"/>
      <c r="CK4" s="344"/>
      <c r="CL4" s="344"/>
      <c r="CM4" s="344"/>
      <c r="CN4" s="344"/>
      <c r="CO4" s="344"/>
      <c r="CP4" s="344"/>
      <c r="CQ4" s="344"/>
      <c r="CR4" s="344"/>
      <c r="CS4" s="344"/>
      <c r="CT4" s="344"/>
      <c r="CU4" s="344"/>
      <c r="CV4" s="344"/>
      <c r="CW4" s="344"/>
      <c r="CX4" s="344"/>
      <c r="CY4" s="344"/>
      <c r="CZ4" s="344"/>
      <c r="DA4" s="344"/>
      <c r="DB4" s="344"/>
      <c r="DC4" s="344"/>
      <c r="DD4" s="344"/>
      <c r="DE4" s="344"/>
      <c r="DF4" s="344"/>
      <c r="DG4" s="344"/>
      <c r="DH4" s="344"/>
      <c r="DI4" s="344"/>
      <c r="DJ4" s="344"/>
      <c r="DK4" s="344"/>
      <c r="DL4" s="344"/>
      <c r="DM4" s="344"/>
      <c r="DN4" s="344"/>
      <c r="DO4" s="344"/>
      <c r="DP4" s="344"/>
      <c r="DQ4" s="344"/>
      <c r="DR4" s="344"/>
      <c r="DS4" s="344"/>
      <c r="DT4" s="344"/>
      <c r="DU4" s="344"/>
      <c r="DV4" s="344"/>
      <c r="DW4" s="344"/>
      <c r="DX4" s="344"/>
      <c r="DY4" s="344"/>
      <c r="DZ4" s="344"/>
      <c r="EA4" s="344"/>
      <c r="EB4" s="344"/>
      <c r="EC4" s="344"/>
      <c r="ED4" s="344"/>
      <c r="EE4" s="344"/>
      <c r="EF4" s="344"/>
      <c r="EG4" s="344"/>
      <c r="EH4" s="344"/>
      <c r="EI4" s="344"/>
      <c r="EJ4" s="344"/>
      <c r="EK4" s="344"/>
      <c r="EL4" s="344"/>
      <c r="EM4" s="344"/>
      <c r="EN4" s="344"/>
      <c r="EO4" s="344"/>
      <c r="EP4" s="344"/>
      <c r="EQ4" s="344"/>
      <c r="ER4" s="344"/>
      <c r="ES4" s="344"/>
      <c r="ET4" s="344"/>
      <c r="EU4" s="344"/>
      <c r="EV4" s="344"/>
      <c r="EW4" s="344"/>
      <c r="EX4" s="344"/>
      <c r="EY4" s="344"/>
      <c r="EZ4" s="344"/>
      <c r="FA4" s="344"/>
      <c r="FB4" s="344"/>
      <c r="FC4" s="344"/>
      <c r="FD4" s="344"/>
      <c r="FE4" s="344"/>
      <c r="FF4" s="344"/>
      <c r="FG4" s="344"/>
      <c r="FH4" s="344"/>
      <c r="FI4" s="344"/>
      <c r="FJ4" s="344"/>
      <c r="FK4" s="344"/>
      <c r="FL4" s="344"/>
      <c r="FM4" s="344"/>
      <c r="FN4" s="344"/>
      <c r="FO4" s="344"/>
      <c r="FP4" s="344"/>
      <c r="FQ4" s="344"/>
      <c r="FR4" s="344"/>
      <c r="FS4" s="344"/>
      <c r="FT4" s="344"/>
      <c r="FU4" s="344"/>
      <c r="FV4" s="344"/>
      <c r="FW4" s="344"/>
      <c r="FX4" s="344"/>
      <c r="FY4" s="344"/>
      <c r="FZ4" s="344"/>
      <c r="GA4" s="344"/>
      <c r="GB4" s="344"/>
      <c r="GC4" s="344"/>
      <c r="GD4" s="344"/>
      <c r="GE4" s="344"/>
      <c r="GF4" s="344"/>
      <c r="GG4" s="344"/>
      <c r="GH4" s="344"/>
      <c r="GI4" s="344"/>
      <c r="GJ4" s="344"/>
      <c r="GK4" s="344"/>
      <c r="GL4" s="344"/>
      <c r="GM4" s="344"/>
      <c r="GN4" s="344"/>
      <c r="GO4" s="344"/>
      <c r="GP4" s="344"/>
      <c r="GQ4" s="344"/>
      <c r="GR4" s="344"/>
      <c r="GS4" s="344"/>
      <c r="GT4" s="344"/>
      <c r="GU4" s="344"/>
      <c r="GV4" s="344"/>
      <c r="GW4" s="344"/>
      <c r="GX4" s="344"/>
      <c r="GY4" s="344"/>
      <c r="GZ4" s="344"/>
      <c r="HA4" s="344"/>
      <c r="HB4" s="344"/>
      <c r="HC4" s="344"/>
      <c r="HD4" s="344"/>
      <c r="HE4" s="344"/>
      <c r="HF4" s="344"/>
      <c r="HG4" s="344"/>
      <c r="HH4" s="344"/>
      <c r="HI4" s="344"/>
      <c r="HJ4" s="344"/>
      <c r="HK4" s="344"/>
      <c r="HL4" s="344"/>
      <c r="HM4" s="344"/>
      <c r="HN4" s="344"/>
      <c r="HO4" s="344"/>
      <c r="HP4" s="344"/>
      <c r="HQ4" s="344"/>
      <c r="HR4" s="344"/>
      <c r="HS4" s="344"/>
      <c r="HT4" s="344"/>
      <c r="HU4" s="344"/>
      <c r="HV4" s="344"/>
      <c r="HW4" s="344"/>
      <c r="HX4" s="344"/>
      <c r="HY4" s="344"/>
      <c r="HZ4" s="344"/>
      <c r="IA4" s="344"/>
      <c r="IB4" s="344"/>
      <c r="IC4" s="344"/>
      <c r="ID4" s="344"/>
      <c r="IE4" s="344"/>
      <c r="IF4" s="344"/>
      <c r="IG4" s="344"/>
      <c r="IH4" s="344"/>
      <c r="II4" s="344"/>
      <c r="IJ4" s="344"/>
      <c r="IK4" s="344"/>
      <c r="IL4" s="344"/>
      <c r="IM4" s="344"/>
      <c r="IN4" s="710" t="s">
        <v>228</v>
      </c>
    </row>
    <row r="5" spans="1:248" x14ac:dyDescent="0.25">
      <c r="A5" s="1354" t="str">
        <f>ID!B5</f>
        <v>Model/ tipe</v>
      </c>
      <c r="B5" s="1354"/>
      <c r="C5" s="1354"/>
      <c r="D5" s="471" t="s">
        <v>7</v>
      </c>
      <c r="E5" s="471" t="s">
        <v>7</v>
      </c>
      <c r="F5" s="711" t="str">
        <f>ID!E5</f>
        <v>HEM-8712</v>
      </c>
      <c r="G5" s="711"/>
      <c r="H5" s="711"/>
      <c r="I5" s="711"/>
      <c r="J5" s="344"/>
      <c r="K5" s="344"/>
      <c r="M5" s="344"/>
      <c r="N5" s="344"/>
      <c r="O5" s="344"/>
      <c r="P5" s="344"/>
      <c r="Q5" s="344"/>
      <c r="R5" s="344"/>
      <c r="S5" s="344"/>
      <c r="T5" s="344"/>
      <c r="U5" s="344"/>
      <c r="V5" s="344"/>
      <c r="W5" s="344"/>
      <c r="X5" s="344"/>
      <c r="Y5" s="344"/>
      <c r="Z5" s="344"/>
      <c r="AA5" s="344"/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4"/>
      <c r="AN5" s="344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4"/>
      <c r="BA5" s="344"/>
      <c r="BB5" s="344"/>
      <c r="BC5" s="344"/>
      <c r="BD5" s="344"/>
      <c r="BE5" s="344"/>
      <c r="BF5" s="344"/>
      <c r="BG5" s="344"/>
      <c r="BH5" s="344"/>
      <c r="BI5" s="344"/>
      <c r="BJ5" s="344"/>
      <c r="BK5" s="344"/>
      <c r="BL5" s="344"/>
      <c r="BM5" s="344"/>
      <c r="BN5" s="344"/>
      <c r="BO5" s="344"/>
      <c r="BP5" s="344"/>
      <c r="BQ5" s="344"/>
      <c r="BR5" s="344"/>
      <c r="BS5" s="344"/>
      <c r="BT5" s="344"/>
      <c r="BU5" s="344"/>
      <c r="BV5" s="344"/>
      <c r="BW5" s="344"/>
      <c r="BX5" s="344"/>
      <c r="BY5" s="344"/>
      <c r="BZ5" s="344"/>
      <c r="CA5" s="344"/>
      <c r="CB5" s="344"/>
      <c r="CC5" s="344"/>
      <c r="CD5" s="344"/>
      <c r="CE5" s="344"/>
      <c r="CF5" s="344"/>
      <c r="CG5" s="344"/>
      <c r="CH5" s="344"/>
      <c r="CI5" s="344"/>
      <c r="CJ5" s="344"/>
      <c r="CK5" s="344"/>
      <c r="CL5" s="344"/>
      <c r="CM5" s="344"/>
      <c r="CN5" s="344"/>
      <c r="CO5" s="344"/>
      <c r="CP5" s="344"/>
      <c r="CQ5" s="344"/>
      <c r="CR5" s="344"/>
      <c r="CS5" s="344"/>
      <c r="CT5" s="344"/>
      <c r="CU5" s="344"/>
      <c r="CV5" s="344"/>
      <c r="CW5" s="344"/>
      <c r="CX5" s="344"/>
      <c r="CY5" s="344"/>
      <c r="CZ5" s="344"/>
      <c r="DA5" s="344"/>
      <c r="DB5" s="344"/>
      <c r="DC5" s="344"/>
      <c r="DD5" s="344"/>
      <c r="DE5" s="344"/>
      <c r="DF5" s="344"/>
      <c r="DG5" s="344"/>
      <c r="DH5" s="344"/>
      <c r="DI5" s="344"/>
      <c r="DJ5" s="344"/>
      <c r="DK5" s="344"/>
      <c r="DL5" s="344"/>
      <c r="DM5" s="344"/>
      <c r="DN5" s="344"/>
      <c r="DO5" s="344"/>
      <c r="DP5" s="344"/>
      <c r="DQ5" s="344"/>
      <c r="DR5" s="344"/>
      <c r="DS5" s="344"/>
      <c r="DT5" s="344"/>
      <c r="DU5" s="344"/>
      <c r="DV5" s="344"/>
      <c r="DW5" s="344"/>
      <c r="DX5" s="344"/>
      <c r="DY5" s="344"/>
      <c r="DZ5" s="344"/>
      <c r="EA5" s="344"/>
      <c r="EB5" s="344"/>
      <c r="EC5" s="344"/>
      <c r="ED5" s="344"/>
      <c r="EE5" s="344"/>
      <c r="EF5" s="344"/>
      <c r="EG5" s="344"/>
      <c r="EH5" s="344"/>
      <c r="EI5" s="344"/>
      <c r="EJ5" s="344"/>
      <c r="EK5" s="344"/>
      <c r="EL5" s="344"/>
      <c r="EM5" s="344"/>
      <c r="EN5" s="344"/>
      <c r="EO5" s="344"/>
      <c r="EP5" s="344"/>
      <c r="EQ5" s="344"/>
      <c r="ER5" s="344"/>
      <c r="ES5" s="344"/>
      <c r="ET5" s="344"/>
      <c r="EU5" s="344"/>
      <c r="EV5" s="344"/>
      <c r="EW5" s="344"/>
      <c r="EX5" s="344"/>
      <c r="EY5" s="344"/>
      <c r="EZ5" s="344"/>
      <c r="FA5" s="344"/>
      <c r="FB5" s="344"/>
      <c r="FC5" s="344"/>
      <c r="FD5" s="344"/>
      <c r="FE5" s="344"/>
      <c r="FF5" s="344"/>
      <c r="FG5" s="344"/>
      <c r="FH5" s="344"/>
      <c r="FI5" s="344"/>
      <c r="FJ5" s="344"/>
      <c r="FK5" s="344"/>
      <c r="FL5" s="344"/>
      <c r="FM5" s="344"/>
      <c r="FN5" s="344"/>
      <c r="FO5" s="344"/>
      <c r="FP5" s="344"/>
      <c r="FQ5" s="344"/>
      <c r="FR5" s="344"/>
      <c r="FS5" s="344"/>
      <c r="FT5" s="344"/>
      <c r="FU5" s="344"/>
      <c r="FV5" s="344"/>
      <c r="FW5" s="344"/>
      <c r="FX5" s="344"/>
      <c r="FY5" s="344"/>
      <c r="FZ5" s="344"/>
      <c r="GA5" s="344"/>
      <c r="GB5" s="344"/>
      <c r="GC5" s="344"/>
      <c r="GD5" s="344"/>
      <c r="GE5" s="344"/>
      <c r="GF5" s="344"/>
      <c r="GG5" s="344"/>
      <c r="GH5" s="344"/>
      <c r="GI5" s="344"/>
      <c r="GJ5" s="344"/>
      <c r="GK5" s="344"/>
      <c r="GL5" s="344"/>
      <c r="GM5" s="344"/>
      <c r="GN5" s="344"/>
      <c r="GO5" s="344"/>
      <c r="GP5" s="344"/>
      <c r="GQ5" s="344"/>
      <c r="GR5" s="344"/>
      <c r="GS5" s="344"/>
      <c r="GT5" s="344"/>
      <c r="GU5" s="344"/>
      <c r="GV5" s="344"/>
      <c r="GW5" s="344"/>
      <c r="GX5" s="344"/>
      <c r="GY5" s="344"/>
      <c r="GZ5" s="344"/>
      <c r="HA5" s="344"/>
      <c r="HB5" s="344"/>
      <c r="HC5" s="344"/>
      <c r="HD5" s="344"/>
      <c r="HE5" s="344"/>
      <c r="HF5" s="344"/>
      <c r="HG5" s="344"/>
      <c r="HH5" s="344"/>
      <c r="HI5" s="344"/>
      <c r="HJ5" s="344"/>
      <c r="HK5" s="344"/>
      <c r="HL5" s="344"/>
      <c r="HM5" s="344"/>
      <c r="HN5" s="344"/>
      <c r="HO5" s="344"/>
      <c r="HP5" s="344"/>
      <c r="HQ5" s="344"/>
      <c r="HR5" s="344"/>
      <c r="HS5" s="344"/>
      <c r="HT5" s="344"/>
      <c r="HU5" s="344"/>
      <c r="HV5" s="344"/>
      <c r="HW5" s="344"/>
      <c r="HX5" s="344"/>
      <c r="HY5" s="344"/>
      <c r="HZ5" s="344"/>
      <c r="IA5" s="344"/>
      <c r="IB5" s="344"/>
      <c r="IC5" s="344"/>
      <c r="ID5" s="344"/>
      <c r="IE5" s="344"/>
      <c r="IF5" s="344"/>
      <c r="IG5" s="344"/>
      <c r="IH5" s="344"/>
      <c r="II5" s="344"/>
      <c r="IJ5" s="344"/>
      <c r="IK5" s="344"/>
      <c r="IL5" s="344"/>
      <c r="IM5" s="344"/>
      <c r="IN5" s="344"/>
    </row>
    <row r="6" spans="1:248" x14ac:dyDescent="0.25">
      <c r="A6" s="1354" t="str">
        <f>ID!B6</f>
        <v>Nomor seri</v>
      </c>
      <c r="B6" s="1354"/>
      <c r="C6" s="1354"/>
      <c r="D6" s="471" t="s">
        <v>7</v>
      </c>
      <c r="E6" s="471" t="s">
        <v>7</v>
      </c>
      <c r="F6" s="711" t="str">
        <f>ID!E6</f>
        <v>-</v>
      </c>
      <c r="G6" s="711"/>
      <c r="H6" s="711"/>
      <c r="I6" s="711"/>
      <c r="J6" s="344"/>
      <c r="K6" s="344"/>
      <c r="M6" s="344"/>
      <c r="N6" s="344"/>
      <c r="O6" s="344"/>
      <c r="P6" s="344"/>
      <c r="Q6" s="344"/>
      <c r="R6" s="344"/>
      <c r="S6" s="344"/>
      <c r="T6" s="344"/>
      <c r="U6" s="344"/>
      <c r="V6" s="344"/>
      <c r="W6" s="344"/>
      <c r="X6" s="344"/>
      <c r="Y6" s="344"/>
      <c r="Z6" s="344"/>
      <c r="AA6" s="344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4"/>
      <c r="AN6" s="344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  <c r="BK6" s="344"/>
      <c r="BL6" s="344"/>
      <c r="BM6" s="344"/>
      <c r="BN6" s="344"/>
      <c r="BO6" s="344"/>
      <c r="BP6" s="344"/>
      <c r="BQ6" s="344"/>
      <c r="BR6" s="344"/>
      <c r="BS6" s="344"/>
      <c r="BT6" s="344"/>
      <c r="BU6" s="344"/>
      <c r="BV6" s="344"/>
      <c r="BW6" s="344"/>
      <c r="BX6" s="344"/>
      <c r="BY6" s="344"/>
      <c r="BZ6" s="344"/>
      <c r="CA6" s="344"/>
      <c r="CB6" s="344"/>
      <c r="CC6" s="344"/>
      <c r="CD6" s="344"/>
      <c r="CE6" s="344"/>
      <c r="CF6" s="344"/>
      <c r="CG6" s="344"/>
      <c r="CH6" s="344"/>
      <c r="CI6" s="344"/>
      <c r="CJ6" s="344"/>
      <c r="CK6" s="344"/>
      <c r="CL6" s="344"/>
      <c r="CM6" s="344"/>
      <c r="CN6" s="344"/>
      <c r="CO6" s="344"/>
      <c r="CP6" s="344"/>
      <c r="CQ6" s="344"/>
      <c r="CR6" s="344"/>
      <c r="CS6" s="344"/>
      <c r="CT6" s="344"/>
      <c r="CU6" s="344"/>
      <c r="CV6" s="344"/>
      <c r="CW6" s="344"/>
      <c r="CX6" s="344"/>
      <c r="CY6" s="344"/>
      <c r="CZ6" s="344"/>
      <c r="DA6" s="344"/>
      <c r="DB6" s="344"/>
      <c r="DC6" s="344"/>
      <c r="DD6" s="344"/>
      <c r="DE6" s="344"/>
      <c r="DF6" s="344"/>
      <c r="DG6" s="344"/>
      <c r="DH6" s="344"/>
      <c r="DI6" s="344"/>
      <c r="DJ6" s="344"/>
      <c r="DK6" s="344"/>
      <c r="DL6" s="344"/>
      <c r="DM6" s="344"/>
      <c r="DN6" s="344"/>
      <c r="DO6" s="344"/>
      <c r="DP6" s="344"/>
      <c r="DQ6" s="344"/>
      <c r="DR6" s="344"/>
      <c r="DS6" s="344"/>
      <c r="DT6" s="344"/>
      <c r="DU6" s="344"/>
      <c r="DV6" s="344"/>
      <c r="DW6" s="344"/>
      <c r="DX6" s="344"/>
      <c r="DY6" s="344"/>
      <c r="DZ6" s="344"/>
      <c r="EA6" s="344"/>
      <c r="EB6" s="344"/>
      <c r="EC6" s="344"/>
      <c r="ED6" s="344"/>
      <c r="EE6" s="344"/>
      <c r="EF6" s="344"/>
      <c r="EG6" s="344"/>
      <c r="EH6" s="344"/>
      <c r="EI6" s="344"/>
      <c r="EJ6" s="344"/>
      <c r="EK6" s="344"/>
      <c r="EL6" s="344"/>
      <c r="EM6" s="344"/>
      <c r="EN6" s="344"/>
      <c r="EO6" s="344"/>
      <c r="EP6" s="344"/>
      <c r="EQ6" s="344"/>
      <c r="ER6" s="344"/>
      <c r="ES6" s="344"/>
      <c r="ET6" s="344"/>
      <c r="EU6" s="344"/>
      <c r="EV6" s="344"/>
      <c r="EW6" s="344"/>
      <c r="EX6" s="344"/>
      <c r="EY6" s="344"/>
      <c r="EZ6" s="344"/>
      <c r="FA6" s="344"/>
      <c r="FB6" s="344"/>
      <c r="FC6" s="344"/>
      <c r="FD6" s="344"/>
      <c r="FE6" s="344"/>
      <c r="FF6" s="344"/>
      <c r="FG6" s="344"/>
      <c r="FH6" s="344"/>
      <c r="FI6" s="344"/>
      <c r="FJ6" s="344"/>
      <c r="FK6" s="344"/>
      <c r="FL6" s="344"/>
      <c r="FM6" s="344"/>
      <c r="FN6" s="344"/>
      <c r="FO6" s="344"/>
      <c r="FP6" s="344"/>
      <c r="FQ6" s="344"/>
      <c r="FR6" s="344"/>
      <c r="FS6" s="344"/>
      <c r="FT6" s="344"/>
      <c r="FU6" s="344"/>
      <c r="FV6" s="344"/>
      <c r="FW6" s="344"/>
      <c r="FX6" s="344"/>
      <c r="FY6" s="344"/>
      <c r="FZ6" s="344"/>
      <c r="GA6" s="344"/>
      <c r="GB6" s="344"/>
      <c r="GC6" s="344"/>
      <c r="GD6" s="344"/>
      <c r="GE6" s="344"/>
      <c r="GF6" s="344"/>
      <c r="GG6" s="344"/>
      <c r="GH6" s="344"/>
      <c r="GI6" s="344"/>
      <c r="GJ6" s="344"/>
      <c r="GK6" s="344"/>
      <c r="GL6" s="344"/>
      <c r="GM6" s="344"/>
      <c r="GN6" s="344"/>
      <c r="GO6" s="344"/>
      <c r="GP6" s="344"/>
      <c r="GQ6" s="344"/>
      <c r="GR6" s="344"/>
      <c r="GS6" s="344"/>
      <c r="GT6" s="344"/>
      <c r="GU6" s="344"/>
      <c r="GV6" s="344"/>
      <c r="GW6" s="344"/>
      <c r="GX6" s="344"/>
      <c r="GY6" s="344"/>
      <c r="GZ6" s="344"/>
      <c r="HA6" s="344"/>
      <c r="HB6" s="344"/>
      <c r="HC6" s="344"/>
      <c r="HD6" s="344"/>
      <c r="HE6" s="344"/>
      <c r="HF6" s="344"/>
      <c r="HG6" s="344"/>
      <c r="HH6" s="344"/>
      <c r="HI6" s="344"/>
      <c r="HJ6" s="344"/>
      <c r="HK6" s="344"/>
      <c r="HL6" s="344"/>
      <c r="HM6" s="344"/>
      <c r="HN6" s="344"/>
      <c r="HO6" s="344"/>
      <c r="HP6" s="344"/>
      <c r="HQ6" s="344"/>
      <c r="HR6" s="344"/>
      <c r="HS6" s="344"/>
      <c r="HT6" s="344"/>
      <c r="HU6" s="344"/>
      <c r="HV6" s="344"/>
      <c r="HW6" s="344"/>
      <c r="HX6" s="344"/>
      <c r="HY6" s="344"/>
      <c r="HZ6" s="344"/>
      <c r="IA6" s="344"/>
      <c r="IB6" s="344"/>
      <c r="IC6" s="344"/>
      <c r="ID6" s="344"/>
      <c r="IE6" s="344"/>
      <c r="IF6" s="344"/>
      <c r="IG6" s="344"/>
      <c r="IH6" s="344"/>
      <c r="II6" s="344"/>
      <c r="IJ6" s="344"/>
      <c r="IK6" s="344"/>
      <c r="IL6" s="344"/>
      <c r="IM6" s="344"/>
      <c r="IN6" s="344"/>
    </row>
    <row r="7" spans="1:248" x14ac:dyDescent="0.25">
      <c r="A7" s="711" t="str">
        <f>ID!B7</f>
        <v>Tanggal penerimaan alat</v>
      </c>
      <c r="B7" s="711"/>
      <c r="C7" s="711"/>
      <c r="D7" s="471"/>
      <c r="E7" s="471" t="s">
        <v>7</v>
      </c>
      <c r="F7" s="711">
        <f>ID!E7</f>
        <v>44564</v>
      </c>
      <c r="G7" s="711"/>
      <c r="H7" s="711"/>
      <c r="I7" s="711"/>
      <c r="J7" s="344"/>
      <c r="K7" s="344"/>
      <c r="M7" s="344"/>
      <c r="N7" s="344"/>
      <c r="O7" s="344"/>
      <c r="P7" s="344"/>
      <c r="Q7" s="344"/>
      <c r="R7" s="344"/>
      <c r="S7" s="344"/>
      <c r="T7" s="344"/>
      <c r="U7" s="344"/>
      <c r="V7" s="344"/>
      <c r="W7" s="344"/>
      <c r="X7" s="344"/>
      <c r="Y7" s="344"/>
      <c r="Z7" s="344"/>
      <c r="AA7" s="344"/>
      <c r="AB7" s="344"/>
      <c r="AC7" s="344"/>
      <c r="AD7" s="344"/>
      <c r="AE7" s="344"/>
      <c r="AF7" s="344"/>
      <c r="AG7" s="344"/>
      <c r="AH7" s="344"/>
      <c r="AI7" s="344"/>
      <c r="AJ7" s="344"/>
      <c r="AK7" s="344"/>
      <c r="AL7" s="344"/>
      <c r="AM7" s="344"/>
      <c r="AN7" s="344"/>
      <c r="AO7" s="344"/>
      <c r="AP7" s="344"/>
      <c r="AQ7" s="344"/>
      <c r="AR7" s="344"/>
      <c r="AS7" s="344"/>
      <c r="AT7" s="344"/>
      <c r="AU7" s="344"/>
      <c r="AV7" s="344"/>
      <c r="AW7" s="344"/>
      <c r="AX7" s="344"/>
      <c r="AY7" s="344"/>
      <c r="AZ7" s="344"/>
      <c r="BA7" s="344"/>
      <c r="BB7" s="344"/>
      <c r="BC7" s="344"/>
      <c r="BD7" s="344"/>
      <c r="BE7" s="344"/>
      <c r="BF7" s="344"/>
      <c r="BG7" s="344"/>
      <c r="BH7" s="344"/>
      <c r="BI7" s="344"/>
      <c r="BJ7" s="344"/>
      <c r="BK7" s="344"/>
      <c r="BL7" s="344"/>
      <c r="BM7" s="344"/>
      <c r="BN7" s="344"/>
      <c r="BO7" s="344"/>
      <c r="BP7" s="344"/>
      <c r="BQ7" s="344"/>
      <c r="BR7" s="344"/>
      <c r="BS7" s="344"/>
      <c r="BT7" s="344"/>
      <c r="BU7" s="344"/>
      <c r="BV7" s="344"/>
      <c r="BW7" s="344"/>
      <c r="BX7" s="344"/>
      <c r="BY7" s="344"/>
      <c r="BZ7" s="344"/>
      <c r="CA7" s="344"/>
      <c r="CB7" s="344"/>
      <c r="CC7" s="344"/>
      <c r="CD7" s="344"/>
      <c r="CE7" s="344"/>
      <c r="CF7" s="344"/>
      <c r="CG7" s="344"/>
      <c r="CH7" s="344"/>
      <c r="CI7" s="344"/>
      <c r="CJ7" s="344"/>
      <c r="CK7" s="344"/>
      <c r="CL7" s="344"/>
      <c r="CM7" s="344"/>
      <c r="CN7" s="344"/>
      <c r="CO7" s="344"/>
      <c r="CP7" s="344"/>
      <c r="CQ7" s="344"/>
      <c r="CR7" s="344"/>
      <c r="CS7" s="344"/>
      <c r="CT7" s="344"/>
      <c r="CU7" s="344"/>
      <c r="CV7" s="344"/>
      <c r="CW7" s="344"/>
      <c r="CX7" s="344"/>
      <c r="CY7" s="344"/>
      <c r="CZ7" s="344"/>
      <c r="DA7" s="344"/>
      <c r="DB7" s="344"/>
      <c r="DC7" s="344"/>
      <c r="DD7" s="344"/>
      <c r="DE7" s="344"/>
      <c r="DF7" s="344"/>
      <c r="DG7" s="344"/>
      <c r="DH7" s="344"/>
      <c r="DI7" s="344"/>
      <c r="DJ7" s="344"/>
      <c r="DK7" s="344"/>
      <c r="DL7" s="344"/>
      <c r="DM7" s="344"/>
      <c r="DN7" s="344"/>
      <c r="DO7" s="344"/>
      <c r="DP7" s="344"/>
      <c r="DQ7" s="344"/>
      <c r="DR7" s="344"/>
      <c r="DS7" s="344"/>
      <c r="DT7" s="344"/>
      <c r="DU7" s="344"/>
      <c r="DV7" s="344"/>
      <c r="DW7" s="344"/>
      <c r="DX7" s="344"/>
      <c r="DY7" s="344"/>
      <c r="DZ7" s="344"/>
      <c r="EA7" s="344"/>
      <c r="EB7" s="344"/>
      <c r="EC7" s="344"/>
      <c r="ED7" s="344"/>
      <c r="EE7" s="344"/>
      <c r="EF7" s="344"/>
      <c r="EG7" s="344"/>
      <c r="EH7" s="344"/>
      <c r="EI7" s="344"/>
      <c r="EJ7" s="344"/>
      <c r="EK7" s="344"/>
      <c r="EL7" s="344"/>
      <c r="EM7" s="344"/>
      <c r="EN7" s="344"/>
      <c r="EO7" s="344"/>
      <c r="EP7" s="344"/>
      <c r="EQ7" s="344"/>
      <c r="ER7" s="344"/>
      <c r="ES7" s="344"/>
      <c r="ET7" s="344"/>
      <c r="EU7" s="344"/>
      <c r="EV7" s="344"/>
      <c r="EW7" s="344"/>
      <c r="EX7" s="344"/>
      <c r="EY7" s="344"/>
      <c r="EZ7" s="344"/>
      <c r="FA7" s="344"/>
      <c r="FB7" s="344"/>
      <c r="FC7" s="344"/>
      <c r="FD7" s="344"/>
      <c r="FE7" s="344"/>
      <c r="FF7" s="344"/>
      <c r="FG7" s="344"/>
      <c r="FH7" s="344"/>
      <c r="FI7" s="344"/>
      <c r="FJ7" s="344"/>
      <c r="FK7" s="344"/>
      <c r="FL7" s="344"/>
      <c r="FM7" s="344"/>
      <c r="FN7" s="344"/>
      <c r="FO7" s="344"/>
      <c r="FP7" s="344"/>
      <c r="FQ7" s="344"/>
      <c r="FR7" s="344"/>
      <c r="FS7" s="344"/>
      <c r="FT7" s="344"/>
      <c r="FU7" s="344"/>
      <c r="FV7" s="344"/>
      <c r="FW7" s="344"/>
      <c r="FX7" s="344"/>
      <c r="FY7" s="344"/>
      <c r="FZ7" s="344"/>
      <c r="GA7" s="344"/>
      <c r="GB7" s="344"/>
      <c r="GC7" s="344"/>
      <c r="GD7" s="344"/>
      <c r="GE7" s="344"/>
      <c r="GF7" s="344"/>
      <c r="GG7" s="344"/>
      <c r="GH7" s="344"/>
      <c r="GI7" s="344"/>
      <c r="GJ7" s="344"/>
      <c r="GK7" s="344"/>
      <c r="GL7" s="344"/>
      <c r="GM7" s="344"/>
      <c r="GN7" s="344"/>
      <c r="GO7" s="344"/>
      <c r="GP7" s="344"/>
      <c r="GQ7" s="344"/>
      <c r="GR7" s="344"/>
      <c r="GS7" s="344"/>
      <c r="GT7" s="344"/>
      <c r="GU7" s="344"/>
      <c r="GV7" s="344"/>
      <c r="GW7" s="344"/>
      <c r="GX7" s="344"/>
      <c r="GY7" s="344"/>
      <c r="GZ7" s="344"/>
      <c r="HA7" s="344"/>
      <c r="HB7" s="344"/>
      <c r="HC7" s="344"/>
      <c r="HD7" s="344"/>
      <c r="HE7" s="344"/>
      <c r="HF7" s="344"/>
      <c r="HG7" s="344"/>
      <c r="HH7" s="344"/>
      <c r="HI7" s="344"/>
      <c r="HJ7" s="344"/>
      <c r="HK7" s="344"/>
      <c r="HL7" s="344"/>
      <c r="HM7" s="344"/>
      <c r="HN7" s="344"/>
      <c r="HO7" s="344"/>
      <c r="HP7" s="344"/>
      <c r="HQ7" s="344"/>
      <c r="HR7" s="344"/>
      <c r="HS7" s="344"/>
      <c r="HT7" s="344"/>
      <c r="HU7" s="344"/>
      <c r="HV7" s="344"/>
      <c r="HW7" s="344"/>
      <c r="HX7" s="344"/>
      <c r="HY7" s="344"/>
      <c r="HZ7" s="344"/>
      <c r="IA7" s="344"/>
      <c r="IB7" s="344"/>
      <c r="IC7" s="344"/>
      <c r="ID7" s="344"/>
      <c r="IE7" s="344"/>
      <c r="IF7" s="344"/>
      <c r="IG7" s="344"/>
      <c r="IH7" s="344"/>
      <c r="II7" s="344"/>
      <c r="IJ7" s="344"/>
      <c r="IK7" s="344"/>
      <c r="IL7" s="344"/>
      <c r="IM7" s="344"/>
      <c r="IN7" s="344"/>
    </row>
    <row r="8" spans="1:248" x14ac:dyDescent="0.25">
      <c r="A8" s="711" t="str">
        <f>ID!B8</f>
        <v>Tanggal kalibrasi</v>
      </c>
      <c r="B8" s="711"/>
      <c r="C8" s="711"/>
      <c r="D8" s="471"/>
      <c r="E8" s="471" t="s">
        <v>7</v>
      </c>
      <c r="F8" s="711">
        <f>ID!E8</f>
        <v>44564</v>
      </c>
      <c r="G8" s="471"/>
      <c r="H8" s="471"/>
      <c r="I8" s="471"/>
      <c r="J8" s="344"/>
      <c r="K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4"/>
      <c r="AH8" s="344"/>
      <c r="AI8" s="344"/>
      <c r="AJ8" s="344"/>
      <c r="AK8" s="344"/>
      <c r="AL8" s="344"/>
      <c r="AM8" s="344"/>
      <c r="AN8" s="344"/>
      <c r="AO8" s="344"/>
      <c r="AP8" s="344"/>
      <c r="AQ8" s="344"/>
      <c r="AR8" s="344"/>
      <c r="AS8" s="344"/>
      <c r="AT8" s="344"/>
      <c r="AU8" s="344"/>
      <c r="AV8" s="344"/>
      <c r="AW8" s="344"/>
      <c r="AX8" s="344"/>
      <c r="AY8" s="344"/>
      <c r="AZ8" s="344"/>
      <c r="BA8" s="344"/>
      <c r="BB8" s="344"/>
      <c r="BC8" s="344"/>
      <c r="BD8" s="344"/>
      <c r="BE8" s="344"/>
      <c r="BF8" s="344"/>
      <c r="BG8" s="344"/>
      <c r="BH8" s="344"/>
      <c r="BI8" s="344"/>
      <c r="BJ8" s="344"/>
      <c r="BK8" s="344"/>
      <c r="BL8" s="344"/>
      <c r="BM8" s="344"/>
      <c r="BN8" s="344"/>
      <c r="BO8" s="344"/>
      <c r="BP8" s="344"/>
      <c r="BQ8" s="344"/>
      <c r="BR8" s="344"/>
      <c r="BS8" s="344"/>
      <c r="BT8" s="344"/>
      <c r="BU8" s="344"/>
      <c r="BV8" s="344"/>
      <c r="BW8" s="344"/>
      <c r="BX8" s="344"/>
      <c r="BY8" s="344"/>
      <c r="BZ8" s="344"/>
      <c r="CA8" s="344"/>
      <c r="CB8" s="344"/>
      <c r="CC8" s="344"/>
      <c r="CD8" s="344"/>
      <c r="CE8" s="344"/>
      <c r="CF8" s="344"/>
      <c r="CG8" s="344"/>
      <c r="CH8" s="344"/>
      <c r="CI8" s="344"/>
      <c r="CJ8" s="344"/>
      <c r="CK8" s="344"/>
      <c r="CL8" s="344"/>
      <c r="CM8" s="344"/>
      <c r="CN8" s="344"/>
      <c r="CO8" s="344"/>
      <c r="CP8" s="344"/>
      <c r="CQ8" s="344"/>
      <c r="CR8" s="344"/>
      <c r="CS8" s="344"/>
      <c r="CT8" s="344"/>
      <c r="CU8" s="344"/>
      <c r="CV8" s="344"/>
      <c r="CW8" s="344"/>
      <c r="CX8" s="344"/>
      <c r="CY8" s="344"/>
      <c r="CZ8" s="344"/>
      <c r="DA8" s="344"/>
      <c r="DB8" s="344"/>
      <c r="DC8" s="344"/>
      <c r="DD8" s="344"/>
      <c r="DE8" s="344"/>
      <c r="DF8" s="344"/>
      <c r="DG8" s="344"/>
      <c r="DH8" s="344"/>
      <c r="DI8" s="344"/>
      <c r="DJ8" s="344"/>
      <c r="DK8" s="344"/>
      <c r="DL8" s="344"/>
      <c r="DM8" s="344"/>
      <c r="DN8" s="344"/>
      <c r="DO8" s="344"/>
      <c r="DP8" s="344"/>
      <c r="DQ8" s="344"/>
      <c r="DR8" s="344"/>
      <c r="DS8" s="344"/>
      <c r="DT8" s="344"/>
      <c r="DU8" s="344"/>
      <c r="DV8" s="344"/>
      <c r="DW8" s="344"/>
      <c r="DX8" s="344"/>
      <c r="DY8" s="344"/>
      <c r="DZ8" s="344"/>
      <c r="EA8" s="344"/>
      <c r="EB8" s="344"/>
      <c r="EC8" s="344"/>
      <c r="ED8" s="344"/>
      <c r="EE8" s="344"/>
      <c r="EF8" s="344"/>
      <c r="EG8" s="344"/>
      <c r="EH8" s="344"/>
      <c r="EI8" s="344"/>
      <c r="EJ8" s="344"/>
      <c r="EK8" s="344"/>
      <c r="EL8" s="344"/>
      <c r="EM8" s="344"/>
      <c r="EN8" s="344"/>
      <c r="EO8" s="344"/>
      <c r="EP8" s="344"/>
      <c r="EQ8" s="344"/>
      <c r="ER8" s="344"/>
      <c r="ES8" s="344"/>
      <c r="ET8" s="344"/>
      <c r="EU8" s="344"/>
      <c r="EV8" s="344"/>
      <c r="EW8" s="344"/>
      <c r="EX8" s="344"/>
      <c r="EY8" s="344"/>
      <c r="EZ8" s="344"/>
      <c r="FA8" s="344"/>
      <c r="FB8" s="344"/>
      <c r="FC8" s="344"/>
      <c r="FD8" s="344"/>
      <c r="FE8" s="344"/>
      <c r="FF8" s="344"/>
      <c r="FG8" s="344"/>
      <c r="FH8" s="344"/>
      <c r="FI8" s="344"/>
      <c r="FJ8" s="344"/>
      <c r="FK8" s="344"/>
      <c r="FL8" s="344"/>
      <c r="FM8" s="344"/>
      <c r="FN8" s="344"/>
      <c r="FO8" s="344"/>
      <c r="FP8" s="344"/>
      <c r="FQ8" s="344"/>
      <c r="FR8" s="344"/>
      <c r="FS8" s="344"/>
      <c r="FT8" s="344"/>
      <c r="FU8" s="344"/>
      <c r="FV8" s="344"/>
      <c r="FW8" s="344"/>
      <c r="FX8" s="344"/>
      <c r="FY8" s="344"/>
      <c r="FZ8" s="344"/>
      <c r="GA8" s="344"/>
      <c r="GB8" s="344"/>
      <c r="GC8" s="344"/>
      <c r="GD8" s="344"/>
      <c r="GE8" s="344"/>
      <c r="GF8" s="344"/>
      <c r="GG8" s="344"/>
      <c r="GH8" s="344"/>
      <c r="GI8" s="344"/>
      <c r="GJ8" s="344"/>
      <c r="GK8" s="344"/>
      <c r="GL8" s="344"/>
      <c r="GM8" s="344"/>
      <c r="GN8" s="344"/>
      <c r="GO8" s="344"/>
      <c r="GP8" s="344"/>
      <c r="GQ8" s="344"/>
      <c r="GR8" s="344"/>
      <c r="GS8" s="344"/>
      <c r="GT8" s="344"/>
      <c r="GU8" s="344"/>
      <c r="GV8" s="344"/>
      <c r="GW8" s="344"/>
      <c r="GX8" s="344"/>
      <c r="GY8" s="344"/>
      <c r="GZ8" s="344"/>
      <c r="HA8" s="344"/>
      <c r="HB8" s="344"/>
      <c r="HC8" s="344"/>
      <c r="HD8" s="344"/>
      <c r="HE8" s="344"/>
      <c r="HF8" s="344"/>
      <c r="HG8" s="344"/>
      <c r="HH8" s="344"/>
      <c r="HI8" s="344"/>
      <c r="HJ8" s="344"/>
      <c r="HK8" s="344"/>
      <c r="HL8" s="344"/>
      <c r="HM8" s="344"/>
      <c r="HN8" s="344"/>
      <c r="HO8" s="344"/>
      <c r="HP8" s="344"/>
      <c r="HQ8" s="344"/>
      <c r="HR8" s="344"/>
      <c r="HS8" s="344"/>
      <c r="HT8" s="344"/>
      <c r="HU8" s="344"/>
      <c r="HV8" s="344"/>
      <c r="HW8" s="344"/>
      <c r="HX8" s="344"/>
      <c r="HY8" s="344"/>
      <c r="HZ8" s="344"/>
      <c r="IA8" s="344"/>
      <c r="IB8" s="344"/>
      <c r="IC8" s="344"/>
      <c r="ID8" s="344"/>
      <c r="IE8" s="344"/>
      <c r="IF8" s="344"/>
      <c r="IG8" s="344"/>
      <c r="IH8" s="344"/>
      <c r="II8" s="344"/>
      <c r="IJ8" s="344"/>
      <c r="IK8" s="344"/>
      <c r="IL8" s="344"/>
      <c r="IM8" s="344"/>
      <c r="IN8" s="344"/>
    </row>
    <row r="9" spans="1:248" x14ac:dyDescent="0.25">
      <c r="A9" s="1354" t="str">
        <f>ID!B9</f>
        <v>Tempat kalibrasi</v>
      </c>
      <c r="B9" s="1354"/>
      <c r="C9" s="1354"/>
      <c r="D9" s="471" t="s">
        <v>7</v>
      </c>
      <c r="E9" s="471" t="s">
        <v>7</v>
      </c>
      <c r="F9" s="711" t="str">
        <f>ID!E9</f>
        <v>-</v>
      </c>
      <c r="G9" s="471"/>
      <c r="H9" s="471"/>
      <c r="I9" s="471"/>
      <c r="J9" s="344"/>
      <c r="K9" s="344"/>
      <c r="M9" s="344"/>
      <c r="N9" s="344"/>
      <c r="O9" s="344"/>
      <c r="P9" s="344"/>
      <c r="Q9" s="344"/>
      <c r="R9" s="344"/>
      <c r="S9" s="344"/>
      <c r="T9" s="344"/>
      <c r="U9" s="344"/>
      <c r="V9" s="344"/>
      <c r="W9" s="344"/>
      <c r="X9" s="344"/>
      <c r="Y9" s="344"/>
      <c r="Z9" s="344"/>
      <c r="AA9" s="344"/>
      <c r="AB9" s="344"/>
      <c r="AC9" s="344"/>
      <c r="AD9" s="344"/>
      <c r="AE9" s="344"/>
      <c r="AF9" s="344"/>
      <c r="AG9" s="344"/>
      <c r="AH9" s="344"/>
      <c r="AI9" s="344"/>
      <c r="AJ9" s="344"/>
      <c r="AK9" s="344"/>
      <c r="AL9" s="344"/>
      <c r="AM9" s="344"/>
      <c r="AN9" s="344"/>
      <c r="AO9" s="344"/>
      <c r="AP9" s="344"/>
      <c r="AQ9" s="344"/>
      <c r="AR9" s="344"/>
      <c r="AS9" s="344"/>
      <c r="AT9" s="344"/>
      <c r="AU9" s="344"/>
      <c r="AV9" s="344"/>
      <c r="AW9" s="344"/>
      <c r="AX9" s="344"/>
      <c r="AY9" s="344"/>
      <c r="AZ9" s="344"/>
      <c r="BA9" s="344"/>
      <c r="BB9" s="344"/>
      <c r="BC9" s="344"/>
      <c r="BD9" s="344"/>
      <c r="BE9" s="344"/>
      <c r="BF9" s="344"/>
      <c r="BG9" s="344"/>
      <c r="BH9" s="344"/>
      <c r="BI9" s="344"/>
      <c r="BJ9" s="344"/>
      <c r="BK9" s="344"/>
      <c r="BL9" s="344"/>
      <c r="BM9" s="344"/>
      <c r="BN9" s="344"/>
      <c r="BO9" s="344"/>
      <c r="BP9" s="344"/>
      <c r="BQ9" s="344"/>
      <c r="BR9" s="344"/>
      <c r="BS9" s="344"/>
      <c r="BT9" s="344"/>
      <c r="BU9" s="344"/>
      <c r="BV9" s="344"/>
      <c r="BW9" s="344"/>
      <c r="BX9" s="344"/>
      <c r="BY9" s="344"/>
      <c r="BZ9" s="344"/>
      <c r="CA9" s="344"/>
      <c r="CB9" s="344"/>
      <c r="CC9" s="344"/>
      <c r="CD9" s="344"/>
      <c r="CE9" s="344"/>
      <c r="CF9" s="344"/>
      <c r="CG9" s="344"/>
      <c r="CH9" s="344"/>
      <c r="CI9" s="344"/>
      <c r="CJ9" s="344"/>
      <c r="CK9" s="344"/>
      <c r="CL9" s="344"/>
      <c r="CM9" s="344"/>
      <c r="CN9" s="344"/>
      <c r="CO9" s="344"/>
      <c r="CP9" s="344"/>
      <c r="CQ9" s="344"/>
      <c r="CR9" s="344"/>
      <c r="CS9" s="344"/>
      <c r="CT9" s="344"/>
      <c r="CU9" s="344"/>
      <c r="CV9" s="344"/>
      <c r="CW9" s="344"/>
      <c r="CX9" s="344"/>
      <c r="CY9" s="344"/>
      <c r="CZ9" s="344"/>
      <c r="DA9" s="344"/>
      <c r="DB9" s="344"/>
      <c r="DC9" s="344"/>
      <c r="DD9" s="344"/>
      <c r="DE9" s="344"/>
      <c r="DF9" s="344"/>
      <c r="DG9" s="344"/>
      <c r="DH9" s="344"/>
      <c r="DI9" s="344"/>
      <c r="DJ9" s="344"/>
      <c r="DK9" s="344"/>
      <c r="DL9" s="344"/>
      <c r="DM9" s="344"/>
      <c r="DN9" s="344"/>
      <c r="DO9" s="344"/>
      <c r="DP9" s="344"/>
      <c r="DQ9" s="344"/>
      <c r="DR9" s="344"/>
      <c r="DS9" s="344"/>
      <c r="DT9" s="344"/>
      <c r="DU9" s="344"/>
      <c r="DV9" s="344"/>
      <c r="DW9" s="344"/>
      <c r="DX9" s="344"/>
      <c r="DY9" s="344"/>
      <c r="DZ9" s="344"/>
      <c r="EA9" s="344"/>
      <c r="EB9" s="344"/>
      <c r="EC9" s="344"/>
      <c r="ED9" s="344"/>
      <c r="EE9" s="344"/>
      <c r="EF9" s="344"/>
      <c r="EG9" s="344"/>
      <c r="EH9" s="344"/>
      <c r="EI9" s="344"/>
      <c r="EJ9" s="344"/>
      <c r="EK9" s="344"/>
      <c r="EL9" s="344"/>
      <c r="EM9" s="344"/>
      <c r="EN9" s="344"/>
      <c r="EO9" s="344"/>
      <c r="EP9" s="344"/>
      <c r="EQ9" s="344"/>
      <c r="ER9" s="344"/>
      <c r="ES9" s="344"/>
      <c r="ET9" s="344"/>
      <c r="EU9" s="344"/>
      <c r="EV9" s="344"/>
      <c r="EW9" s="344"/>
      <c r="EX9" s="344"/>
      <c r="EY9" s="344"/>
      <c r="EZ9" s="344"/>
      <c r="FA9" s="344"/>
      <c r="FB9" s="344"/>
      <c r="FC9" s="344"/>
      <c r="FD9" s="344"/>
      <c r="FE9" s="344"/>
      <c r="FF9" s="344"/>
      <c r="FG9" s="344"/>
      <c r="FH9" s="344"/>
      <c r="FI9" s="344"/>
      <c r="FJ9" s="344"/>
      <c r="FK9" s="344"/>
      <c r="FL9" s="344"/>
      <c r="FM9" s="344"/>
      <c r="FN9" s="344"/>
      <c r="FO9" s="344"/>
      <c r="FP9" s="344"/>
      <c r="FQ9" s="344"/>
      <c r="FR9" s="344"/>
      <c r="FS9" s="344"/>
      <c r="FT9" s="344"/>
      <c r="FU9" s="344"/>
      <c r="FV9" s="344"/>
      <c r="FW9" s="344"/>
      <c r="FX9" s="344"/>
      <c r="FY9" s="344"/>
      <c r="FZ9" s="344"/>
      <c r="GA9" s="344"/>
      <c r="GB9" s="344"/>
      <c r="GC9" s="344"/>
      <c r="GD9" s="344"/>
      <c r="GE9" s="344"/>
      <c r="GF9" s="344"/>
      <c r="GG9" s="344"/>
      <c r="GH9" s="344"/>
      <c r="GI9" s="344"/>
      <c r="GJ9" s="344"/>
      <c r="GK9" s="344"/>
      <c r="GL9" s="344"/>
      <c r="GM9" s="344"/>
      <c r="GN9" s="344"/>
      <c r="GO9" s="344"/>
      <c r="GP9" s="344"/>
      <c r="GQ9" s="344"/>
      <c r="GR9" s="344"/>
      <c r="GS9" s="344"/>
      <c r="GT9" s="344"/>
      <c r="GU9" s="344"/>
      <c r="GV9" s="344"/>
      <c r="GW9" s="344"/>
      <c r="GX9" s="344"/>
      <c r="GY9" s="344"/>
      <c r="GZ9" s="344"/>
      <c r="HA9" s="344"/>
      <c r="HB9" s="344"/>
      <c r="HC9" s="344"/>
      <c r="HD9" s="344"/>
      <c r="HE9" s="344"/>
      <c r="HF9" s="344"/>
      <c r="HG9" s="344"/>
      <c r="HH9" s="344"/>
      <c r="HI9" s="344"/>
      <c r="HJ9" s="344"/>
      <c r="HK9" s="344"/>
      <c r="HL9" s="344"/>
      <c r="HM9" s="344"/>
      <c r="HN9" s="344"/>
      <c r="HO9" s="344"/>
      <c r="HP9" s="344"/>
      <c r="HQ9" s="344"/>
      <c r="HR9" s="344"/>
      <c r="HS9" s="344"/>
      <c r="HT9" s="344"/>
      <c r="HU9" s="344"/>
      <c r="HV9" s="344"/>
      <c r="HW9" s="344"/>
      <c r="HX9" s="344"/>
      <c r="HY9" s="344"/>
      <c r="HZ9" s="344"/>
      <c r="IA9" s="344"/>
      <c r="IB9" s="344"/>
      <c r="IC9" s="344"/>
      <c r="ID9" s="344"/>
      <c r="IE9" s="344"/>
      <c r="IF9" s="344"/>
      <c r="IG9" s="344"/>
      <c r="IH9" s="344"/>
      <c r="II9" s="344"/>
      <c r="IJ9" s="344"/>
      <c r="IK9" s="344"/>
      <c r="IL9" s="344"/>
      <c r="IM9" s="344"/>
      <c r="IN9" s="344"/>
    </row>
    <row r="10" spans="1:248" x14ac:dyDescent="0.25">
      <c r="A10" s="711" t="str">
        <f>ID!B10</f>
        <v>Nama ruang</v>
      </c>
      <c r="B10" s="711"/>
      <c r="C10" s="711"/>
      <c r="D10" s="471"/>
      <c r="E10" s="471" t="s">
        <v>7</v>
      </c>
      <c r="F10" s="711" t="str">
        <f>ID!E10</f>
        <v>-</v>
      </c>
      <c r="G10" s="471"/>
      <c r="H10" s="471"/>
      <c r="I10" s="471"/>
      <c r="J10" s="344"/>
      <c r="K10" s="344"/>
      <c r="M10" s="344"/>
      <c r="N10" s="344"/>
      <c r="O10" s="344"/>
      <c r="P10" s="344"/>
      <c r="Q10" s="344"/>
      <c r="R10" s="344"/>
      <c r="S10" s="344"/>
      <c r="T10" s="344"/>
      <c r="U10" s="344"/>
      <c r="V10" s="344"/>
      <c r="W10" s="344"/>
      <c r="X10" s="344"/>
      <c r="Y10" s="344"/>
      <c r="Z10" s="344"/>
      <c r="AA10" s="344"/>
      <c r="AB10" s="344"/>
      <c r="AC10" s="344"/>
      <c r="AD10" s="344"/>
      <c r="AE10" s="344"/>
      <c r="AF10" s="344"/>
      <c r="AG10" s="344"/>
      <c r="AH10" s="344"/>
      <c r="AI10" s="344"/>
      <c r="AJ10" s="344"/>
      <c r="AK10" s="344"/>
      <c r="AL10" s="344"/>
      <c r="AM10" s="344"/>
      <c r="AN10" s="344"/>
      <c r="AO10" s="344"/>
      <c r="AP10" s="344"/>
      <c r="AQ10" s="344"/>
      <c r="AR10" s="344"/>
      <c r="AS10" s="344"/>
      <c r="AT10" s="344"/>
      <c r="AU10" s="344"/>
      <c r="AV10" s="344"/>
      <c r="AW10" s="344"/>
      <c r="AX10" s="344"/>
      <c r="AY10" s="344"/>
      <c r="AZ10" s="344"/>
      <c r="BA10" s="344"/>
      <c r="BB10" s="344"/>
      <c r="BC10" s="344"/>
      <c r="BD10" s="344"/>
      <c r="BE10" s="344"/>
      <c r="BF10" s="344"/>
      <c r="BG10" s="344"/>
      <c r="BH10" s="344"/>
      <c r="BI10" s="344"/>
      <c r="BJ10" s="344"/>
      <c r="BK10" s="344"/>
      <c r="BL10" s="344"/>
      <c r="BM10" s="344"/>
      <c r="BN10" s="344"/>
      <c r="BO10" s="344"/>
      <c r="BP10" s="344"/>
      <c r="BQ10" s="344"/>
      <c r="BR10" s="344"/>
      <c r="BS10" s="344"/>
      <c r="BT10" s="344"/>
      <c r="BU10" s="344"/>
      <c r="BV10" s="344"/>
      <c r="BW10" s="344"/>
      <c r="BX10" s="344"/>
      <c r="BY10" s="344"/>
      <c r="BZ10" s="344"/>
      <c r="CA10" s="344"/>
      <c r="CB10" s="344"/>
      <c r="CC10" s="344"/>
      <c r="CD10" s="344"/>
      <c r="CE10" s="344"/>
      <c r="CF10" s="344"/>
      <c r="CG10" s="344"/>
      <c r="CH10" s="344"/>
      <c r="CI10" s="344"/>
      <c r="CJ10" s="344"/>
      <c r="CK10" s="344"/>
      <c r="CL10" s="344"/>
      <c r="CM10" s="344"/>
      <c r="CN10" s="344"/>
      <c r="CO10" s="344"/>
      <c r="CP10" s="344"/>
      <c r="CQ10" s="344"/>
      <c r="CR10" s="344"/>
      <c r="CS10" s="344"/>
      <c r="CT10" s="344"/>
      <c r="CU10" s="344"/>
      <c r="CV10" s="344"/>
      <c r="CW10" s="344"/>
      <c r="CX10" s="344"/>
      <c r="CY10" s="344"/>
      <c r="CZ10" s="344"/>
      <c r="DA10" s="344"/>
      <c r="DB10" s="344"/>
      <c r="DC10" s="344"/>
      <c r="DD10" s="344"/>
      <c r="DE10" s="344"/>
      <c r="DF10" s="344"/>
      <c r="DG10" s="344"/>
      <c r="DH10" s="344"/>
      <c r="DI10" s="344"/>
      <c r="DJ10" s="344"/>
      <c r="DK10" s="344"/>
      <c r="DL10" s="344"/>
      <c r="DM10" s="344"/>
      <c r="DN10" s="344"/>
      <c r="DO10" s="344"/>
      <c r="DP10" s="344"/>
      <c r="DQ10" s="344"/>
      <c r="DR10" s="344"/>
      <c r="DS10" s="344"/>
      <c r="DT10" s="344"/>
      <c r="DU10" s="344"/>
      <c r="DV10" s="344"/>
      <c r="DW10" s="344"/>
      <c r="DX10" s="344"/>
      <c r="DY10" s="344"/>
      <c r="DZ10" s="344"/>
      <c r="EA10" s="344"/>
      <c r="EB10" s="344"/>
      <c r="EC10" s="344"/>
      <c r="ED10" s="344"/>
      <c r="EE10" s="344"/>
      <c r="EF10" s="344"/>
      <c r="EG10" s="344"/>
      <c r="EH10" s="344"/>
      <c r="EI10" s="344"/>
      <c r="EJ10" s="344"/>
      <c r="EK10" s="344"/>
      <c r="EL10" s="344"/>
      <c r="EM10" s="344"/>
      <c r="EN10" s="344"/>
      <c r="EO10" s="344"/>
      <c r="EP10" s="344"/>
      <c r="EQ10" s="344"/>
      <c r="ER10" s="344"/>
      <c r="ES10" s="344"/>
      <c r="ET10" s="344"/>
      <c r="EU10" s="344"/>
      <c r="EV10" s="344"/>
      <c r="EW10" s="344"/>
      <c r="EX10" s="344"/>
      <c r="EY10" s="344"/>
      <c r="EZ10" s="344"/>
      <c r="FA10" s="344"/>
      <c r="FB10" s="344"/>
      <c r="FC10" s="344"/>
      <c r="FD10" s="344"/>
      <c r="FE10" s="344"/>
      <c r="FF10" s="344"/>
      <c r="FG10" s="344"/>
      <c r="FH10" s="344"/>
      <c r="FI10" s="344"/>
      <c r="FJ10" s="344"/>
      <c r="FK10" s="344"/>
      <c r="FL10" s="344"/>
      <c r="FM10" s="344"/>
      <c r="FN10" s="344"/>
      <c r="FO10" s="344"/>
      <c r="FP10" s="344"/>
      <c r="FQ10" s="344"/>
      <c r="FR10" s="344"/>
      <c r="FS10" s="344"/>
      <c r="FT10" s="344"/>
      <c r="FU10" s="344"/>
      <c r="FV10" s="344"/>
      <c r="FW10" s="344"/>
      <c r="FX10" s="344"/>
      <c r="FY10" s="344"/>
      <c r="FZ10" s="344"/>
      <c r="GA10" s="344"/>
      <c r="GB10" s="344"/>
      <c r="GC10" s="344"/>
      <c r="GD10" s="344"/>
      <c r="GE10" s="344"/>
      <c r="GF10" s="344"/>
      <c r="GG10" s="344"/>
      <c r="GH10" s="344"/>
      <c r="GI10" s="344"/>
      <c r="GJ10" s="344"/>
      <c r="GK10" s="344"/>
      <c r="GL10" s="344"/>
      <c r="GM10" s="344"/>
      <c r="GN10" s="344"/>
      <c r="GO10" s="344"/>
      <c r="GP10" s="344"/>
      <c r="GQ10" s="344"/>
      <c r="GR10" s="344"/>
      <c r="GS10" s="344"/>
      <c r="GT10" s="344"/>
      <c r="GU10" s="344"/>
      <c r="GV10" s="344"/>
      <c r="GW10" s="344"/>
      <c r="GX10" s="344"/>
      <c r="GY10" s="344"/>
      <c r="GZ10" s="344"/>
      <c r="HA10" s="344"/>
      <c r="HB10" s="344"/>
      <c r="HC10" s="344"/>
      <c r="HD10" s="344"/>
      <c r="HE10" s="344"/>
      <c r="HF10" s="344"/>
      <c r="HG10" s="344"/>
      <c r="HH10" s="344"/>
      <c r="HI10" s="344"/>
      <c r="HJ10" s="344"/>
      <c r="HK10" s="344"/>
      <c r="HL10" s="344"/>
      <c r="HM10" s="344"/>
      <c r="HN10" s="344"/>
      <c r="HO10" s="344"/>
      <c r="HP10" s="344"/>
      <c r="HQ10" s="344"/>
      <c r="HR10" s="344"/>
      <c r="HS10" s="344"/>
      <c r="HT10" s="344"/>
      <c r="HU10" s="344"/>
      <c r="HV10" s="344"/>
      <c r="HW10" s="344"/>
      <c r="HX10" s="344"/>
      <c r="HY10" s="344"/>
      <c r="HZ10" s="344"/>
      <c r="IA10" s="344"/>
      <c r="IB10" s="344"/>
      <c r="IC10" s="344"/>
      <c r="ID10" s="344"/>
      <c r="IE10" s="344"/>
      <c r="IF10" s="344"/>
      <c r="IG10" s="344"/>
      <c r="IH10" s="344"/>
      <c r="II10" s="344"/>
      <c r="IJ10" s="344"/>
      <c r="IK10" s="344"/>
      <c r="IL10" s="344"/>
      <c r="IM10" s="344"/>
      <c r="IN10" s="344"/>
    </row>
    <row r="11" spans="1:248" x14ac:dyDescent="0.25">
      <c r="A11" s="711" t="str">
        <f>ID!B17</f>
        <v>Metode kerja</v>
      </c>
      <c r="B11" s="711"/>
      <c r="C11" s="711"/>
      <c r="D11" s="471"/>
      <c r="E11" s="471" t="s">
        <v>7</v>
      </c>
      <c r="F11" s="711" t="str">
        <f>ID!E17</f>
        <v>MK 014-18</v>
      </c>
      <c r="G11" s="471"/>
      <c r="H11" s="471"/>
      <c r="I11" s="471"/>
      <c r="J11" s="344"/>
      <c r="K11" s="344"/>
      <c r="M11" s="344"/>
      <c r="N11" s="344"/>
      <c r="O11" s="344"/>
      <c r="P11" s="344"/>
      <c r="Q11" s="344"/>
      <c r="R11" s="344"/>
      <c r="S11" s="344"/>
      <c r="T11" s="344"/>
      <c r="U11" s="344"/>
      <c r="V11" s="344"/>
      <c r="W11" s="344"/>
      <c r="X11" s="344"/>
      <c r="Y11" s="344"/>
      <c r="Z11" s="344"/>
      <c r="AA11" s="344"/>
      <c r="AB11" s="344"/>
      <c r="AC11" s="344"/>
      <c r="AD11" s="344"/>
      <c r="AE11" s="344"/>
      <c r="AF11" s="344"/>
      <c r="AG11" s="344"/>
      <c r="AH11" s="344"/>
      <c r="AI11" s="344"/>
      <c r="AJ11" s="344"/>
      <c r="AK11" s="344"/>
      <c r="AL11" s="344"/>
      <c r="AM11" s="344"/>
      <c r="AN11" s="344"/>
      <c r="AO11" s="344"/>
      <c r="AP11" s="344"/>
      <c r="AQ11" s="344"/>
      <c r="AR11" s="344"/>
      <c r="AS11" s="344"/>
      <c r="AT11" s="344"/>
      <c r="AU11" s="344"/>
      <c r="AV11" s="344"/>
      <c r="AW11" s="344"/>
      <c r="AX11" s="344"/>
      <c r="AY11" s="344"/>
      <c r="AZ11" s="344"/>
      <c r="BA11" s="344"/>
      <c r="BB11" s="344"/>
      <c r="BC11" s="344"/>
      <c r="BD11" s="344"/>
      <c r="BE11" s="344"/>
      <c r="BF11" s="344"/>
      <c r="BG11" s="344"/>
      <c r="BH11" s="344"/>
      <c r="BI11" s="344"/>
      <c r="BJ11" s="344"/>
      <c r="BK11" s="344"/>
      <c r="BL11" s="344"/>
      <c r="BM11" s="344"/>
      <c r="BN11" s="344"/>
      <c r="BO11" s="344"/>
      <c r="BP11" s="344"/>
      <c r="BQ11" s="344"/>
      <c r="BR11" s="344"/>
      <c r="BS11" s="344"/>
      <c r="BT11" s="344"/>
      <c r="BU11" s="344"/>
      <c r="BV11" s="344"/>
      <c r="BW11" s="344"/>
      <c r="BX11" s="344"/>
      <c r="BY11" s="344"/>
      <c r="BZ11" s="344"/>
      <c r="CA11" s="344"/>
      <c r="CB11" s="344"/>
      <c r="CC11" s="344"/>
      <c r="CD11" s="344"/>
      <c r="CE11" s="344"/>
      <c r="CF11" s="344"/>
      <c r="CG11" s="344"/>
      <c r="CH11" s="344"/>
      <c r="CI11" s="344"/>
      <c r="CJ11" s="344"/>
      <c r="CK11" s="344"/>
      <c r="CL11" s="344"/>
      <c r="CM11" s="344"/>
      <c r="CN11" s="344"/>
      <c r="CO11" s="344"/>
      <c r="CP11" s="344"/>
      <c r="CQ11" s="344"/>
      <c r="CR11" s="344"/>
      <c r="CS11" s="344"/>
      <c r="CT11" s="344"/>
      <c r="CU11" s="344"/>
      <c r="CV11" s="344"/>
      <c r="CW11" s="344"/>
      <c r="CX11" s="344"/>
      <c r="CY11" s="344"/>
      <c r="CZ11" s="344"/>
      <c r="DA11" s="344"/>
      <c r="DB11" s="344"/>
      <c r="DC11" s="344"/>
      <c r="DD11" s="344"/>
      <c r="DE11" s="344"/>
      <c r="DF11" s="344"/>
      <c r="DG11" s="344"/>
      <c r="DH11" s="344"/>
      <c r="DI11" s="344"/>
      <c r="DJ11" s="344"/>
      <c r="DK11" s="344"/>
      <c r="DL11" s="344"/>
      <c r="DM11" s="344"/>
      <c r="DN11" s="344"/>
      <c r="DO11" s="344"/>
      <c r="DP11" s="344"/>
      <c r="DQ11" s="344"/>
      <c r="DR11" s="344"/>
      <c r="DS11" s="344"/>
      <c r="DT11" s="344"/>
      <c r="DU11" s="344"/>
      <c r="DV11" s="344"/>
      <c r="DW11" s="344"/>
      <c r="DX11" s="344"/>
      <c r="DY11" s="344"/>
      <c r="DZ11" s="344"/>
      <c r="EA11" s="344"/>
      <c r="EB11" s="344"/>
      <c r="EC11" s="344"/>
      <c r="ED11" s="344"/>
      <c r="EE11" s="344"/>
      <c r="EF11" s="344"/>
      <c r="EG11" s="344"/>
      <c r="EH11" s="344"/>
      <c r="EI11" s="344"/>
      <c r="EJ11" s="344"/>
      <c r="EK11" s="344"/>
      <c r="EL11" s="344"/>
      <c r="EM11" s="344"/>
      <c r="EN11" s="344"/>
      <c r="EO11" s="344"/>
      <c r="EP11" s="344"/>
      <c r="EQ11" s="344"/>
      <c r="ER11" s="344"/>
      <c r="ES11" s="344"/>
      <c r="ET11" s="344"/>
      <c r="EU11" s="344"/>
      <c r="EV11" s="344"/>
      <c r="EW11" s="344"/>
      <c r="EX11" s="344"/>
      <c r="EY11" s="344"/>
      <c r="EZ11" s="344"/>
      <c r="FA11" s="344"/>
      <c r="FB11" s="344"/>
      <c r="FC11" s="344"/>
      <c r="FD11" s="344"/>
      <c r="FE11" s="344"/>
      <c r="FF11" s="344"/>
      <c r="FG11" s="344"/>
      <c r="FH11" s="344"/>
      <c r="FI11" s="344"/>
      <c r="FJ11" s="344"/>
      <c r="FK11" s="344"/>
      <c r="FL11" s="344"/>
      <c r="FM11" s="344"/>
      <c r="FN11" s="344"/>
      <c r="FO11" s="344"/>
      <c r="FP11" s="344"/>
      <c r="FQ11" s="344"/>
      <c r="FR11" s="344"/>
      <c r="FS11" s="344"/>
      <c r="FT11" s="344"/>
      <c r="FU11" s="344"/>
      <c r="FV11" s="344"/>
      <c r="FW11" s="344"/>
      <c r="FX11" s="344"/>
      <c r="FY11" s="344"/>
      <c r="FZ11" s="344"/>
      <c r="GA11" s="344"/>
      <c r="GB11" s="344"/>
      <c r="GC11" s="344"/>
      <c r="GD11" s="344"/>
      <c r="GE11" s="344"/>
      <c r="GF11" s="344"/>
      <c r="GG11" s="344"/>
      <c r="GH11" s="344"/>
      <c r="GI11" s="344"/>
      <c r="GJ11" s="344"/>
      <c r="GK11" s="344"/>
      <c r="GL11" s="344"/>
      <c r="GM11" s="344"/>
      <c r="GN11" s="344"/>
      <c r="GO11" s="344"/>
      <c r="GP11" s="344"/>
      <c r="GQ11" s="344"/>
      <c r="GR11" s="344"/>
      <c r="GS11" s="344"/>
      <c r="GT11" s="344"/>
      <c r="GU11" s="344"/>
      <c r="GV11" s="344"/>
      <c r="GW11" s="344"/>
      <c r="GX11" s="344"/>
      <c r="GY11" s="344"/>
      <c r="GZ11" s="344"/>
      <c r="HA11" s="344"/>
      <c r="HB11" s="344"/>
      <c r="HC11" s="344"/>
      <c r="HD11" s="344"/>
      <c r="HE11" s="344"/>
      <c r="HF11" s="344"/>
      <c r="HG11" s="344"/>
      <c r="HH11" s="344"/>
      <c r="HI11" s="344"/>
      <c r="HJ11" s="344"/>
      <c r="HK11" s="344"/>
      <c r="HL11" s="344"/>
      <c r="HM11" s="344"/>
      <c r="HN11" s="344"/>
      <c r="HO11" s="344"/>
      <c r="HP11" s="344"/>
      <c r="HQ11" s="344"/>
      <c r="HR11" s="344"/>
      <c r="HS11" s="344"/>
      <c r="HT11" s="344"/>
      <c r="HU11" s="344"/>
      <c r="HV11" s="344"/>
      <c r="HW11" s="344"/>
      <c r="HX11" s="344"/>
      <c r="HY11" s="344"/>
      <c r="HZ11" s="344"/>
      <c r="IA11" s="344"/>
      <c r="IB11" s="344"/>
      <c r="IC11" s="344"/>
      <c r="ID11" s="344"/>
      <c r="IE11" s="344"/>
      <c r="IF11" s="344"/>
      <c r="IG11" s="344"/>
      <c r="IH11" s="344"/>
      <c r="II11" s="344"/>
      <c r="IJ11" s="344"/>
      <c r="IK11" s="344"/>
      <c r="IL11" s="344"/>
      <c r="IM11" s="344"/>
      <c r="IN11" s="344"/>
    </row>
    <row r="12" spans="1:248" ht="9" customHeight="1" x14ac:dyDescent="0.25">
      <c r="A12" s="711"/>
      <c r="B12" s="711"/>
      <c r="C12" s="711"/>
      <c r="D12" s="471"/>
      <c r="E12" s="471"/>
      <c r="F12" s="124"/>
      <c r="G12" s="471"/>
      <c r="H12" s="471"/>
      <c r="I12" s="471"/>
      <c r="J12" s="344"/>
      <c r="K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  <c r="X12" s="344"/>
      <c r="Y12" s="344"/>
      <c r="Z12" s="344"/>
      <c r="AA12" s="344"/>
      <c r="AB12" s="344"/>
      <c r="AC12" s="344"/>
      <c r="AD12" s="344"/>
      <c r="AE12" s="344"/>
      <c r="AF12" s="344"/>
      <c r="AG12" s="344"/>
      <c r="AH12" s="344"/>
      <c r="AI12" s="344"/>
      <c r="AJ12" s="344"/>
      <c r="AK12" s="344"/>
      <c r="AL12" s="344"/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4"/>
      <c r="AX12" s="344"/>
      <c r="AY12" s="344"/>
      <c r="AZ12" s="344"/>
      <c r="BA12" s="344"/>
      <c r="BB12" s="344"/>
      <c r="BC12" s="344"/>
      <c r="BD12" s="344"/>
      <c r="BE12" s="344"/>
      <c r="BF12" s="344"/>
      <c r="BG12" s="344"/>
      <c r="BH12" s="344"/>
      <c r="BI12" s="344"/>
      <c r="BJ12" s="344"/>
      <c r="BK12" s="344"/>
      <c r="BL12" s="344"/>
      <c r="BM12" s="344"/>
      <c r="BN12" s="344"/>
      <c r="BO12" s="344"/>
      <c r="BP12" s="344"/>
      <c r="BQ12" s="344"/>
      <c r="BR12" s="344"/>
      <c r="BS12" s="344"/>
      <c r="BT12" s="344"/>
      <c r="BU12" s="344"/>
      <c r="BV12" s="344"/>
      <c r="BW12" s="344"/>
      <c r="BX12" s="344"/>
      <c r="BY12" s="344"/>
      <c r="BZ12" s="344"/>
      <c r="CA12" s="344"/>
      <c r="CB12" s="344"/>
      <c r="CC12" s="344"/>
      <c r="CD12" s="344"/>
      <c r="CE12" s="344"/>
      <c r="CF12" s="344"/>
      <c r="CG12" s="344"/>
      <c r="CH12" s="344"/>
      <c r="CI12" s="344"/>
      <c r="CJ12" s="344"/>
      <c r="CK12" s="344"/>
      <c r="CL12" s="344"/>
      <c r="CM12" s="344"/>
      <c r="CN12" s="344"/>
      <c r="CO12" s="344"/>
      <c r="CP12" s="344"/>
      <c r="CQ12" s="344"/>
      <c r="CR12" s="344"/>
      <c r="CS12" s="344"/>
      <c r="CT12" s="344"/>
      <c r="CU12" s="344"/>
      <c r="CV12" s="344"/>
      <c r="CW12" s="344"/>
      <c r="CX12" s="344"/>
      <c r="CY12" s="344"/>
      <c r="CZ12" s="344"/>
      <c r="DA12" s="344"/>
      <c r="DB12" s="344"/>
      <c r="DC12" s="344"/>
      <c r="DD12" s="344"/>
      <c r="DE12" s="344"/>
      <c r="DF12" s="344"/>
      <c r="DG12" s="344"/>
      <c r="DH12" s="344"/>
      <c r="DI12" s="344"/>
      <c r="DJ12" s="344"/>
      <c r="DK12" s="344"/>
      <c r="DL12" s="344"/>
      <c r="DM12" s="344"/>
      <c r="DN12" s="344"/>
      <c r="DO12" s="344"/>
      <c r="DP12" s="344"/>
      <c r="DQ12" s="344"/>
      <c r="DR12" s="344"/>
      <c r="DS12" s="344"/>
      <c r="DT12" s="344"/>
      <c r="DU12" s="344"/>
      <c r="DV12" s="344"/>
      <c r="DW12" s="344"/>
      <c r="DX12" s="344"/>
      <c r="DY12" s="344"/>
      <c r="DZ12" s="344"/>
      <c r="EA12" s="344"/>
      <c r="EB12" s="344"/>
      <c r="EC12" s="344"/>
      <c r="ED12" s="344"/>
      <c r="EE12" s="344"/>
      <c r="EF12" s="344"/>
      <c r="EG12" s="344"/>
      <c r="EH12" s="344"/>
      <c r="EI12" s="344"/>
      <c r="EJ12" s="344"/>
      <c r="EK12" s="344"/>
      <c r="EL12" s="344"/>
      <c r="EM12" s="344"/>
      <c r="EN12" s="344"/>
      <c r="EO12" s="344"/>
      <c r="EP12" s="344"/>
      <c r="EQ12" s="344"/>
      <c r="ER12" s="344"/>
      <c r="ES12" s="344"/>
      <c r="ET12" s="344"/>
      <c r="EU12" s="344"/>
      <c r="EV12" s="344"/>
      <c r="EW12" s="344"/>
      <c r="EX12" s="344"/>
      <c r="EY12" s="344"/>
      <c r="EZ12" s="344"/>
      <c r="FA12" s="344"/>
      <c r="FB12" s="344"/>
      <c r="FC12" s="344"/>
      <c r="FD12" s="344"/>
      <c r="FE12" s="344"/>
      <c r="FF12" s="344"/>
      <c r="FG12" s="344"/>
      <c r="FH12" s="344"/>
      <c r="FI12" s="344"/>
      <c r="FJ12" s="344"/>
      <c r="FK12" s="344"/>
      <c r="FL12" s="344"/>
      <c r="FM12" s="344"/>
      <c r="FN12" s="344"/>
      <c r="FO12" s="344"/>
      <c r="FP12" s="344"/>
      <c r="FQ12" s="344"/>
      <c r="FR12" s="344"/>
      <c r="FS12" s="344"/>
      <c r="FT12" s="344"/>
      <c r="FU12" s="344"/>
      <c r="FV12" s="344"/>
      <c r="FW12" s="344"/>
      <c r="FX12" s="344"/>
      <c r="FY12" s="344"/>
      <c r="FZ12" s="344"/>
      <c r="GA12" s="344"/>
      <c r="GB12" s="344"/>
      <c r="GC12" s="344"/>
      <c r="GD12" s="344"/>
      <c r="GE12" s="344"/>
      <c r="GF12" s="344"/>
      <c r="GG12" s="344"/>
      <c r="GH12" s="344"/>
      <c r="GI12" s="344"/>
      <c r="GJ12" s="344"/>
      <c r="GK12" s="344"/>
      <c r="GL12" s="344"/>
      <c r="GM12" s="344"/>
      <c r="GN12" s="344"/>
      <c r="GO12" s="344"/>
      <c r="GP12" s="344"/>
      <c r="GQ12" s="344"/>
      <c r="GR12" s="344"/>
      <c r="GS12" s="344"/>
      <c r="GT12" s="344"/>
      <c r="GU12" s="344"/>
      <c r="GV12" s="344"/>
      <c r="GW12" s="344"/>
      <c r="GX12" s="344"/>
      <c r="GY12" s="344"/>
      <c r="GZ12" s="344"/>
      <c r="HA12" s="344"/>
      <c r="HB12" s="344"/>
      <c r="HC12" s="344"/>
      <c r="HD12" s="344"/>
      <c r="HE12" s="344"/>
      <c r="HF12" s="344"/>
      <c r="HG12" s="344"/>
      <c r="HH12" s="344"/>
      <c r="HI12" s="344"/>
      <c r="HJ12" s="344"/>
      <c r="HK12" s="344"/>
      <c r="HL12" s="344"/>
      <c r="HM12" s="344"/>
      <c r="HN12" s="344"/>
      <c r="HO12" s="344"/>
      <c r="HP12" s="344"/>
      <c r="HQ12" s="344"/>
      <c r="HR12" s="344"/>
      <c r="HS12" s="344"/>
      <c r="HT12" s="344"/>
      <c r="HU12" s="344"/>
      <c r="HV12" s="344"/>
      <c r="HW12" s="344"/>
      <c r="HX12" s="344"/>
      <c r="HY12" s="344"/>
      <c r="HZ12" s="344"/>
      <c r="IA12" s="344"/>
      <c r="IB12" s="344"/>
      <c r="IC12" s="344"/>
      <c r="ID12" s="344"/>
      <c r="IE12" s="344"/>
      <c r="IF12" s="344"/>
      <c r="IG12" s="344"/>
      <c r="IH12" s="344"/>
      <c r="II12" s="344"/>
      <c r="IJ12" s="344"/>
      <c r="IK12" s="344"/>
      <c r="IL12" s="344"/>
      <c r="IM12" s="344"/>
      <c r="IN12" s="344"/>
    </row>
    <row r="13" spans="1:248" x14ac:dyDescent="0.25">
      <c r="A13" s="669" t="s">
        <v>229</v>
      </c>
      <c r="B13" s="1356" t="s">
        <v>230</v>
      </c>
      <c r="C13" s="1356"/>
      <c r="D13" s="1356"/>
      <c r="E13" s="1356"/>
      <c r="F13" s="1356"/>
      <c r="G13" s="1356"/>
      <c r="H13" s="471"/>
      <c r="I13" s="471"/>
      <c r="J13" s="344"/>
      <c r="K13" s="344"/>
      <c r="M13" s="344"/>
      <c r="N13" s="344"/>
      <c r="O13" s="344"/>
      <c r="P13" s="344"/>
      <c r="Q13" s="344"/>
      <c r="R13" s="344"/>
      <c r="S13" s="344"/>
      <c r="T13" s="344"/>
      <c r="U13" s="344"/>
      <c r="V13" s="344"/>
      <c r="W13" s="344"/>
      <c r="X13" s="344"/>
      <c r="Y13" s="344"/>
      <c r="Z13" s="344"/>
      <c r="AA13" s="344"/>
      <c r="AB13" s="344"/>
      <c r="AC13" s="344"/>
      <c r="AD13" s="344"/>
      <c r="AE13" s="344"/>
      <c r="AF13" s="344"/>
      <c r="AG13" s="344"/>
      <c r="AH13" s="344"/>
      <c r="AI13" s="344"/>
      <c r="AJ13" s="344"/>
      <c r="AK13" s="344"/>
      <c r="AL13" s="344"/>
      <c r="AM13" s="344"/>
      <c r="AN13" s="344"/>
      <c r="AO13" s="344"/>
      <c r="AP13" s="344"/>
      <c r="AQ13" s="344"/>
      <c r="AR13" s="344"/>
      <c r="AS13" s="344"/>
      <c r="AT13" s="344"/>
      <c r="AU13" s="344"/>
      <c r="AV13" s="344"/>
      <c r="AW13" s="344"/>
      <c r="AX13" s="344"/>
      <c r="AY13" s="344"/>
      <c r="AZ13" s="344"/>
      <c r="BA13" s="344"/>
      <c r="BB13" s="344"/>
      <c r="BC13" s="344"/>
      <c r="BD13" s="344"/>
      <c r="BE13" s="344"/>
      <c r="BF13" s="344"/>
      <c r="BG13" s="344"/>
      <c r="BH13" s="344"/>
      <c r="BI13" s="344"/>
      <c r="BJ13" s="344"/>
      <c r="BK13" s="344"/>
      <c r="BL13" s="344"/>
      <c r="BM13" s="344"/>
      <c r="BN13" s="344"/>
      <c r="BO13" s="344"/>
      <c r="BP13" s="344"/>
      <c r="BQ13" s="344"/>
      <c r="BR13" s="344"/>
      <c r="BS13" s="344"/>
      <c r="BT13" s="344"/>
      <c r="BU13" s="344"/>
      <c r="BV13" s="344"/>
      <c r="BW13" s="344"/>
      <c r="BX13" s="344"/>
      <c r="BY13" s="344"/>
      <c r="BZ13" s="344"/>
      <c r="CA13" s="344"/>
      <c r="CB13" s="344"/>
      <c r="CC13" s="344"/>
      <c r="CD13" s="344"/>
      <c r="CE13" s="344"/>
      <c r="CF13" s="344"/>
      <c r="CG13" s="344"/>
      <c r="CH13" s="344"/>
      <c r="CI13" s="344"/>
      <c r="CJ13" s="344"/>
      <c r="CK13" s="344"/>
      <c r="CL13" s="344"/>
      <c r="CM13" s="344"/>
      <c r="CN13" s="344"/>
      <c r="CO13" s="344"/>
      <c r="CP13" s="344"/>
      <c r="CQ13" s="344"/>
      <c r="CR13" s="344"/>
      <c r="CS13" s="344"/>
      <c r="CT13" s="344"/>
      <c r="CU13" s="344"/>
      <c r="CV13" s="344"/>
      <c r="CW13" s="344"/>
      <c r="CX13" s="344"/>
      <c r="CY13" s="344"/>
      <c r="CZ13" s="344"/>
      <c r="DA13" s="344"/>
      <c r="DB13" s="344"/>
      <c r="DC13" s="344"/>
      <c r="DD13" s="344"/>
      <c r="DE13" s="344"/>
      <c r="DF13" s="344"/>
      <c r="DG13" s="344"/>
      <c r="DH13" s="344"/>
      <c r="DI13" s="344"/>
      <c r="DJ13" s="344"/>
      <c r="DK13" s="344"/>
      <c r="DL13" s="344"/>
      <c r="DM13" s="344"/>
      <c r="DN13" s="344"/>
      <c r="DO13" s="344"/>
      <c r="DP13" s="344"/>
      <c r="DQ13" s="344"/>
      <c r="DR13" s="344"/>
      <c r="DS13" s="344"/>
      <c r="DT13" s="344"/>
      <c r="DU13" s="344"/>
      <c r="DV13" s="344"/>
      <c r="DW13" s="344"/>
      <c r="DX13" s="344"/>
      <c r="DY13" s="344"/>
      <c r="DZ13" s="344"/>
      <c r="EA13" s="344"/>
      <c r="EB13" s="344"/>
      <c r="EC13" s="344"/>
      <c r="ED13" s="344"/>
      <c r="EE13" s="344"/>
      <c r="EF13" s="344"/>
      <c r="EG13" s="344"/>
      <c r="EH13" s="344"/>
      <c r="EI13" s="344"/>
      <c r="EJ13" s="344"/>
      <c r="EK13" s="344"/>
      <c r="EL13" s="344"/>
      <c r="EM13" s="344"/>
      <c r="EN13" s="344"/>
      <c r="EO13" s="344"/>
      <c r="EP13" s="344"/>
      <c r="EQ13" s="344"/>
      <c r="ER13" s="344"/>
      <c r="ES13" s="344"/>
      <c r="ET13" s="344"/>
      <c r="EU13" s="344"/>
      <c r="EV13" s="344"/>
      <c r="EW13" s="344"/>
      <c r="EX13" s="344"/>
      <c r="EY13" s="344"/>
      <c r="EZ13" s="344"/>
      <c r="FA13" s="344"/>
      <c r="FB13" s="344"/>
      <c r="FC13" s="344"/>
      <c r="FD13" s="344"/>
      <c r="FE13" s="344"/>
      <c r="FF13" s="344"/>
      <c r="FG13" s="344"/>
      <c r="FH13" s="344"/>
      <c r="FI13" s="344"/>
      <c r="FJ13" s="344"/>
      <c r="FK13" s="344"/>
      <c r="FL13" s="344"/>
      <c r="FM13" s="344"/>
      <c r="FN13" s="344"/>
      <c r="FO13" s="344"/>
      <c r="FP13" s="344"/>
      <c r="FQ13" s="344"/>
      <c r="FR13" s="344"/>
      <c r="FS13" s="344"/>
      <c r="FT13" s="344"/>
      <c r="FU13" s="344"/>
      <c r="FV13" s="344"/>
      <c r="FW13" s="344"/>
      <c r="FX13" s="344"/>
      <c r="FY13" s="344"/>
      <c r="FZ13" s="344"/>
      <c r="GA13" s="344"/>
      <c r="GB13" s="344"/>
      <c r="GC13" s="344"/>
      <c r="GD13" s="344"/>
      <c r="GE13" s="344"/>
      <c r="GF13" s="344"/>
      <c r="GG13" s="344"/>
      <c r="GH13" s="344"/>
      <c r="GI13" s="344"/>
      <c r="GJ13" s="344"/>
      <c r="GK13" s="344"/>
      <c r="GL13" s="344"/>
      <c r="GM13" s="344"/>
      <c r="GN13" s="344"/>
      <c r="GO13" s="344"/>
      <c r="GP13" s="344"/>
      <c r="GQ13" s="344"/>
      <c r="GR13" s="344"/>
      <c r="GS13" s="344"/>
      <c r="GT13" s="344"/>
      <c r="GU13" s="344"/>
      <c r="GV13" s="344"/>
      <c r="GW13" s="344"/>
      <c r="GX13" s="344"/>
      <c r="GY13" s="344"/>
      <c r="GZ13" s="344"/>
      <c r="HA13" s="344"/>
      <c r="HB13" s="344"/>
      <c r="HC13" s="344"/>
      <c r="HD13" s="344"/>
      <c r="HE13" s="344"/>
      <c r="HF13" s="344"/>
      <c r="HG13" s="344"/>
      <c r="HH13" s="344"/>
      <c r="HI13" s="344"/>
      <c r="HJ13" s="344"/>
      <c r="HK13" s="344"/>
      <c r="HL13" s="344"/>
      <c r="HM13" s="344"/>
      <c r="HN13" s="344"/>
      <c r="HO13" s="344"/>
      <c r="HP13" s="344"/>
      <c r="HQ13" s="344"/>
      <c r="HR13" s="344"/>
      <c r="HS13" s="344"/>
      <c r="HT13" s="344"/>
      <c r="HU13" s="344"/>
      <c r="HV13" s="344"/>
      <c r="HW13" s="344"/>
      <c r="HX13" s="344"/>
      <c r="HY13" s="344"/>
      <c r="HZ13" s="344"/>
      <c r="IA13" s="344"/>
      <c r="IB13" s="344"/>
      <c r="IC13" s="344"/>
      <c r="ID13" s="344"/>
      <c r="IE13" s="344"/>
      <c r="IF13" s="344"/>
      <c r="IG13" s="344"/>
      <c r="IH13" s="344"/>
      <c r="II13" s="344"/>
      <c r="IJ13" s="344"/>
      <c r="IK13" s="344"/>
      <c r="IL13" s="344"/>
      <c r="IM13" s="344"/>
      <c r="IN13" s="344"/>
    </row>
    <row r="14" spans="1:248" x14ac:dyDescent="0.25">
      <c r="A14" s="711"/>
      <c r="B14" s="1354" t="s">
        <v>231</v>
      </c>
      <c r="C14" s="1354"/>
      <c r="D14" s="471" t="s">
        <v>7</v>
      </c>
      <c r="E14" s="471" t="s">
        <v>7</v>
      </c>
      <c r="F14" s="1124">
        <f>ID!L33</f>
        <v>22.86</v>
      </c>
      <c r="G14" s="1125" t="s">
        <v>810</v>
      </c>
      <c r="H14" s="1122">
        <f>THERMOHYGROMETER!Q15</f>
        <v>0.8</v>
      </c>
      <c r="I14" s="711" t="str">
        <f>ID!N33</f>
        <v xml:space="preserve"> °C</v>
      </c>
      <c r="J14" s="344"/>
      <c r="K14" s="344"/>
      <c r="M14" s="344"/>
      <c r="N14" s="344"/>
      <c r="O14" s="344"/>
      <c r="P14" s="344"/>
      <c r="Q14" s="344"/>
      <c r="R14" s="344"/>
      <c r="S14" s="344"/>
      <c r="T14" s="344"/>
      <c r="U14" s="344"/>
      <c r="V14" s="344"/>
      <c r="W14" s="344"/>
      <c r="X14" s="344"/>
      <c r="Y14" s="344"/>
      <c r="Z14" s="344"/>
      <c r="AA14" s="344"/>
      <c r="AB14" s="344"/>
      <c r="AC14" s="344"/>
      <c r="AD14" s="344"/>
      <c r="AE14" s="344"/>
      <c r="AF14" s="344"/>
      <c r="AG14" s="344"/>
      <c r="AH14" s="344"/>
      <c r="AI14" s="344"/>
      <c r="AJ14" s="344"/>
      <c r="AK14" s="344"/>
      <c r="AL14" s="344"/>
      <c r="AM14" s="344"/>
      <c r="AN14" s="344"/>
      <c r="AO14" s="344"/>
      <c r="AP14" s="344"/>
      <c r="AQ14" s="344"/>
      <c r="AR14" s="344"/>
      <c r="AS14" s="344"/>
      <c r="AT14" s="344"/>
      <c r="AU14" s="344"/>
      <c r="AV14" s="344"/>
      <c r="AW14" s="344"/>
      <c r="AX14" s="344"/>
      <c r="AY14" s="344"/>
      <c r="AZ14" s="344"/>
      <c r="BA14" s="344"/>
      <c r="BB14" s="344"/>
      <c r="BC14" s="344"/>
      <c r="BD14" s="344"/>
      <c r="BE14" s="344"/>
      <c r="BF14" s="344"/>
      <c r="BG14" s="344"/>
      <c r="BH14" s="344"/>
      <c r="BI14" s="344"/>
      <c r="BJ14" s="344"/>
      <c r="BK14" s="344"/>
      <c r="BL14" s="344"/>
      <c r="BM14" s="344"/>
      <c r="BN14" s="344"/>
      <c r="BO14" s="344"/>
      <c r="BP14" s="344"/>
      <c r="BQ14" s="344"/>
      <c r="BR14" s="344"/>
      <c r="BS14" s="344"/>
      <c r="BT14" s="344"/>
      <c r="BU14" s="344"/>
      <c r="BV14" s="344"/>
      <c r="BW14" s="344"/>
      <c r="BX14" s="344"/>
      <c r="BY14" s="344"/>
      <c r="BZ14" s="344"/>
      <c r="CA14" s="344"/>
      <c r="CB14" s="344"/>
      <c r="CC14" s="344"/>
      <c r="CD14" s="344"/>
      <c r="CE14" s="344"/>
      <c r="CF14" s="344"/>
      <c r="CG14" s="344"/>
      <c r="CH14" s="344"/>
      <c r="CI14" s="344"/>
      <c r="CJ14" s="344"/>
      <c r="CK14" s="344"/>
      <c r="CL14" s="344"/>
      <c r="CM14" s="344"/>
      <c r="CN14" s="344"/>
      <c r="CO14" s="344"/>
      <c r="CP14" s="344"/>
      <c r="CQ14" s="344"/>
      <c r="CR14" s="344"/>
      <c r="CS14" s="344"/>
      <c r="CT14" s="344"/>
      <c r="CU14" s="344"/>
      <c r="CV14" s="344"/>
      <c r="CW14" s="344"/>
      <c r="CX14" s="344"/>
      <c r="CY14" s="344"/>
      <c r="CZ14" s="344"/>
      <c r="DA14" s="344"/>
      <c r="DB14" s="344"/>
      <c r="DC14" s="344"/>
      <c r="DD14" s="344"/>
      <c r="DE14" s="344"/>
      <c r="DF14" s="344"/>
      <c r="DG14" s="344"/>
      <c r="DH14" s="344"/>
      <c r="DI14" s="344"/>
      <c r="DJ14" s="344"/>
      <c r="DK14" s="344"/>
      <c r="DL14" s="344"/>
      <c r="DM14" s="344"/>
      <c r="DN14" s="344"/>
      <c r="DO14" s="344"/>
      <c r="DP14" s="344"/>
      <c r="DQ14" s="344"/>
      <c r="DR14" s="344"/>
      <c r="DS14" s="344"/>
      <c r="DT14" s="344"/>
      <c r="DU14" s="344"/>
      <c r="DV14" s="344"/>
      <c r="DW14" s="344"/>
      <c r="DX14" s="344"/>
      <c r="DY14" s="344"/>
      <c r="DZ14" s="344"/>
      <c r="EA14" s="344"/>
      <c r="EB14" s="344"/>
      <c r="EC14" s="344"/>
      <c r="ED14" s="344"/>
      <c r="EE14" s="344"/>
      <c r="EF14" s="344"/>
      <c r="EG14" s="344"/>
      <c r="EH14" s="344"/>
      <c r="EI14" s="344"/>
      <c r="EJ14" s="344"/>
      <c r="EK14" s="344"/>
      <c r="EL14" s="344"/>
      <c r="EM14" s="344"/>
      <c r="EN14" s="344"/>
      <c r="EO14" s="344"/>
      <c r="EP14" s="344"/>
      <c r="EQ14" s="344"/>
      <c r="ER14" s="344"/>
      <c r="ES14" s="344"/>
      <c r="ET14" s="344"/>
      <c r="EU14" s="344"/>
      <c r="EV14" s="344"/>
      <c r="EW14" s="344"/>
      <c r="EX14" s="344"/>
      <c r="EY14" s="344"/>
      <c r="EZ14" s="344"/>
      <c r="FA14" s="344"/>
      <c r="FB14" s="344"/>
      <c r="FC14" s="344"/>
      <c r="FD14" s="344"/>
      <c r="FE14" s="344"/>
      <c r="FF14" s="344"/>
      <c r="FG14" s="344"/>
      <c r="FH14" s="344"/>
      <c r="FI14" s="344"/>
      <c r="FJ14" s="344"/>
      <c r="FK14" s="344"/>
      <c r="FL14" s="344"/>
      <c r="FM14" s="344"/>
      <c r="FN14" s="344"/>
      <c r="FO14" s="344"/>
      <c r="FP14" s="344"/>
      <c r="FQ14" s="344"/>
      <c r="FR14" s="344"/>
      <c r="FS14" s="344"/>
      <c r="FT14" s="344"/>
      <c r="FU14" s="344"/>
      <c r="FV14" s="344"/>
      <c r="FW14" s="344"/>
      <c r="FX14" s="344"/>
      <c r="FY14" s="344"/>
      <c r="FZ14" s="344"/>
      <c r="GA14" s="344"/>
      <c r="GB14" s="344"/>
      <c r="GC14" s="344"/>
      <c r="GD14" s="344"/>
      <c r="GE14" s="344"/>
      <c r="GF14" s="344"/>
      <c r="GG14" s="344"/>
      <c r="GH14" s="344"/>
      <c r="GI14" s="344"/>
      <c r="GJ14" s="344"/>
      <c r="GK14" s="344"/>
      <c r="GL14" s="344"/>
      <c r="GM14" s="344"/>
      <c r="GN14" s="344"/>
      <c r="GO14" s="344"/>
      <c r="GP14" s="344"/>
      <c r="GQ14" s="344"/>
      <c r="GR14" s="344"/>
      <c r="GS14" s="344"/>
      <c r="GT14" s="344"/>
      <c r="GU14" s="344"/>
      <c r="GV14" s="344"/>
      <c r="GW14" s="344"/>
      <c r="GX14" s="344"/>
      <c r="GY14" s="344"/>
      <c r="GZ14" s="344"/>
      <c r="HA14" s="344"/>
      <c r="HB14" s="344"/>
      <c r="HC14" s="344"/>
      <c r="HD14" s="344"/>
      <c r="HE14" s="344"/>
      <c r="HF14" s="344"/>
      <c r="HG14" s="344"/>
      <c r="HH14" s="344"/>
      <c r="HI14" s="344"/>
      <c r="HJ14" s="344"/>
      <c r="HK14" s="344"/>
      <c r="HL14" s="344"/>
      <c r="HM14" s="344"/>
      <c r="HN14" s="344"/>
      <c r="HO14" s="344"/>
      <c r="HP14" s="344"/>
      <c r="HQ14" s="344"/>
      <c r="HR14" s="344"/>
      <c r="HS14" s="344"/>
      <c r="HT14" s="344"/>
      <c r="HU14" s="344"/>
      <c r="HV14" s="344"/>
      <c r="HW14" s="344"/>
      <c r="HX14" s="344"/>
      <c r="HY14" s="344"/>
      <c r="HZ14" s="344"/>
      <c r="IA14" s="344"/>
      <c r="IB14" s="344"/>
      <c r="IC14" s="344"/>
      <c r="ID14" s="344"/>
      <c r="IE14" s="344"/>
      <c r="IF14" s="344"/>
      <c r="IG14" s="344"/>
      <c r="IH14" s="344"/>
      <c r="II14" s="344"/>
      <c r="IJ14" s="344"/>
      <c r="IK14" s="344"/>
      <c r="IL14" s="344"/>
      <c r="IM14" s="344"/>
      <c r="IN14" s="344"/>
    </row>
    <row r="15" spans="1:248" x14ac:dyDescent="0.25">
      <c r="A15" s="711"/>
      <c r="B15" s="1354" t="s">
        <v>232</v>
      </c>
      <c r="C15" s="1354"/>
      <c r="D15" s="471" t="s">
        <v>7</v>
      </c>
      <c r="E15" s="471" t="s">
        <v>7</v>
      </c>
      <c r="F15" s="1124">
        <f>ID!L34</f>
        <v>55.265500000000003</v>
      </c>
      <c r="G15" s="1125" t="s">
        <v>810</v>
      </c>
      <c r="H15" s="1122">
        <f>THERMOHYGROMETER!T15</f>
        <v>2.2000000000000002</v>
      </c>
      <c r="I15" s="1116" t="str">
        <f>ID!N34</f>
        <v xml:space="preserve"> %RH</v>
      </c>
      <c r="J15" s="344"/>
      <c r="K15" s="344"/>
      <c r="M15" s="344"/>
      <c r="N15" s="344"/>
      <c r="O15" s="344"/>
      <c r="P15" s="344"/>
      <c r="Q15" s="344"/>
      <c r="R15" s="344"/>
      <c r="S15" s="344"/>
      <c r="T15" s="344"/>
      <c r="U15" s="344"/>
      <c r="V15" s="344"/>
      <c r="W15" s="344"/>
      <c r="X15" s="344"/>
      <c r="Y15" s="344"/>
      <c r="Z15" s="344"/>
      <c r="AA15" s="344"/>
      <c r="AB15" s="344"/>
      <c r="AC15" s="344"/>
      <c r="AD15" s="344"/>
      <c r="AE15" s="344"/>
      <c r="AF15" s="344"/>
      <c r="AG15" s="344"/>
      <c r="AH15" s="344"/>
      <c r="AI15" s="344"/>
      <c r="AJ15" s="344"/>
      <c r="AK15" s="344"/>
      <c r="AL15" s="344"/>
      <c r="AM15" s="344"/>
      <c r="AN15" s="344"/>
      <c r="AO15" s="344"/>
      <c r="AP15" s="344"/>
      <c r="AQ15" s="344"/>
      <c r="AR15" s="344"/>
      <c r="AS15" s="344"/>
      <c r="AT15" s="344"/>
      <c r="AU15" s="344"/>
      <c r="AV15" s="344"/>
      <c r="AW15" s="344"/>
      <c r="AX15" s="344"/>
      <c r="AY15" s="344"/>
      <c r="AZ15" s="344"/>
      <c r="BA15" s="344"/>
      <c r="BB15" s="344"/>
      <c r="BC15" s="344"/>
      <c r="BD15" s="344"/>
      <c r="BE15" s="344"/>
      <c r="BF15" s="344"/>
      <c r="BG15" s="344"/>
      <c r="BH15" s="344"/>
      <c r="BI15" s="344"/>
      <c r="BJ15" s="344"/>
      <c r="BK15" s="344"/>
      <c r="BL15" s="344"/>
      <c r="BM15" s="344"/>
      <c r="BN15" s="344"/>
      <c r="BO15" s="344"/>
      <c r="BP15" s="344"/>
      <c r="BQ15" s="344"/>
      <c r="BR15" s="344"/>
      <c r="BS15" s="344"/>
      <c r="BT15" s="344"/>
      <c r="BU15" s="344"/>
      <c r="BV15" s="344"/>
      <c r="BW15" s="344"/>
      <c r="BX15" s="344"/>
      <c r="BY15" s="344"/>
      <c r="BZ15" s="344"/>
      <c r="CA15" s="344"/>
      <c r="CB15" s="344"/>
      <c r="CC15" s="344"/>
      <c r="CD15" s="344"/>
      <c r="CE15" s="344"/>
      <c r="CF15" s="344"/>
      <c r="CG15" s="344"/>
      <c r="CH15" s="344"/>
      <c r="CI15" s="344"/>
      <c r="CJ15" s="344"/>
      <c r="CK15" s="344"/>
      <c r="CL15" s="344"/>
      <c r="CM15" s="344"/>
      <c r="CN15" s="344"/>
      <c r="CO15" s="344"/>
      <c r="CP15" s="344"/>
      <c r="CQ15" s="344"/>
      <c r="CR15" s="344"/>
      <c r="CS15" s="344"/>
      <c r="CT15" s="344"/>
      <c r="CU15" s="344"/>
      <c r="CV15" s="344"/>
      <c r="CW15" s="344"/>
      <c r="CX15" s="344"/>
      <c r="CY15" s="344"/>
      <c r="CZ15" s="344"/>
      <c r="DA15" s="344"/>
      <c r="DB15" s="344"/>
      <c r="DC15" s="344"/>
      <c r="DD15" s="344"/>
      <c r="DE15" s="344"/>
      <c r="DF15" s="344"/>
      <c r="DG15" s="344"/>
      <c r="DH15" s="344"/>
      <c r="DI15" s="344"/>
      <c r="DJ15" s="344"/>
      <c r="DK15" s="344"/>
      <c r="DL15" s="344"/>
      <c r="DM15" s="344"/>
      <c r="DN15" s="344"/>
      <c r="DO15" s="344"/>
      <c r="DP15" s="344"/>
      <c r="DQ15" s="344"/>
      <c r="DR15" s="344"/>
      <c r="DS15" s="344"/>
      <c r="DT15" s="344"/>
      <c r="DU15" s="344"/>
      <c r="DV15" s="344"/>
      <c r="DW15" s="344"/>
      <c r="DX15" s="344"/>
      <c r="DY15" s="344"/>
      <c r="DZ15" s="344"/>
      <c r="EA15" s="344"/>
      <c r="EB15" s="344"/>
      <c r="EC15" s="344"/>
      <c r="ED15" s="344"/>
      <c r="EE15" s="344"/>
      <c r="EF15" s="344"/>
      <c r="EG15" s="344"/>
      <c r="EH15" s="344"/>
      <c r="EI15" s="344"/>
      <c r="EJ15" s="344"/>
      <c r="EK15" s="344"/>
      <c r="EL15" s="344"/>
      <c r="EM15" s="344"/>
      <c r="EN15" s="344"/>
      <c r="EO15" s="344"/>
      <c r="EP15" s="344"/>
      <c r="EQ15" s="344"/>
      <c r="ER15" s="344"/>
      <c r="ES15" s="344"/>
      <c r="ET15" s="344"/>
      <c r="EU15" s="344"/>
      <c r="EV15" s="344"/>
      <c r="EW15" s="344"/>
      <c r="EX15" s="344"/>
      <c r="EY15" s="344"/>
      <c r="EZ15" s="344"/>
      <c r="FA15" s="344"/>
      <c r="FB15" s="344"/>
      <c r="FC15" s="344"/>
      <c r="FD15" s="344"/>
      <c r="FE15" s="344"/>
      <c r="FF15" s="344"/>
      <c r="FG15" s="344"/>
      <c r="FH15" s="344"/>
      <c r="FI15" s="344"/>
      <c r="FJ15" s="344"/>
      <c r="FK15" s="344"/>
      <c r="FL15" s="344"/>
      <c r="FM15" s="344"/>
      <c r="FN15" s="344"/>
      <c r="FO15" s="344"/>
      <c r="FP15" s="344"/>
      <c r="FQ15" s="344"/>
      <c r="FR15" s="344"/>
      <c r="FS15" s="344"/>
      <c r="FT15" s="344"/>
      <c r="FU15" s="344"/>
      <c r="FV15" s="344"/>
      <c r="FW15" s="344"/>
      <c r="FX15" s="344"/>
      <c r="FY15" s="344"/>
      <c r="FZ15" s="344"/>
      <c r="GA15" s="344"/>
      <c r="GB15" s="344"/>
      <c r="GC15" s="344"/>
      <c r="GD15" s="344"/>
      <c r="GE15" s="344"/>
      <c r="GF15" s="344"/>
      <c r="GG15" s="344"/>
      <c r="GH15" s="344"/>
      <c r="GI15" s="344"/>
      <c r="GJ15" s="344"/>
      <c r="GK15" s="344"/>
      <c r="GL15" s="344"/>
      <c r="GM15" s="344"/>
      <c r="GN15" s="344"/>
      <c r="GO15" s="344"/>
      <c r="GP15" s="344"/>
      <c r="GQ15" s="344"/>
      <c r="GR15" s="344"/>
      <c r="GS15" s="344"/>
      <c r="GT15" s="344"/>
      <c r="GU15" s="344"/>
      <c r="GV15" s="344"/>
      <c r="GW15" s="344"/>
      <c r="GX15" s="344"/>
      <c r="GY15" s="344"/>
      <c r="GZ15" s="344"/>
      <c r="HA15" s="344"/>
      <c r="HB15" s="344"/>
      <c r="HC15" s="344"/>
      <c r="HD15" s="344"/>
      <c r="HE15" s="344"/>
      <c r="HF15" s="344"/>
      <c r="HG15" s="344"/>
      <c r="HH15" s="344"/>
      <c r="HI15" s="344"/>
      <c r="HJ15" s="344"/>
      <c r="HK15" s="344"/>
      <c r="HL15" s="344"/>
      <c r="HM15" s="344"/>
      <c r="HN15" s="344"/>
      <c r="HO15" s="344"/>
      <c r="HP15" s="344"/>
      <c r="HQ15" s="344"/>
      <c r="HR15" s="344"/>
      <c r="HS15" s="344"/>
      <c r="HT15" s="344"/>
      <c r="HU15" s="344"/>
      <c r="HV15" s="344"/>
      <c r="HW15" s="344"/>
      <c r="HX15" s="344"/>
      <c r="HY15" s="344"/>
      <c r="HZ15" s="344"/>
      <c r="IA15" s="344"/>
      <c r="IB15" s="344"/>
      <c r="IC15" s="344"/>
      <c r="ID15" s="344"/>
      <c r="IE15" s="344"/>
      <c r="IF15" s="344"/>
      <c r="IG15" s="344"/>
      <c r="IH15" s="344"/>
      <c r="II15" s="344"/>
      <c r="IJ15" s="344"/>
      <c r="IK15" s="344"/>
      <c r="IL15" s="344"/>
      <c r="IM15" s="344"/>
      <c r="IN15" s="344"/>
    </row>
    <row r="16" spans="1:248" ht="18" customHeight="1" x14ac:dyDescent="0.25">
      <c r="A16" s="711"/>
      <c r="B16" s="470" t="s">
        <v>233</v>
      </c>
      <c r="C16" s="711"/>
      <c r="D16" s="471"/>
      <c r="E16" s="471" t="s">
        <v>7</v>
      </c>
      <c r="F16" s="1124" t="str">
        <f>ID!H35</f>
        <v>-</v>
      </c>
      <c r="G16" s="1125" t="s">
        <v>810</v>
      </c>
      <c r="H16" s="1123" t="str">
        <f>IF(F16="-","",VOLT!O17)</f>
        <v/>
      </c>
      <c r="I16" s="711" t="str">
        <f>ID!J35</f>
        <v xml:space="preserve">  Volt</v>
      </c>
      <c r="J16" s="344"/>
      <c r="K16" s="344"/>
      <c r="L16" s="341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  <c r="X16" s="344"/>
      <c r="Y16" s="344"/>
      <c r="Z16" s="344"/>
      <c r="AA16" s="344"/>
      <c r="AB16" s="344"/>
      <c r="AC16" s="344"/>
      <c r="AD16" s="344"/>
      <c r="AE16" s="344"/>
      <c r="AF16" s="344"/>
      <c r="AG16" s="344"/>
      <c r="AH16" s="344"/>
      <c r="AI16" s="344"/>
      <c r="AJ16" s="344"/>
      <c r="AK16" s="344"/>
      <c r="AL16" s="344"/>
      <c r="AM16" s="344"/>
      <c r="AN16" s="344"/>
      <c r="AO16" s="344"/>
      <c r="AP16" s="344"/>
      <c r="AQ16" s="344"/>
      <c r="AR16" s="344"/>
      <c r="AS16" s="344"/>
      <c r="AT16" s="344"/>
      <c r="AU16" s="344"/>
      <c r="AV16" s="344"/>
      <c r="AW16" s="344"/>
      <c r="AX16" s="344"/>
      <c r="AY16" s="344"/>
      <c r="AZ16" s="344"/>
      <c r="BA16" s="344"/>
      <c r="BB16" s="344"/>
      <c r="BC16" s="344"/>
      <c r="BD16" s="344"/>
      <c r="BE16" s="344"/>
      <c r="BF16" s="344"/>
      <c r="BG16" s="344"/>
      <c r="BH16" s="344"/>
      <c r="BI16" s="344"/>
      <c r="BJ16" s="344"/>
      <c r="BK16" s="344"/>
      <c r="BL16" s="344"/>
      <c r="BM16" s="344"/>
      <c r="BN16" s="344"/>
      <c r="BO16" s="344"/>
      <c r="BP16" s="344"/>
      <c r="BQ16" s="344"/>
      <c r="BR16" s="344"/>
      <c r="BS16" s="344"/>
      <c r="BT16" s="344"/>
      <c r="BU16" s="344"/>
      <c r="BV16" s="344"/>
      <c r="BW16" s="344"/>
      <c r="BX16" s="344"/>
      <c r="BY16" s="344"/>
      <c r="BZ16" s="344"/>
      <c r="CA16" s="344"/>
      <c r="CB16" s="344"/>
      <c r="CC16" s="344"/>
      <c r="CD16" s="344"/>
      <c r="CE16" s="344"/>
      <c r="CF16" s="344"/>
      <c r="CG16" s="344"/>
      <c r="CH16" s="344"/>
      <c r="CI16" s="344"/>
      <c r="CJ16" s="344"/>
      <c r="CK16" s="344"/>
      <c r="CL16" s="344"/>
      <c r="CM16" s="344"/>
      <c r="CN16" s="344"/>
      <c r="CO16" s="344"/>
      <c r="CP16" s="344"/>
      <c r="CQ16" s="344"/>
      <c r="CR16" s="344"/>
      <c r="CS16" s="344"/>
      <c r="CT16" s="344"/>
      <c r="CU16" s="344"/>
      <c r="CV16" s="344"/>
      <c r="CW16" s="344"/>
      <c r="CX16" s="344"/>
      <c r="CY16" s="344"/>
      <c r="CZ16" s="344"/>
      <c r="DA16" s="344"/>
      <c r="DB16" s="344"/>
      <c r="DC16" s="344"/>
      <c r="DD16" s="344"/>
      <c r="DE16" s="344"/>
      <c r="DF16" s="344"/>
      <c r="DG16" s="344"/>
      <c r="DH16" s="344"/>
      <c r="DI16" s="344"/>
      <c r="DJ16" s="344"/>
      <c r="DK16" s="344"/>
      <c r="DL16" s="344"/>
      <c r="DM16" s="344"/>
      <c r="DN16" s="344"/>
      <c r="DO16" s="344"/>
      <c r="DP16" s="344"/>
      <c r="DQ16" s="344"/>
      <c r="DR16" s="344"/>
      <c r="DS16" s="344"/>
      <c r="DT16" s="344"/>
      <c r="DU16" s="344"/>
      <c r="DV16" s="344"/>
      <c r="DW16" s="344"/>
      <c r="DX16" s="344"/>
      <c r="DY16" s="344"/>
      <c r="DZ16" s="344"/>
      <c r="EA16" s="344"/>
      <c r="EB16" s="344"/>
      <c r="EC16" s="344"/>
      <c r="ED16" s="344"/>
      <c r="EE16" s="344"/>
      <c r="EF16" s="344"/>
      <c r="EG16" s="344"/>
      <c r="EH16" s="344"/>
      <c r="EI16" s="344"/>
      <c r="EJ16" s="344"/>
      <c r="EK16" s="344"/>
      <c r="EL16" s="344"/>
      <c r="EM16" s="344"/>
      <c r="EN16" s="344"/>
      <c r="EO16" s="344"/>
      <c r="EP16" s="344"/>
      <c r="EQ16" s="344"/>
      <c r="ER16" s="344"/>
      <c r="ES16" s="344"/>
      <c r="ET16" s="344"/>
      <c r="EU16" s="344"/>
      <c r="EV16" s="344"/>
      <c r="EW16" s="344"/>
      <c r="EX16" s="344"/>
      <c r="EY16" s="344"/>
      <c r="EZ16" s="344"/>
      <c r="FA16" s="344"/>
      <c r="FB16" s="344"/>
      <c r="FC16" s="344"/>
      <c r="FD16" s="344"/>
      <c r="FE16" s="344"/>
      <c r="FF16" s="344"/>
      <c r="FG16" s="344"/>
      <c r="FH16" s="344"/>
      <c r="FI16" s="344"/>
      <c r="FJ16" s="344"/>
      <c r="FK16" s="344"/>
      <c r="FL16" s="344"/>
      <c r="FM16" s="344"/>
      <c r="FN16" s="344"/>
      <c r="FO16" s="344"/>
      <c r="FP16" s="344"/>
      <c r="FQ16" s="344"/>
      <c r="FR16" s="344"/>
      <c r="FS16" s="344"/>
      <c r="FT16" s="344"/>
      <c r="FU16" s="344"/>
      <c r="FV16" s="344"/>
      <c r="FW16" s="344"/>
      <c r="FX16" s="344"/>
      <c r="FY16" s="344"/>
      <c r="FZ16" s="344"/>
      <c r="GA16" s="344"/>
      <c r="GB16" s="344"/>
      <c r="GC16" s="344"/>
      <c r="GD16" s="344"/>
      <c r="GE16" s="344"/>
      <c r="GF16" s="344"/>
      <c r="GG16" s="344"/>
      <c r="GH16" s="344"/>
      <c r="GI16" s="344"/>
      <c r="GJ16" s="344"/>
      <c r="GK16" s="344"/>
      <c r="GL16" s="344"/>
      <c r="GM16" s="344"/>
      <c r="GN16" s="344"/>
      <c r="GO16" s="344"/>
      <c r="GP16" s="344"/>
      <c r="GQ16" s="344"/>
      <c r="GR16" s="344"/>
      <c r="GS16" s="344"/>
      <c r="GT16" s="344"/>
      <c r="GU16" s="344"/>
      <c r="GV16" s="344"/>
      <c r="GW16" s="344"/>
      <c r="GX16" s="344"/>
      <c r="GY16" s="344"/>
      <c r="GZ16" s="344"/>
      <c r="HA16" s="344"/>
      <c r="HB16" s="344"/>
      <c r="HC16" s="344"/>
      <c r="HD16" s="344"/>
      <c r="HE16" s="344"/>
      <c r="HF16" s="344"/>
      <c r="HG16" s="344"/>
      <c r="HH16" s="344"/>
      <c r="HI16" s="344"/>
      <c r="HJ16" s="344"/>
      <c r="HK16" s="344"/>
      <c r="HL16" s="344"/>
      <c r="HM16" s="344"/>
      <c r="HN16" s="344"/>
      <c r="HO16" s="344"/>
      <c r="HP16" s="344"/>
      <c r="HQ16" s="344"/>
      <c r="HR16" s="344"/>
      <c r="HS16" s="344"/>
      <c r="HT16" s="344"/>
      <c r="HU16" s="344"/>
      <c r="HV16" s="344"/>
      <c r="HW16" s="344"/>
      <c r="HX16" s="344"/>
      <c r="HY16" s="344"/>
      <c r="HZ16" s="344"/>
      <c r="IA16" s="344"/>
      <c r="IB16" s="344"/>
      <c r="IC16" s="344"/>
      <c r="ID16" s="344"/>
      <c r="IE16" s="344"/>
      <c r="IF16" s="344"/>
      <c r="IG16" s="344"/>
      <c r="IH16" s="344"/>
      <c r="II16" s="344"/>
      <c r="IJ16" s="344"/>
      <c r="IK16" s="344"/>
      <c r="IL16" s="344"/>
      <c r="IM16" s="344"/>
      <c r="IN16" s="344"/>
    </row>
    <row r="17" spans="1:248" x14ac:dyDescent="0.25">
      <c r="A17" s="342" t="s">
        <v>33</v>
      </c>
      <c r="B17" s="343" t="s">
        <v>234</v>
      </c>
      <c r="C17" s="343"/>
      <c r="D17" s="343"/>
      <c r="E17" s="343"/>
      <c r="F17" s="343"/>
      <c r="G17" s="343"/>
      <c r="H17" s="343"/>
      <c r="I17" s="344"/>
      <c r="J17" s="344"/>
      <c r="K17" s="344"/>
      <c r="L17" s="341"/>
      <c r="M17" s="344"/>
      <c r="N17" s="344"/>
      <c r="O17" s="344"/>
      <c r="P17" s="344"/>
      <c r="Q17" s="344"/>
      <c r="R17" s="344"/>
      <c r="S17" s="344"/>
      <c r="T17" s="344"/>
      <c r="U17" s="344"/>
      <c r="V17" s="344"/>
      <c r="W17" s="344"/>
      <c r="X17" s="344"/>
      <c r="Y17" s="344"/>
      <c r="Z17" s="344"/>
      <c r="AA17" s="344"/>
      <c r="AB17" s="344"/>
      <c r="AC17" s="344"/>
      <c r="AD17" s="344"/>
      <c r="AE17" s="344"/>
      <c r="AF17" s="344"/>
      <c r="AG17" s="344"/>
      <c r="AH17" s="344"/>
      <c r="AI17" s="344"/>
      <c r="AJ17" s="344"/>
      <c r="AK17" s="344"/>
      <c r="AL17" s="344"/>
      <c r="AM17" s="344"/>
      <c r="AN17" s="344"/>
      <c r="AO17" s="344"/>
      <c r="AP17" s="344"/>
      <c r="AQ17" s="344"/>
      <c r="AR17" s="344"/>
      <c r="AS17" s="344"/>
      <c r="AT17" s="344"/>
      <c r="AU17" s="344"/>
      <c r="AV17" s="344"/>
      <c r="AW17" s="344"/>
      <c r="AX17" s="344"/>
      <c r="AY17" s="344"/>
      <c r="AZ17" s="344"/>
      <c r="BA17" s="344"/>
      <c r="BB17" s="344"/>
      <c r="BC17" s="344"/>
      <c r="BD17" s="344"/>
      <c r="BE17" s="344"/>
      <c r="BF17" s="344"/>
      <c r="BG17" s="344"/>
      <c r="BH17" s="344"/>
      <c r="BI17" s="344"/>
      <c r="BJ17" s="344"/>
      <c r="BK17" s="344"/>
      <c r="BL17" s="344"/>
      <c r="BM17" s="344"/>
      <c r="BN17" s="344"/>
      <c r="BO17" s="344"/>
      <c r="BP17" s="344"/>
      <c r="BQ17" s="344"/>
      <c r="BR17" s="344"/>
      <c r="BS17" s="344"/>
      <c r="BT17" s="344"/>
      <c r="BU17" s="344"/>
      <c r="BV17" s="344"/>
      <c r="BW17" s="344"/>
      <c r="BX17" s="344"/>
      <c r="BY17" s="344"/>
      <c r="BZ17" s="344"/>
      <c r="CA17" s="344"/>
      <c r="CB17" s="344"/>
      <c r="CC17" s="344"/>
      <c r="CD17" s="344"/>
      <c r="CE17" s="344"/>
      <c r="CF17" s="344"/>
      <c r="CG17" s="344"/>
      <c r="CH17" s="344"/>
      <c r="CI17" s="344"/>
      <c r="CJ17" s="344"/>
      <c r="CK17" s="344"/>
      <c r="CL17" s="344"/>
      <c r="CM17" s="344"/>
      <c r="CN17" s="344"/>
      <c r="CO17" s="344"/>
      <c r="CP17" s="344"/>
      <c r="CQ17" s="344"/>
      <c r="CR17" s="344"/>
      <c r="CS17" s="344"/>
      <c r="CT17" s="344"/>
      <c r="CU17" s="344"/>
      <c r="CV17" s="344"/>
      <c r="CW17" s="344"/>
      <c r="CX17" s="344"/>
      <c r="CY17" s="344"/>
      <c r="CZ17" s="344"/>
      <c r="DA17" s="344"/>
      <c r="DB17" s="344"/>
      <c r="DC17" s="344"/>
      <c r="DD17" s="344"/>
      <c r="DE17" s="344"/>
      <c r="DF17" s="344"/>
      <c r="DG17" s="344"/>
      <c r="DH17" s="344"/>
      <c r="DI17" s="344"/>
      <c r="DJ17" s="344"/>
      <c r="DK17" s="344"/>
      <c r="DL17" s="344"/>
      <c r="DM17" s="344"/>
      <c r="DN17" s="344"/>
      <c r="DO17" s="344"/>
      <c r="DP17" s="344"/>
      <c r="DQ17" s="344"/>
      <c r="DR17" s="344"/>
      <c r="DS17" s="344"/>
      <c r="DT17" s="344"/>
      <c r="DU17" s="344"/>
      <c r="DV17" s="344"/>
      <c r="DW17" s="344"/>
      <c r="DX17" s="344"/>
      <c r="DY17" s="344"/>
      <c r="DZ17" s="344"/>
      <c r="EA17" s="344"/>
      <c r="EB17" s="344"/>
      <c r="EC17" s="344"/>
      <c r="ED17" s="344"/>
      <c r="EE17" s="344"/>
      <c r="EF17" s="344"/>
      <c r="EG17" s="344"/>
      <c r="EH17" s="344"/>
      <c r="EI17" s="344"/>
      <c r="EJ17" s="344"/>
      <c r="EK17" s="344"/>
      <c r="EL17" s="344"/>
      <c r="EM17" s="344"/>
      <c r="EN17" s="344"/>
      <c r="EO17" s="344"/>
      <c r="EP17" s="344"/>
      <c r="EQ17" s="344"/>
      <c r="ER17" s="344"/>
      <c r="ES17" s="344"/>
      <c r="ET17" s="344"/>
      <c r="EU17" s="344"/>
      <c r="EV17" s="344"/>
      <c r="EW17" s="344"/>
      <c r="EX17" s="344"/>
      <c r="EY17" s="344"/>
      <c r="EZ17" s="344"/>
      <c r="FA17" s="344"/>
      <c r="FB17" s="344"/>
      <c r="FC17" s="344"/>
      <c r="FD17" s="344"/>
      <c r="FE17" s="344"/>
      <c r="FF17" s="344"/>
      <c r="FG17" s="344"/>
      <c r="FH17" s="344"/>
      <c r="FI17" s="344"/>
      <c r="FJ17" s="344"/>
      <c r="FK17" s="344"/>
      <c r="FL17" s="344"/>
      <c r="FM17" s="344"/>
      <c r="FN17" s="344"/>
      <c r="FO17" s="344"/>
      <c r="FP17" s="344"/>
      <c r="FQ17" s="344"/>
      <c r="FR17" s="344"/>
      <c r="FS17" s="344"/>
      <c r="FT17" s="344"/>
      <c r="FU17" s="344"/>
      <c r="FV17" s="344"/>
      <c r="FW17" s="344"/>
      <c r="FX17" s="344"/>
      <c r="FY17" s="344"/>
      <c r="FZ17" s="344"/>
      <c r="GA17" s="344"/>
      <c r="GB17" s="344"/>
      <c r="GC17" s="344"/>
      <c r="GD17" s="344"/>
      <c r="GE17" s="344"/>
      <c r="GF17" s="344"/>
      <c r="GG17" s="344"/>
      <c r="GH17" s="344"/>
      <c r="GI17" s="344"/>
      <c r="GJ17" s="344"/>
      <c r="GK17" s="344"/>
      <c r="GL17" s="344"/>
      <c r="GM17" s="344"/>
      <c r="GN17" s="344"/>
      <c r="GO17" s="344"/>
      <c r="GP17" s="344"/>
      <c r="GQ17" s="344"/>
      <c r="GR17" s="344"/>
      <c r="GS17" s="344"/>
      <c r="GT17" s="344"/>
      <c r="GU17" s="344"/>
      <c r="GV17" s="344"/>
      <c r="GW17" s="344"/>
      <c r="GX17" s="344"/>
      <c r="GY17" s="344"/>
      <c r="GZ17" s="344"/>
      <c r="HA17" s="344"/>
      <c r="HB17" s="344"/>
      <c r="HC17" s="344"/>
      <c r="HD17" s="344"/>
      <c r="HE17" s="344"/>
      <c r="HF17" s="344"/>
      <c r="HG17" s="344"/>
      <c r="HH17" s="344"/>
      <c r="HI17" s="344"/>
      <c r="HJ17" s="344"/>
      <c r="HK17" s="344"/>
      <c r="HL17" s="344"/>
      <c r="HM17" s="344"/>
      <c r="HN17" s="344"/>
      <c r="HO17" s="344"/>
      <c r="HP17" s="344"/>
      <c r="HQ17" s="344"/>
      <c r="HR17" s="344"/>
      <c r="HS17" s="344"/>
      <c r="HT17" s="344"/>
      <c r="HU17" s="344"/>
      <c r="HV17" s="344"/>
      <c r="HW17" s="344"/>
      <c r="HX17" s="344"/>
      <c r="HY17" s="344"/>
      <c r="HZ17" s="344"/>
      <c r="IA17" s="344"/>
      <c r="IB17" s="344"/>
      <c r="IC17" s="344"/>
      <c r="ID17" s="344"/>
      <c r="IE17" s="344"/>
      <c r="IF17" s="344"/>
      <c r="IG17" s="344"/>
      <c r="IH17" s="344"/>
      <c r="II17" s="344"/>
      <c r="IJ17" s="344"/>
      <c r="IK17" s="344"/>
      <c r="IL17" s="344"/>
      <c r="IM17" s="344"/>
      <c r="IN17" s="344"/>
    </row>
    <row r="18" spans="1:248" x14ac:dyDescent="0.25">
      <c r="A18" s="712"/>
      <c r="B18" s="344" t="s">
        <v>235</v>
      </c>
      <c r="C18" s="344"/>
      <c r="D18" s="344" t="s">
        <v>236</v>
      </c>
      <c r="E18" s="344" t="s">
        <v>7</v>
      </c>
      <c r="F18" s="712" t="str">
        <f>ID!D37</f>
        <v>Baik</v>
      </c>
      <c r="G18" s="344"/>
      <c r="H18" s="344"/>
      <c r="I18" s="344"/>
      <c r="J18" s="344"/>
      <c r="K18" s="344"/>
      <c r="M18" s="1345">
        <f>P18</f>
        <v>10</v>
      </c>
      <c r="N18" s="344"/>
      <c r="O18" s="649">
        <f>IF(F18="Baik",5,IF(F18="Tidak Baik",0))</f>
        <v>5</v>
      </c>
      <c r="P18" s="1344">
        <f>SUM(O18:O19)</f>
        <v>10</v>
      </c>
      <c r="Q18" s="344"/>
      <c r="R18" s="344"/>
      <c r="S18" s="344"/>
      <c r="T18" s="344"/>
      <c r="U18" s="22" t="s">
        <v>237</v>
      </c>
      <c r="V18" s="344"/>
      <c r="W18" s="344"/>
      <c r="X18" s="344"/>
      <c r="Y18" s="344"/>
      <c r="Z18" s="344"/>
      <c r="AA18" s="344"/>
      <c r="AB18" s="344"/>
      <c r="AC18" s="344"/>
      <c r="AD18" s="344"/>
      <c r="AE18" s="344"/>
      <c r="AF18" s="344"/>
      <c r="AG18" s="344"/>
      <c r="AH18" s="344"/>
      <c r="AI18" s="344"/>
      <c r="AJ18" s="344"/>
    </row>
    <row r="19" spans="1:248" x14ac:dyDescent="0.25">
      <c r="A19" s="712"/>
      <c r="B19" s="344" t="s">
        <v>238</v>
      </c>
      <c r="C19" s="344"/>
      <c r="D19" s="344" t="s">
        <v>236</v>
      </c>
      <c r="E19" s="344" t="s">
        <v>7</v>
      </c>
      <c r="F19" s="712" t="str">
        <f>ID!D38</f>
        <v>Baik</v>
      </c>
      <c r="G19" s="344"/>
      <c r="H19" s="344"/>
      <c r="I19" s="344"/>
      <c r="J19" s="344"/>
      <c r="K19" s="344"/>
      <c r="M19" s="1346"/>
      <c r="N19" s="344"/>
      <c r="O19" s="649">
        <f>IF(F19="Baik",5,IF(F19="Tidak Baik",0))</f>
        <v>5</v>
      </c>
      <c r="P19" s="1344"/>
      <c r="Q19" s="344"/>
      <c r="R19" s="344"/>
      <c r="S19" s="344"/>
      <c r="T19" s="344"/>
      <c r="U19" s="344"/>
      <c r="V19" s="344"/>
      <c r="W19" s="344"/>
      <c r="X19" s="344"/>
      <c r="Y19" s="344"/>
      <c r="Z19" s="344"/>
      <c r="AA19" s="344"/>
      <c r="AB19" s="344"/>
      <c r="AC19" s="344"/>
      <c r="AD19" s="344"/>
      <c r="AE19" s="344"/>
      <c r="AF19" s="344"/>
      <c r="AG19" s="344"/>
      <c r="AH19" s="344"/>
      <c r="AI19" s="344"/>
      <c r="AJ19" s="344"/>
    </row>
    <row r="20" spans="1:248" ht="9" customHeight="1" x14ac:dyDescent="0.25">
      <c r="A20" s="1355"/>
      <c r="B20" s="1355"/>
      <c r="C20" s="1355"/>
      <c r="D20" s="1355"/>
      <c r="E20" s="1355"/>
      <c r="F20" s="1355"/>
      <c r="G20" s="1355"/>
      <c r="H20" s="471"/>
      <c r="I20" s="471"/>
      <c r="J20" s="344"/>
      <c r="K20" s="344"/>
      <c r="L20" s="345"/>
      <c r="M20" s="344"/>
      <c r="N20" s="344"/>
      <c r="O20" s="344"/>
      <c r="P20" s="344"/>
      <c r="Q20" s="344"/>
      <c r="R20" s="344"/>
      <c r="S20" s="344"/>
      <c r="T20" s="344"/>
      <c r="U20" s="344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  <c r="AG20" s="344"/>
      <c r="AH20" s="344"/>
      <c r="AI20" s="344"/>
      <c r="AJ20" s="344"/>
    </row>
    <row r="21" spans="1:248" s="123" customFormat="1" ht="17.25" customHeight="1" x14ac:dyDescent="0.25">
      <c r="A21" s="264" t="s">
        <v>239</v>
      </c>
      <c r="B21" s="264" t="s">
        <v>240</v>
      </c>
      <c r="C21" s="352"/>
      <c r="D21" s="352"/>
      <c r="E21" s="352"/>
      <c r="F21" s="352"/>
      <c r="G21" s="352"/>
      <c r="H21" s="124"/>
      <c r="I21" s="671"/>
      <c r="J21" s="691"/>
      <c r="K21" s="350"/>
      <c r="L21" s="231"/>
      <c r="M21" s="350"/>
      <c r="N21" s="346"/>
      <c r="O21" s="293"/>
      <c r="P21" s="350"/>
      <c r="Q21" s="293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</row>
    <row r="22" spans="1:248" s="167" customFormat="1" ht="30" customHeight="1" thickBot="1" x14ac:dyDescent="0.25">
      <c r="B22" s="1412" t="s">
        <v>23</v>
      </c>
      <c r="C22" s="1413"/>
      <c r="D22" s="1413"/>
      <c r="E22" s="1413"/>
      <c r="F22" s="1413"/>
      <c r="G22" s="1413"/>
      <c r="H22" s="1414"/>
      <c r="I22" s="652" t="s">
        <v>40</v>
      </c>
      <c r="J22" s="659" t="s">
        <v>41</v>
      </c>
      <c r="K22" s="1396"/>
      <c r="L22" s="1397"/>
      <c r="P22" s="168"/>
      <c r="S22" s="274"/>
      <c r="T22" s="274"/>
      <c r="AE22" s="916" t="s">
        <v>483</v>
      </c>
      <c r="AF22" s="347"/>
    </row>
    <row r="23" spans="1:248" s="167" customFormat="1" ht="18" customHeight="1" x14ac:dyDescent="0.3">
      <c r="B23" s="169" t="str">
        <f>ID!A42</f>
        <v>Resistansi isolasi</v>
      </c>
      <c r="C23" s="170"/>
      <c r="D23" s="170"/>
      <c r="E23" s="170"/>
      <c r="F23" s="170"/>
      <c r="G23" s="171"/>
      <c r="H23" s="172"/>
      <c r="I23" s="1097" t="str">
        <f>ID!G42</f>
        <v>-</v>
      </c>
      <c r="J23" s="655" t="str">
        <f>ID!J42</f>
        <v>&gt; 2 MΩ</v>
      </c>
      <c r="K23" s="1398"/>
      <c r="L23" s="1399"/>
      <c r="M23" s="1400">
        <f>IF(ID!B85="Catu daya menggunakan baterai",40,AA25)</f>
        <v>40</v>
      </c>
      <c r="N23" s="916">
        <f>IF(I23="OL",2.5,IF(I23="-",2.5,IF(I23&gt;R24,2.5,0)))</f>
        <v>2.5</v>
      </c>
      <c r="O23" s="1401"/>
      <c r="P23" s="1349"/>
      <c r="Q23" s="124"/>
      <c r="R23" s="173">
        <f>IF(J23="&gt; 2 MΩ",2,1.99999)</f>
        <v>2</v>
      </c>
      <c r="S23" s="124"/>
      <c r="T23" s="1339" t="s">
        <v>47</v>
      </c>
      <c r="U23" s="1339"/>
      <c r="V23" s="1339"/>
      <c r="W23" s="1339"/>
      <c r="X23" s="1339"/>
      <c r="Y23" s="1339"/>
      <c r="Z23" s="1339"/>
      <c r="AA23" s="1184">
        <f>IF(OR(I25&lt;=R25,I25="-",N25=35),SUM(N23:N25),0)</f>
        <v>5</v>
      </c>
      <c r="AB23" s="165"/>
      <c r="AC23" s="348"/>
      <c r="AI23" s="349"/>
      <c r="AJ23" s="124"/>
    </row>
    <row r="24" spans="1:248" s="167" customFormat="1" x14ac:dyDescent="0.3">
      <c r="B24" s="169" t="str">
        <f>ID!A43</f>
        <v>Resistansi pembumian protektif (kabel dapat dilepas)</v>
      </c>
      <c r="C24" s="170"/>
      <c r="D24" s="170"/>
      <c r="E24" s="170"/>
      <c r="F24" s="170"/>
      <c r="G24" s="175"/>
      <c r="H24" s="172"/>
      <c r="I24" s="1097" t="str">
        <f>ID!G43</f>
        <v>-</v>
      </c>
      <c r="J24" s="655" t="str">
        <f>ID!J43</f>
        <v>≤ 0.2 Ω</v>
      </c>
      <c r="K24" s="1402"/>
      <c r="L24" s="1403"/>
      <c r="M24" s="1400"/>
      <c r="N24" s="916">
        <f>IF(I24="OL",2.5,IF(I24="-",2.5,IF(I24&lt;=R25,2.5,0)))</f>
        <v>2.5</v>
      </c>
      <c r="O24" s="1401"/>
      <c r="P24" s="1350"/>
      <c r="Q24" s="124"/>
      <c r="R24" s="173">
        <f>IF(J24="≤ 0.2 Ω",0.2,0.1999999)</f>
        <v>0.2</v>
      </c>
      <c r="S24" s="124"/>
      <c r="T24" s="1338" t="s">
        <v>50</v>
      </c>
      <c r="U24" s="1338"/>
      <c r="V24" s="1338"/>
      <c r="W24" s="1338"/>
      <c r="X24" s="1338"/>
      <c r="Y24" s="1338"/>
      <c r="Z24" s="1338"/>
      <c r="AA24" s="1184">
        <f>IF(AND(I25&gt;R25,N25=35),0,IF(I25="-",35,SUM(N23:N25)))</f>
        <v>35</v>
      </c>
      <c r="AB24" s="165"/>
      <c r="AC24" s="348"/>
      <c r="AI24" s="124"/>
      <c r="AJ24" s="124"/>
    </row>
    <row r="25" spans="1:248" s="167" customFormat="1" ht="15.75" customHeight="1" thickBot="1" x14ac:dyDescent="0.35">
      <c r="B25" s="169" t="str">
        <f>ID!A44</f>
        <v xml:space="preserve">Arus bocor peralatan untuk peralatan elektromedik kelas II </v>
      </c>
      <c r="C25" s="170"/>
      <c r="D25" s="170"/>
      <c r="E25" s="170"/>
      <c r="F25" s="170"/>
      <c r="G25" s="171"/>
      <c r="H25" s="658"/>
      <c r="I25" s="1096" t="str">
        <f>ID!G44</f>
        <v>-</v>
      </c>
      <c r="J25" s="655" t="str">
        <f>ID!J44</f>
        <v>≤ 100 μA</v>
      </c>
      <c r="K25" s="1404"/>
      <c r="L25" s="1405"/>
      <c r="M25" s="1400"/>
      <c r="N25" s="916">
        <f>IF(I25="OL",35,IF(I25="-",0,IF(I25&lt;=R26,35,IF(ID!S36&lt;=100,35,0))))</f>
        <v>0</v>
      </c>
      <c r="O25" s="1401"/>
      <c r="P25" s="1351"/>
      <c r="Q25" s="124"/>
      <c r="R25" s="173">
        <f>IF(J25="≤ 500 μA",500,100)</f>
        <v>100</v>
      </c>
      <c r="S25" s="124"/>
      <c r="T25" s="1340"/>
      <c r="U25" s="1340"/>
      <c r="V25" s="1340"/>
      <c r="W25" s="1340"/>
      <c r="X25" s="1340"/>
      <c r="Y25" s="1340"/>
      <c r="Z25" s="1341"/>
      <c r="AA25" s="1335">
        <f>IF(B25=T23,AA23,IF(T24=B25,AA24,"PERBAIKI Z2425"))</f>
        <v>35</v>
      </c>
      <c r="AB25" s="165"/>
      <c r="AC25" s="348"/>
      <c r="AI25" s="124"/>
      <c r="AJ25" s="124"/>
    </row>
    <row r="26" spans="1:248" s="123" customFormat="1" ht="9" customHeight="1" x14ac:dyDescent="0.25">
      <c r="A26" s="124"/>
      <c r="B26" s="124"/>
      <c r="C26" s="174"/>
      <c r="D26" s="350"/>
      <c r="E26" s="350"/>
      <c r="F26" s="350"/>
      <c r="G26" s="350"/>
      <c r="H26" s="350"/>
      <c r="I26" s="671"/>
      <c r="J26" s="691"/>
      <c r="K26" s="350"/>
      <c r="L26" s="350"/>
      <c r="M26" s="350"/>
      <c r="N26" s="346"/>
      <c r="O26" s="293"/>
      <c r="P26" s="350"/>
      <c r="Q26" s="293"/>
      <c r="R26" s="124"/>
      <c r="S26" s="124"/>
      <c r="T26" s="1185"/>
      <c r="U26" s="1185"/>
      <c r="V26" s="1185"/>
      <c r="W26" s="1185"/>
      <c r="X26" s="1185"/>
      <c r="Y26" s="25"/>
      <c r="Z26" s="25"/>
      <c r="AA26" s="1336"/>
      <c r="AB26" s="28"/>
      <c r="AC26" s="124"/>
      <c r="AD26" s="124"/>
      <c r="AE26" s="124"/>
      <c r="AF26" s="124"/>
      <c r="AG26" s="124"/>
      <c r="AH26" s="124"/>
      <c r="AI26" s="124"/>
      <c r="AJ26" s="124"/>
    </row>
    <row r="27" spans="1:248" s="123" customFormat="1" ht="17.25" customHeight="1" x14ac:dyDescent="0.25">
      <c r="A27" s="280" t="s">
        <v>241</v>
      </c>
      <c r="B27" s="280" t="s">
        <v>242</v>
      </c>
      <c r="C27" s="280"/>
      <c r="D27" s="280"/>
      <c r="E27" s="280"/>
      <c r="F27" s="280"/>
      <c r="G27" s="280"/>
      <c r="H27" s="280"/>
      <c r="I27" s="174"/>
      <c r="J27" s="174"/>
      <c r="K27" s="174"/>
      <c r="L27" s="671"/>
      <c r="M27" s="174"/>
      <c r="N27" s="684"/>
      <c r="O27" s="293"/>
      <c r="P27" s="174"/>
      <c r="Q27" s="293"/>
      <c r="R27" s="124"/>
      <c r="S27" s="124"/>
      <c r="T27" s="1185"/>
      <c r="U27" s="1185"/>
      <c r="V27" s="1185"/>
      <c r="W27" s="1185"/>
      <c r="X27" s="1185"/>
      <c r="Y27" s="25"/>
      <c r="Z27" s="25"/>
      <c r="AA27" s="1337"/>
      <c r="AB27" s="28"/>
      <c r="AC27" s="124"/>
      <c r="AD27" s="124"/>
      <c r="AE27" s="124"/>
      <c r="AF27" s="124"/>
      <c r="AG27" s="124"/>
      <c r="AH27" s="124"/>
      <c r="AI27" s="124"/>
      <c r="AJ27" s="124"/>
    </row>
    <row r="28" spans="1:248" s="123" customFormat="1" ht="17.25" customHeight="1" x14ac:dyDescent="0.25">
      <c r="A28" s="280"/>
      <c r="B28" s="280" t="str">
        <f>ID!B47</f>
        <v xml:space="preserve">A. Blood pressure monitor </v>
      </c>
      <c r="C28" s="280"/>
      <c r="D28" s="280"/>
      <c r="E28" s="280"/>
      <c r="F28" s="280"/>
      <c r="G28" s="280"/>
      <c r="H28" s="280"/>
      <c r="I28" s="174"/>
      <c r="J28" s="174"/>
      <c r="K28" s="174"/>
      <c r="L28" s="671"/>
      <c r="M28" s="174"/>
      <c r="N28" s="684"/>
      <c r="O28" s="293"/>
      <c r="P28" s="174"/>
      <c r="Q28" s="293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</row>
    <row r="29" spans="1:248" s="123" customFormat="1" ht="16.5" customHeight="1" x14ac:dyDescent="0.3">
      <c r="A29" s="1364"/>
      <c r="B29" s="1361" t="s">
        <v>39</v>
      </c>
      <c r="C29" s="1371" t="s">
        <v>23</v>
      </c>
      <c r="D29" s="1365"/>
      <c r="E29" s="1368"/>
      <c r="F29" s="1361" t="s">
        <v>243</v>
      </c>
      <c r="G29" s="1358" t="str">
        <f>ID!E48</f>
        <v>Setting heart rate (bpm)</v>
      </c>
      <c r="H29" s="1361" t="s">
        <v>244</v>
      </c>
      <c r="I29" s="1361" t="s">
        <v>245</v>
      </c>
      <c r="J29" s="1358" t="s">
        <v>56</v>
      </c>
      <c r="K29" s="1361" t="s">
        <v>246</v>
      </c>
      <c r="L29" s="671"/>
      <c r="M29" s="351"/>
      <c r="N29" s="124"/>
      <c r="O29" s="124"/>
      <c r="P29" s="17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</row>
    <row r="30" spans="1:248" s="123" customFormat="1" ht="12" customHeight="1" x14ac:dyDescent="0.25">
      <c r="A30" s="1364"/>
      <c r="B30" s="1362"/>
      <c r="C30" s="1372"/>
      <c r="D30" s="1366"/>
      <c r="E30" s="1369"/>
      <c r="F30" s="1362"/>
      <c r="G30" s="1359"/>
      <c r="H30" s="1362"/>
      <c r="I30" s="1362"/>
      <c r="J30" s="1359"/>
      <c r="K30" s="1362"/>
      <c r="L30" s="352"/>
      <c r="M30" s="124"/>
      <c r="N30" s="124"/>
      <c r="O30" s="124"/>
      <c r="P30" s="1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 t="s">
        <v>132</v>
      </c>
      <c r="AC30" s="124"/>
      <c r="AD30" s="124"/>
      <c r="AE30" s="124"/>
      <c r="AF30" s="124"/>
      <c r="AG30" s="124"/>
      <c r="AH30" s="124"/>
      <c r="AI30" s="124"/>
      <c r="AJ30" s="124"/>
    </row>
    <row r="31" spans="1:248" s="123" customFormat="1" ht="18" customHeight="1" x14ac:dyDescent="0.25">
      <c r="A31" s="1364"/>
      <c r="B31" s="1363"/>
      <c r="C31" s="1373"/>
      <c r="D31" s="1367"/>
      <c r="E31" s="1370"/>
      <c r="F31" s="1363"/>
      <c r="G31" s="1359"/>
      <c r="H31" s="1362"/>
      <c r="I31" s="1362"/>
      <c r="J31" s="1360"/>
      <c r="K31" s="1363"/>
      <c r="L31" s="352"/>
      <c r="M31" s="1132" t="str">
        <f>ID!E16</f>
        <v>Dewasa</v>
      </c>
      <c r="N31" s="124"/>
      <c r="O31" s="124"/>
      <c r="P31" s="174"/>
      <c r="Q31" s="124"/>
      <c r="R31" s="124"/>
      <c r="S31" s="124"/>
      <c r="T31" s="124"/>
      <c r="U31" s="124"/>
      <c r="V31" s="124"/>
      <c r="W31" s="460" t="s">
        <v>247</v>
      </c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</row>
    <row r="32" spans="1:248" s="123" customFormat="1" x14ac:dyDescent="0.3">
      <c r="A32" s="1357"/>
      <c r="B32" s="1347">
        <v>1</v>
      </c>
      <c r="C32" s="128" t="s">
        <v>150</v>
      </c>
      <c r="D32" s="129"/>
      <c r="E32" s="130"/>
      <c r="F32" s="131">
        <f>ID!D51</f>
        <v>80</v>
      </c>
      <c r="G32" s="1390">
        <f>ID!E51</f>
        <v>70</v>
      </c>
      <c r="H32" s="463">
        <f>ID!L51</f>
        <v>81.972799999999992</v>
      </c>
      <c r="I32" s="132">
        <f>ID!O51</f>
        <v>-1.9727999999999923</v>
      </c>
      <c r="J32" s="1391" t="s">
        <v>248</v>
      </c>
      <c r="K32" s="132">
        <f>ID!P51</f>
        <v>0.72657111540404895</v>
      </c>
      <c r="L32" s="657"/>
      <c r="M32" s="1275" t="str">
        <f>AB32</f>
        <v>50</v>
      </c>
      <c r="N32" s="124"/>
      <c r="O32" s="136"/>
      <c r="P32" s="133"/>
      <c r="Q32" s="124"/>
      <c r="R32" s="124"/>
      <c r="S32" s="124"/>
      <c r="T32" s="124"/>
      <c r="U32" s="124"/>
      <c r="V32" s="124"/>
      <c r="W32" s="461">
        <f>ABS(I32)+ABS(K32)</f>
        <v>2.6993711154040412</v>
      </c>
      <c r="X32" s="354" t="str">
        <f t="shared" ref="X32:X41" si="0">IF(AND(W32&gt;=-5,W32&lt;=0),"√",IF(AND(W32&gt;=0,W32&lt;=5),"√","X"))</f>
        <v>√</v>
      </c>
      <c r="Y32" s="1347" t="b">
        <f>IF(X32="X","X",IF(X33="X","X"))</f>
        <v>0</v>
      </c>
      <c r="Z32" s="1342">
        <f>IF(Y32="X",0,AA45)</f>
        <v>20</v>
      </c>
      <c r="AA32" s="160">
        <f>IF(ID!E16="Dewasa",SUM(Z32:Z41),IF(ID!E16="Anak",SUM(Z32:Z39),IF(ID!E16="Bayi",SUM(Z32:Z39),"Penyelia Z32")))</f>
        <v>80</v>
      </c>
      <c r="AB32" s="190" t="str">
        <f>IF(AA32&gt;=70,"50","0")</f>
        <v>50</v>
      </c>
      <c r="AC32" s="713"/>
      <c r="AD32" s="124"/>
      <c r="AE32" s="124"/>
      <c r="AF32" s="124"/>
      <c r="AG32" s="124"/>
      <c r="AH32" s="124"/>
      <c r="AI32" s="124"/>
      <c r="AJ32" s="124"/>
    </row>
    <row r="33" spans="1:36" s="123" customFormat="1" x14ac:dyDescent="0.3">
      <c r="A33" s="1357"/>
      <c r="B33" s="1382"/>
      <c r="C33" s="128" t="s">
        <v>152</v>
      </c>
      <c r="D33" s="129"/>
      <c r="E33" s="130"/>
      <c r="F33" s="131">
        <f>ID!D52</f>
        <v>50</v>
      </c>
      <c r="G33" s="1390"/>
      <c r="H33" s="463">
        <f>ID!L52</f>
        <v>50.3</v>
      </c>
      <c r="I33" s="132">
        <f>ID!O52</f>
        <v>-0.29999999999999716</v>
      </c>
      <c r="J33" s="1392"/>
      <c r="K33" s="132">
        <f>ID!P52</f>
        <v>0.58889639603889332</v>
      </c>
      <c r="L33" s="657"/>
      <c r="M33" s="1323"/>
      <c r="N33" s="124"/>
      <c r="O33" s="124"/>
      <c r="P33" s="134"/>
      <c r="Q33" s="124"/>
      <c r="R33" s="124"/>
      <c r="S33" s="355" t="s">
        <v>149</v>
      </c>
      <c r="T33" s="714"/>
      <c r="U33" s="124"/>
      <c r="V33" s="124"/>
      <c r="W33" s="461">
        <f t="shared" ref="W33:W41" si="1">ABS(I33)+ABS(K33)</f>
        <v>0.88889639603889048</v>
      </c>
      <c r="X33" s="354" t="str">
        <f t="shared" si="0"/>
        <v>√</v>
      </c>
      <c r="Y33" s="1348"/>
      <c r="Z33" s="1343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</row>
    <row r="34" spans="1:36" s="123" customFormat="1" ht="15.75" customHeight="1" x14ac:dyDescent="0.3">
      <c r="A34" s="1357"/>
      <c r="B34" s="1347">
        <v>2</v>
      </c>
      <c r="C34" s="128" t="s">
        <v>150</v>
      </c>
      <c r="D34" s="129"/>
      <c r="E34" s="130"/>
      <c r="F34" s="131">
        <f>ID!D54</f>
        <v>100</v>
      </c>
      <c r="G34" s="1390">
        <f>ID!E54</f>
        <v>70</v>
      </c>
      <c r="H34" s="463">
        <f>ID!L54</f>
        <v>103.49320006800001</v>
      </c>
      <c r="I34" s="132">
        <f>ID!O54</f>
        <v>-3.4932000680000073</v>
      </c>
      <c r="J34" s="1392"/>
      <c r="K34" s="132">
        <f>ID!P54</f>
        <v>0.79760135149297562</v>
      </c>
      <c r="L34" s="657"/>
      <c r="M34" s="1323"/>
      <c r="N34" s="124"/>
      <c r="O34" s="124"/>
      <c r="P34" s="134"/>
      <c r="Q34" s="124"/>
      <c r="R34" s="124"/>
      <c r="S34" s="713"/>
      <c r="T34" s="715"/>
      <c r="U34" s="124"/>
      <c r="V34" s="124"/>
      <c r="W34" s="461">
        <f t="shared" si="1"/>
        <v>4.2908014194929827</v>
      </c>
      <c r="X34" s="354" t="str">
        <f t="shared" si="0"/>
        <v>√</v>
      </c>
      <c r="Y34" s="1347" t="b">
        <f>IF(X34="X","X",IF(X35="X","X"))</f>
        <v>0</v>
      </c>
      <c r="Z34" s="1342">
        <f>IF(Y34="X",0,AA46)</f>
        <v>20</v>
      </c>
      <c r="AA34" s="124"/>
    </row>
    <row r="35" spans="1:36" s="123" customFormat="1" ht="15.75" customHeight="1" x14ac:dyDescent="0.3">
      <c r="A35" s="1357"/>
      <c r="B35" s="1382"/>
      <c r="C35" s="128" t="s">
        <v>152</v>
      </c>
      <c r="D35" s="129"/>
      <c r="E35" s="130"/>
      <c r="F35" s="131">
        <f>ID!D55</f>
        <v>65</v>
      </c>
      <c r="G35" s="1390"/>
      <c r="H35" s="463">
        <f>ID!L55</f>
        <v>65.239999999999995</v>
      </c>
      <c r="I35" s="132">
        <f>ID!O55</f>
        <v>-0.23999999999999488</v>
      </c>
      <c r="J35" s="1392"/>
      <c r="K35" s="132">
        <f>ID!P55</f>
        <v>0.58889639603889332</v>
      </c>
      <c r="L35" s="657"/>
      <c r="M35" s="1323"/>
      <c r="N35" s="124"/>
      <c r="O35" s="136"/>
      <c r="P35" s="134"/>
      <c r="Q35" s="124"/>
      <c r="R35" s="124"/>
      <c r="S35" s="713"/>
      <c r="T35" s="715"/>
      <c r="U35" s="124"/>
      <c r="V35" s="124"/>
      <c r="W35" s="461">
        <f t="shared" si="1"/>
        <v>0.82889639603888821</v>
      </c>
      <c r="X35" s="354" t="str">
        <f t="shared" si="0"/>
        <v>√</v>
      </c>
      <c r="Y35" s="1348"/>
      <c r="Z35" s="1343"/>
      <c r="AA35" s="124"/>
    </row>
    <row r="36" spans="1:36" s="123" customFormat="1" ht="19.5" customHeight="1" x14ac:dyDescent="0.3">
      <c r="A36" s="1357"/>
      <c r="B36" s="1347">
        <v>3</v>
      </c>
      <c r="C36" s="128" t="s">
        <v>150</v>
      </c>
      <c r="D36" s="129"/>
      <c r="E36" s="130"/>
      <c r="F36" s="131">
        <f>ID!D57</f>
        <v>120</v>
      </c>
      <c r="G36" s="1390">
        <f>ID!E57</f>
        <v>80</v>
      </c>
      <c r="H36" s="463">
        <f>ID!L57</f>
        <v>120.06000040000001</v>
      </c>
      <c r="I36" s="132">
        <f>ID!O57</f>
        <v>-6.0000400000006948E-2</v>
      </c>
      <c r="J36" s="1392"/>
      <c r="K36" s="132">
        <f>ID!P57</f>
        <v>0.58889639603889332</v>
      </c>
      <c r="L36" s="657"/>
      <c r="M36" s="1323"/>
      <c r="N36" s="124"/>
      <c r="O36" s="136"/>
      <c r="P36" s="134"/>
      <c r="Q36" s="124"/>
      <c r="R36" s="124"/>
      <c r="S36" s="713"/>
      <c r="T36" s="715"/>
      <c r="U36" s="124"/>
      <c r="V36" s="124"/>
      <c r="W36" s="461">
        <f t="shared" si="1"/>
        <v>0.64889679603890027</v>
      </c>
      <c r="X36" s="354" t="str">
        <f t="shared" si="0"/>
        <v>√</v>
      </c>
      <c r="Y36" s="1347" t="b">
        <f>IF(X36="X","X",IF(X37="X","X"))</f>
        <v>0</v>
      </c>
      <c r="Z36" s="1342">
        <f>IF(Y36="X",0,AA47)</f>
        <v>20</v>
      </c>
      <c r="AA36" s="124"/>
    </row>
    <row r="37" spans="1:36" s="123" customFormat="1" ht="18.75" customHeight="1" x14ac:dyDescent="0.3">
      <c r="A37" s="1357"/>
      <c r="B37" s="1382"/>
      <c r="C37" s="128" t="s">
        <v>152</v>
      </c>
      <c r="D37" s="129"/>
      <c r="E37" s="130"/>
      <c r="F37" s="131">
        <f>ID!D58</f>
        <v>80</v>
      </c>
      <c r="G37" s="1390"/>
      <c r="H37" s="463">
        <f>ID!L58</f>
        <v>83.168000000000006</v>
      </c>
      <c r="I37" s="132">
        <f>ID!O58</f>
        <v>-3.1680000000000064</v>
      </c>
      <c r="J37" s="1392"/>
      <c r="K37" s="132">
        <f>ID!P58</f>
        <v>0.58889639603889332</v>
      </c>
      <c r="L37" s="657"/>
      <c r="M37" s="1323"/>
      <c r="N37" s="124"/>
      <c r="O37" s="124"/>
      <c r="P37" s="134"/>
      <c r="Q37" s="124"/>
      <c r="R37" s="124"/>
      <c r="S37" s="716" t="s">
        <v>816</v>
      </c>
      <c r="T37" s="717"/>
      <c r="U37" s="124"/>
      <c r="V37" s="124"/>
      <c r="W37" s="461">
        <f t="shared" si="1"/>
        <v>3.7568963960388997</v>
      </c>
      <c r="X37" s="354" t="str">
        <f t="shared" si="0"/>
        <v>√</v>
      </c>
      <c r="Y37" s="1348"/>
      <c r="Z37" s="1343"/>
      <c r="AA37" s="124"/>
    </row>
    <row r="38" spans="1:36" s="123" customFormat="1" x14ac:dyDescent="0.3">
      <c r="A38" s="1357"/>
      <c r="B38" s="1347">
        <v>4</v>
      </c>
      <c r="C38" s="128" t="s">
        <v>150</v>
      </c>
      <c r="D38" s="129"/>
      <c r="E38" s="130"/>
      <c r="F38" s="131">
        <f>ID!D60</f>
        <v>150</v>
      </c>
      <c r="G38" s="1390">
        <f>ID!E60</f>
        <v>80</v>
      </c>
      <c r="H38" s="463">
        <f>ID!L60</f>
        <v>147.60480095200001</v>
      </c>
      <c r="I38" s="132">
        <f>ID!O60</f>
        <v>2.3951990479999949</v>
      </c>
      <c r="J38" s="1392"/>
      <c r="K38" s="132">
        <f>ID!P60</f>
        <v>0.79760135149297562</v>
      </c>
      <c r="L38" s="657"/>
      <c r="M38" s="1323"/>
      <c r="N38" s="124"/>
      <c r="O38" s="124"/>
      <c r="P38" s="134"/>
      <c r="Q38" s="124"/>
      <c r="R38" s="124"/>
      <c r="S38" s="124"/>
      <c r="T38" s="124"/>
      <c r="U38" s="124"/>
      <c r="V38" s="124"/>
      <c r="W38" s="461">
        <f t="shared" si="1"/>
        <v>3.1928003994929703</v>
      </c>
      <c r="X38" s="354" t="str">
        <f t="shared" si="0"/>
        <v>√</v>
      </c>
      <c r="Y38" s="1347" t="b">
        <f>IF(X38="X","X",IF(X39="X","X"))</f>
        <v>0</v>
      </c>
      <c r="Z38" s="1342">
        <f>IF(Y38="X",0,AA48)</f>
        <v>20</v>
      </c>
      <c r="AA38" s="124"/>
    </row>
    <row r="39" spans="1:36" s="123" customFormat="1" x14ac:dyDescent="0.3">
      <c r="A39" s="1357"/>
      <c r="B39" s="1382"/>
      <c r="C39" s="128" t="s">
        <v>152</v>
      </c>
      <c r="D39" s="129"/>
      <c r="E39" s="130"/>
      <c r="F39" s="131">
        <f>ID!D61</f>
        <v>100</v>
      </c>
      <c r="G39" s="1390"/>
      <c r="H39" s="463">
        <f>ID!L61</f>
        <v>100.1</v>
      </c>
      <c r="I39" s="132">
        <f>ID!O61</f>
        <v>-9.9999999999994316E-2</v>
      </c>
      <c r="J39" s="1392"/>
      <c r="K39" s="132">
        <f>ID!P61</f>
        <v>0.58889639603889332</v>
      </c>
      <c r="L39" s="657"/>
      <c r="M39" s="1323"/>
      <c r="N39" s="124"/>
      <c r="O39" s="124"/>
      <c r="P39" s="134"/>
      <c r="Q39" s="124"/>
      <c r="R39" s="124"/>
      <c r="S39" s="124"/>
      <c r="T39" s="124"/>
      <c r="U39" s="124"/>
      <c r="V39" s="124"/>
      <c r="W39" s="461">
        <f>ABS(I39)+ABS(K39)</f>
        <v>0.68889639603888764</v>
      </c>
      <c r="X39" s="354" t="str">
        <f t="shared" si="0"/>
        <v>√</v>
      </c>
      <c r="Y39" s="1348"/>
      <c r="Z39" s="1343"/>
      <c r="AA39" s="124"/>
    </row>
    <row r="40" spans="1:36" s="123" customFormat="1" x14ac:dyDescent="0.3">
      <c r="A40" s="1357"/>
      <c r="B40" s="1347">
        <f>IF(ID!E16="Bayi","",IF(ID!E16="Anak","",5))</f>
        <v>5</v>
      </c>
      <c r="C40" s="128" t="str">
        <f>IF(ID!E16="Bayi","",IF(ID!E16="Anak","","Sistole"))</f>
        <v>Sistole</v>
      </c>
      <c r="D40" s="129"/>
      <c r="E40" s="130"/>
      <c r="F40" s="1142">
        <f>IF(ID!E16="Bayi","",IF(ID!E16="Anak","",ID!D63))</f>
        <v>200</v>
      </c>
      <c r="G40" s="1390">
        <f>IF(ID!E16="Bayi","",IF(ID!E16="Anak","",ID!E63))</f>
        <v>80</v>
      </c>
      <c r="H40" s="623">
        <f>IF(AND(ID!$E$16="Bayi"),"",IF(AND(ID!$E$16="Anak"),"",ID!L63))</f>
        <v>194.91000009999999</v>
      </c>
      <c r="I40" s="132">
        <f>IF(ID!E16="Bayi","",IF(ID!E16="Anak","",ID!O63))</f>
        <v>5.0899999000000093</v>
      </c>
      <c r="J40" s="1392"/>
      <c r="K40" s="132">
        <f>IF(ID!E16="Bayi","",IF(ID!E16="Anak","",ID!P63))</f>
        <v>0.58889639603889332</v>
      </c>
      <c r="L40" s="657"/>
      <c r="M40" s="1323"/>
      <c r="N40" s="356" t="s">
        <v>249</v>
      </c>
      <c r="O40" s="124"/>
      <c r="P40" s="134"/>
      <c r="Q40" s="124"/>
      <c r="R40" s="124"/>
      <c r="S40" s="124"/>
      <c r="T40" s="124"/>
      <c r="U40" s="124"/>
      <c r="V40" s="124"/>
      <c r="W40" s="461">
        <f t="shared" si="1"/>
        <v>5.6788962960389027</v>
      </c>
      <c r="X40" s="354" t="str">
        <f t="shared" si="0"/>
        <v>X</v>
      </c>
      <c r="Y40" s="1347" t="str">
        <f>IF(X40="X","X",IF(X41="X","X"))</f>
        <v>X</v>
      </c>
      <c r="Z40" s="1342">
        <f>IF(Y40="X",0,AA49)</f>
        <v>0</v>
      </c>
      <c r="AA40" s="124"/>
    </row>
    <row r="41" spans="1:36" s="123" customFormat="1" x14ac:dyDescent="0.3">
      <c r="A41" s="1357"/>
      <c r="B41" s="1382"/>
      <c r="C41" s="128" t="str">
        <f>IF(ID!E16="Bayi","",IF(ID!E16="Anak","","Diastole"))</f>
        <v>Diastole</v>
      </c>
      <c r="D41" s="129"/>
      <c r="E41" s="130"/>
      <c r="F41" s="1142">
        <f>IF(ID!E16="Bayi","",IF(ID!E16="Anak","",ID!D64))</f>
        <v>150</v>
      </c>
      <c r="G41" s="1390"/>
      <c r="H41" s="623">
        <f>IF(AND(ID!$E$16="Bayi"),"",IF(AND(ID!$E$16="Anak"),"",ID!L64))</f>
        <v>149.61199999999999</v>
      </c>
      <c r="I41" s="132">
        <f>IF(ID!E16="Bayi","",IF(ID!E16="Anak","",ID!O64))</f>
        <v>0.38800000000000523</v>
      </c>
      <c r="J41" s="1393"/>
      <c r="K41" s="132">
        <f>IF(ID!E16="Bayi","",IF(ID!E16="Anak","",ID!P64))</f>
        <v>0.58889639603889332</v>
      </c>
      <c r="L41" s="657"/>
      <c r="M41" s="1323"/>
      <c r="N41" s="356" t="s">
        <v>249</v>
      </c>
      <c r="O41" s="124"/>
      <c r="P41" s="134"/>
      <c r="Q41" s="124"/>
      <c r="R41" s="124"/>
      <c r="S41" s="124"/>
      <c r="T41" s="124"/>
      <c r="U41" s="124"/>
      <c r="V41" s="124"/>
      <c r="W41" s="461">
        <f t="shared" si="1"/>
        <v>0.97689639603889855</v>
      </c>
      <c r="X41" s="354" t="str">
        <f t="shared" si="0"/>
        <v>√</v>
      </c>
      <c r="Y41" s="1348"/>
      <c r="Z41" s="1343"/>
      <c r="AA41" s="124"/>
    </row>
    <row r="42" spans="1:36" s="123" customFormat="1" ht="9.75" customHeight="1" x14ac:dyDescent="0.3">
      <c r="A42" s="357"/>
      <c r="B42" s="670"/>
      <c r="C42" s="178"/>
      <c r="D42" s="179"/>
      <c r="E42" s="179"/>
      <c r="F42" s="180"/>
      <c r="G42" s="1131"/>
      <c r="H42" s="181"/>
      <c r="I42" s="182"/>
      <c r="J42" s="192"/>
      <c r="K42" s="182"/>
      <c r="L42" s="671"/>
      <c r="M42" s="671"/>
      <c r="N42" s="174"/>
      <c r="O42" s="124"/>
      <c r="P42" s="134"/>
      <c r="Q42" s="135"/>
      <c r="R42" s="124"/>
      <c r="S42" s="124"/>
      <c r="T42" s="124"/>
      <c r="U42" s="124"/>
      <c r="V42" s="124"/>
      <c r="W42" s="124"/>
      <c r="X42" s="124"/>
      <c r="Y42" s="124"/>
      <c r="Z42" s="124"/>
      <c r="AA42" s="124"/>
    </row>
    <row r="43" spans="1:36" s="123" customFormat="1" x14ac:dyDescent="0.3">
      <c r="A43" s="357"/>
      <c r="B43" s="297" t="s">
        <v>70</v>
      </c>
      <c r="C43" s="184"/>
      <c r="D43" s="185"/>
      <c r="E43" s="185"/>
      <c r="F43" s="186"/>
      <c r="G43" s="671"/>
      <c r="H43" s="187"/>
      <c r="I43" s="188"/>
      <c r="J43" s="183"/>
      <c r="K43" s="188"/>
      <c r="L43" s="671"/>
      <c r="M43" s="671"/>
      <c r="N43" s="174"/>
      <c r="O43" s="124"/>
      <c r="P43" s="134"/>
      <c r="Q43" s="135"/>
      <c r="R43" s="124"/>
      <c r="S43" s="124"/>
      <c r="T43" s="124"/>
      <c r="U43" s="124"/>
      <c r="V43" s="124"/>
      <c r="W43" s="124" t="s">
        <v>250</v>
      </c>
      <c r="X43" s="124" t="s">
        <v>250</v>
      </c>
      <c r="Y43" s="124"/>
      <c r="Z43" s="124"/>
      <c r="AA43" s="124"/>
    </row>
    <row r="44" spans="1:36" s="123" customFormat="1" ht="9.75" customHeight="1" x14ac:dyDescent="0.3">
      <c r="A44" s="357"/>
      <c r="B44" s="671"/>
      <c r="C44" s="184"/>
      <c r="D44" s="185"/>
      <c r="E44" s="185"/>
      <c r="F44" s="186"/>
      <c r="G44" s="671"/>
      <c r="H44" s="187"/>
      <c r="I44" s="188"/>
      <c r="J44" s="183"/>
      <c r="K44" s="188"/>
      <c r="L44" s="671"/>
      <c r="M44" s="671"/>
      <c r="N44" s="174"/>
      <c r="O44" s="124"/>
      <c r="P44" s="134"/>
      <c r="Q44" s="135"/>
      <c r="R44" s="124"/>
      <c r="S44" s="124"/>
      <c r="T44" s="124"/>
      <c r="U44" s="353">
        <v>1</v>
      </c>
      <c r="V44" s="124"/>
      <c r="W44" s="358" t="s">
        <v>77</v>
      </c>
      <c r="X44" s="358" t="s">
        <v>78</v>
      </c>
      <c r="Y44" s="358" t="s">
        <v>79</v>
      </c>
      <c r="Z44" s="358" t="s">
        <v>122</v>
      </c>
      <c r="AA44" s="124"/>
    </row>
    <row r="45" spans="1:36" s="123" customFormat="1" x14ac:dyDescent="0.3">
      <c r="A45" s="357"/>
      <c r="B45" s="1347" t="s">
        <v>39</v>
      </c>
      <c r="C45" s="1406" t="s">
        <v>23</v>
      </c>
      <c r="D45" s="1407"/>
      <c r="E45" s="714"/>
      <c r="F45" s="1395" t="s">
        <v>72</v>
      </c>
      <c r="G45" s="1395" t="s">
        <v>155</v>
      </c>
      <c r="H45" s="1395" t="s">
        <v>156</v>
      </c>
      <c r="I45" s="1395" t="s">
        <v>251</v>
      </c>
      <c r="J45" s="1394" t="s">
        <v>252</v>
      </c>
      <c r="K45" s="1358" t="s">
        <v>253</v>
      </c>
      <c r="L45" s="1361" t="s">
        <v>254</v>
      </c>
      <c r="M45" s="671"/>
      <c r="N45" s="174"/>
      <c r="O45" s="124"/>
      <c r="P45" s="134"/>
      <c r="Q45" s="135"/>
      <c r="R45" s="124"/>
      <c r="S45" s="124"/>
      <c r="T45" s="124"/>
      <c r="U45" s="124"/>
      <c r="V45" s="160" t="str">
        <f>ID!E16</f>
        <v>Dewasa</v>
      </c>
      <c r="W45" s="359">
        <v>25</v>
      </c>
      <c r="X45" s="359">
        <v>25</v>
      </c>
      <c r="Y45" s="360">
        <v>20</v>
      </c>
      <c r="Z45" s="360">
        <v>3</v>
      </c>
      <c r="AA45" s="361">
        <f>IF($V$45=$W$44,W45,IF($V$45=$X$44,X45,IF($V$45=$Y$44,Y45,IF($V$45=$Z$44,Z45))))</f>
        <v>20</v>
      </c>
    </row>
    <row r="46" spans="1:36" s="123" customFormat="1" x14ac:dyDescent="0.3">
      <c r="A46" s="357"/>
      <c r="B46" s="1382"/>
      <c r="C46" s="1408"/>
      <c r="D46" s="1409"/>
      <c r="E46" s="715"/>
      <c r="F46" s="1395"/>
      <c r="G46" s="1395"/>
      <c r="H46" s="1395"/>
      <c r="I46" s="1395"/>
      <c r="J46" s="1394"/>
      <c r="K46" s="1359"/>
      <c r="L46" s="1362"/>
      <c r="M46" s="671"/>
      <c r="N46" s="174"/>
      <c r="O46" s="124"/>
      <c r="P46" s="134"/>
      <c r="Q46" s="135"/>
      <c r="R46" s="124"/>
      <c r="S46" s="124"/>
      <c r="T46" s="124"/>
      <c r="U46" s="124"/>
      <c r="V46" s="124"/>
      <c r="W46" s="359">
        <v>25</v>
      </c>
      <c r="X46" s="359">
        <v>25</v>
      </c>
      <c r="Y46" s="360">
        <v>20</v>
      </c>
      <c r="Z46" s="360">
        <v>4</v>
      </c>
      <c r="AA46" s="361">
        <f t="shared" ref="AA46:AA49" si="2">IF($V$45=$W$44,W46,IF($V$45=$X$44,X46,IF($V$45=$Y$44,Y46,IF($V$45=$Z$44,Z46))))</f>
        <v>20</v>
      </c>
    </row>
    <row r="47" spans="1:36" s="123" customFormat="1" x14ac:dyDescent="0.3">
      <c r="A47" s="357"/>
      <c r="B47" s="1348"/>
      <c r="C47" s="1410"/>
      <c r="D47" s="1411"/>
      <c r="E47" s="715"/>
      <c r="F47" s="1395"/>
      <c r="G47" s="1395"/>
      <c r="H47" s="1395"/>
      <c r="I47" s="1395"/>
      <c r="J47" s="1394"/>
      <c r="K47" s="1360"/>
      <c r="L47" s="1363"/>
      <c r="M47" s="671"/>
      <c r="N47" s="174"/>
      <c r="O47" s="124"/>
      <c r="P47" s="134"/>
      <c r="Q47" s="135"/>
      <c r="R47" s="124"/>
      <c r="S47" s="124"/>
      <c r="T47" s="124"/>
      <c r="U47" s="124"/>
      <c r="V47" s="124"/>
      <c r="W47" s="359">
        <v>25</v>
      </c>
      <c r="X47" s="359">
        <v>25</v>
      </c>
      <c r="Y47" s="360">
        <v>20</v>
      </c>
      <c r="Z47" s="360">
        <v>31</v>
      </c>
      <c r="AA47" s="361">
        <f t="shared" si="2"/>
        <v>20</v>
      </c>
    </row>
    <row r="48" spans="1:36" s="123" customFormat="1" x14ac:dyDescent="0.3">
      <c r="A48" s="357"/>
      <c r="B48" s="1347">
        <v>1</v>
      </c>
      <c r="C48" s="1415" t="s">
        <v>80</v>
      </c>
      <c r="D48" s="362"/>
      <c r="E48" s="1418"/>
      <c r="F48" s="363">
        <f>ID!D73</f>
        <v>60</v>
      </c>
      <c r="G48" s="1421">
        <f>ID!E73</f>
        <v>120</v>
      </c>
      <c r="H48" s="1421">
        <f>ID!F73</f>
        <v>80</v>
      </c>
      <c r="I48" s="463">
        <f>ID!J73</f>
        <v>60</v>
      </c>
      <c r="J48" s="189">
        <f>ID!K73</f>
        <v>0</v>
      </c>
      <c r="K48" s="1427" t="s">
        <v>255</v>
      </c>
      <c r="L48" s="706">
        <f>ID!P73</f>
        <v>0.96636845337887511</v>
      </c>
      <c r="M48" s="671"/>
      <c r="N48" s="174"/>
      <c r="O48" s="124"/>
      <c r="P48" s="134"/>
      <c r="Q48" s="135"/>
      <c r="R48" s="124"/>
      <c r="S48" s="124"/>
      <c r="T48" s="124"/>
      <c r="U48" s="124"/>
      <c r="V48" s="124"/>
      <c r="W48" s="359">
        <v>25</v>
      </c>
      <c r="X48" s="359">
        <v>25</v>
      </c>
      <c r="Y48" s="360">
        <v>20</v>
      </c>
      <c r="Z48" s="360">
        <v>31</v>
      </c>
      <c r="AA48" s="361">
        <f t="shared" si="2"/>
        <v>20</v>
      </c>
    </row>
    <row r="49" spans="1:27" s="123" customFormat="1" x14ac:dyDescent="0.3">
      <c r="A49" s="357"/>
      <c r="B49" s="1382"/>
      <c r="C49" s="1416"/>
      <c r="D49" s="362"/>
      <c r="E49" s="1419"/>
      <c r="F49" s="363">
        <f>ID!D74</f>
        <v>120</v>
      </c>
      <c r="G49" s="1422"/>
      <c r="H49" s="1422"/>
      <c r="I49" s="463">
        <f>ID!J74</f>
        <v>121</v>
      </c>
      <c r="J49" s="189">
        <f>ID!K74</f>
        <v>-0.83333333333333337</v>
      </c>
      <c r="K49" s="1428"/>
      <c r="L49" s="706">
        <f>ID!P74</f>
        <v>0.47919096861762406</v>
      </c>
      <c r="M49" s="671"/>
      <c r="N49" s="174"/>
      <c r="O49" s="124"/>
      <c r="P49" s="134"/>
      <c r="Q49" s="135"/>
      <c r="R49" s="124"/>
      <c r="S49" s="124"/>
      <c r="T49" s="124"/>
      <c r="U49" s="124"/>
      <c r="V49" s="124"/>
      <c r="W49" s="124"/>
      <c r="X49" s="359"/>
      <c r="Y49" s="360">
        <v>20</v>
      </c>
      <c r="Z49" s="360">
        <v>31</v>
      </c>
      <c r="AA49" s="361">
        <f t="shared" si="2"/>
        <v>20</v>
      </c>
    </row>
    <row r="50" spans="1:27" s="123" customFormat="1" x14ac:dyDescent="0.3">
      <c r="A50" s="357"/>
      <c r="B50" s="1348"/>
      <c r="C50" s="1417"/>
      <c r="D50" s="362"/>
      <c r="E50" s="1420"/>
      <c r="F50" s="363">
        <f>ID!D75</f>
        <v>180</v>
      </c>
      <c r="G50" s="1423"/>
      <c r="H50" s="1423"/>
      <c r="I50" s="463">
        <f>ID!J75</f>
        <v>179</v>
      </c>
      <c r="J50" s="189">
        <f>ID!K75</f>
        <v>0.55555555555555558</v>
      </c>
      <c r="K50" s="1429"/>
      <c r="L50" s="706">
        <f>ID!P75</f>
        <v>0.32392238660744421</v>
      </c>
      <c r="M50" s="671"/>
      <c r="N50" s="174"/>
      <c r="O50" s="124"/>
      <c r="P50" s="134"/>
      <c r="Q50" s="135"/>
      <c r="R50" s="124"/>
      <c r="S50" s="124"/>
      <c r="T50" s="124"/>
      <c r="U50" s="124"/>
      <c r="V50" s="124"/>
      <c r="W50" s="124"/>
      <c r="X50" s="359"/>
      <c r="Y50" s="364"/>
      <c r="Z50" s="364"/>
    </row>
    <row r="51" spans="1:27" ht="9" customHeight="1" x14ac:dyDescent="0.25">
      <c r="A51" s="718"/>
      <c r="B51" s="719"/>
      <c r="C51" s="719"/>
      <c r="D51" s="719"/>
      <c r="E51" s="719"/>
      <c r="F51" s="719"/>
      <c r="G51" s="718"/>
      <c r="H51" s="720"/>
      <c r="I51" s="721"/>
      <c r="J51" s="722"/>
      <c r="K51" s="722"/>
      <c r="L51" s="365"/>
      <c r="M51" s="344"/>
      <c r="N51" s="344"/>
      <c r="O51" s="344"/>
      <c r="P51" s="344"/>
      <c r="Q51" s="344"/>
      <c r="R51" s="344"/>
      <c r="S51" s="344"/>
      <c r="T51" s="344"/>
      <c r="U51" s="344"/>
      <c r="V51" s="344"/>
      <c r="W51" s="344"/>
      <c r="X51" s="344"/>
      <c r="Y51" s="344"/>
      <c r="Z51" s="344"/>
    </row>
    <row r="52" spans="1:27" x14ac:dyDescent="0.25">
      <c r="A52" s="599" t="s">
        <v>256</v>
      </c>
      <c r="B52" s="599" t="s">
        <v>257</v>
      </c>
      <c r="C52" s="600"/>
      <c r="D52" s="723"/>
      <c r="E52" s="723"/>
      <c r="F52" s="723"/>
      <c r="G52" s="723"/>
      <c r="H52" s="724"/>
      <c r="I52" s="724"/>
      <c r="J52" s="725"/>
      <c r="K52" s="725"/>
      <c r="L52" s="601"/>
      <c r="M52" s="725"/>
      <c r="N52" s="344"/>
      <c r="O52" s="344"/>
      <c r="P52" s="344"/>
      <c r="Q52" s="344"/>
      <c r="R52" s="344"/>
      <c r="S52" s="344"/>
      <c r="T52" s="344"/>
      <c r="U52" s="344"/>
      <c r="V52" s="344"/>
      <c r="W52" s="344"/>
      <c r="X52" s="344"/>
      <c r="Y52" s="344"/>
      <c r="Z52" s="344"/>
    </row>
    <row r="53" spans="1:27" x14ac:dyDescent="0.25">
      <c r="A53" s="726"/>
      <c r="B53" s="602" t="s">
        <v>258</v>
      </c>
      <c r="C53" s="723"/>
      <c r="D53" s="723"/>
      <c r="E53" s="723"/>
      <c r="F53" s="723"/>
      <c r="G53" s="723"/>
      <c r="H53" s="724"/>
      <c r="I53" s="724"/>
      <c r="J53" s="725"/>
      <c r="K53" s="725"/>
      <c r="L53" s="601"/>
      <c r="M53" s="725"/>
      <c r="N53" s="344"/>
      <c r="O53" s="344"/>
      <c r="P53" s="344"/>
      <c r="Q53" s="344"/>
      <c r="R53" s="344"/>
      <c r="S53" s="344"/>
      <c r="T53" s="344"/>
      <c r="U53" s="344"/>
      <c r="V53" s="344"/>
      <c r="W53" s="344"/>
      <c r="X53" s="344"/>
      <c r="Y53" s="344"/>
      <c r="Z53" s="344"/>
    </row>
    <row r="54" spans="1:27" x14ac:dyDescent="0.25">
      <c r="A54" s="726"/>
      <c r="B54" s="602" t="s">
        <v>259</v>
      </c>
      <c r="C54" s="723"/>
      <c r="D54" s="723"/>
      <c r="E54" s="723"/>
      <c r="F54" s="723"/>
      <c r="G54" s="723"/>
      <c r="H54" s="724"/>
      <c r="I54" s="724"/>
      <c r="J54" s="725"/>
      <c r="K54" s="725"/>
      <c r="L54" s="601"/>
      <c r="M54" s="725"/>
      <c r="N54" s="344"/>
      <c r="O54" s="344"/>
      <c r="P54" s="344"/>
      <c r="Q54" s="344"/>
      <c r="R54" s="344"/>
      <c r="S54" s="344"/>
      <c r="T54" s="344"/>
      <c r="U54" s="344"/>
      <c r="V54" s="344"/>
      <c r="W54" s="344"/>
      <c r="X54" s="344"/>
      <c r="Y54" s="344"/>
      <c r="Z54" s="344"/>
    </row>
    <row r="55" spans="1:27" s="123" customFormat="1" x14ac:dyDescent="0.25">
      <c r="A55" s="727"/>
      <c r="B55" s="336" t="str">
        <f>NIBP!AR10</f>
        <v>Hasil pengujian kinerja blood pressure monitor tertelusur ke satuan SI melalui PT. KALIMAN</v>
      </c>
      <c r="C55" s="682"/>
      <c r="D55" s="682"/>
      <c r="E55" s="682"/>
      <c r="F55" s="682"/>
      <c r="G55" s="682"/>
      <c r="H55" s="728"/>
      <c r="I55" s="728"/>
      <c r="J55" s="28"/>
      <c r="K55" s="28"/>
      <c r="L55" s="462"/>
      <c r="M55" s="28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</row>
    <row r="56" spans="1:27" s="123" customFormat="1" x14ac:dyDescent="0.25">
      <c r="A56" s="727"/>
      <c r="B56" s="336" t="str">
        <f>IF(B57="Catu daya menggunakan baterai","",VOLT!Q8)</f>
        <v/>
      </c>
      <c r="C56" s="682"/>
      <c r="D56" s="682"/>
      <c r="E56" s="682"/>
      <c r="F56" s="682"/>
      <c r="G56" s="682"/>
      <c r="H56" s="728"/>
      <c r="I56" s="728"/>
      <c r="J56" s="28"/>
      <c r="K56" s="28"/>
      <c r="L56" s="462"/>
      <c r="M56" s="28"/>
      <c r="N56" s="124"/>
      <c r="O56" s="160" t="s">
        <v>149</v>
      </c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</row>
    <row r="57" spans="1:27" s="123" customFormat="1" x14ac:dyDescent="0.3">
      <c r="A57" s="727"/>
      <c r="B57" s="757" t="str">
        <f>IF(O59="Catu daya menggunakan baterai","Catu daya menggunakan baterai",O58)</f>
        <v>Catu daya menggunakan baterai</v>
      </c>
      <c r="C57" s="336"/>
      <c r="D57" s="682"/>
      <c r="E57" s="682"/>
      <c r="F57" s="682"/>
      <c r="G57" s="682"/>
      <c r="H57" s="728"/>
      <c r="I57" s="728"/>
      <c r="J57" s="28"/>
      <c r="K57" s="28"/>
      <c r="L57" s="462"/>
      <c r="M57" s="28"/>
      <c r="N57" s="124"/>
      <c r="O57" s="1426" t="str">
        <f>ID!B84</f>
        <v>Tidak terdapat grounding di ruangan</v>
      </c>
      <c r="P57" s="1426"/>
      <c r="Q57" s="1426"/>
      <c r="R57" s="1426"/>
      <c r="S57" s="1426"/>
      <c r="T57" s="1426"/>
      <c r="U57" s="1426"/>
      <c r="V57" s="124"/>
      <c r="W57" s="124"/>
      <c r="X57" s="124"/>
      <c r="Y57" s="124"/>
      <c r="Z57" s="124"/>
    </row>
    <row r="58" spans="1:27" s="123" customFormat="1" ht="17.25" customHeight="1" x14ac:dyDescent="0.3">
      <c r="A58" s="727"/>
      <c r="B58" s="336" t="str">
        <f>IF(ID!B86="","",ID!B86)</f>
        <v/>
      </c>
      <c r="C58" s="336"/>
      <c r="D58" s="682"/>
      <c r="E58" s="682"/>
      <c r="F58" s="682"/>
      <c r="G58" s="682"/>
      <c r="H58" s="728"/>
      <c r="I58" s="728"/>
      <c r="J58" s="28"/>
      <c r="K58" s="28"/>
      <c r="L58" s="462"/>
      <c r="M58" s="28"/>
      <c r="N58" s="124"/>
      <c r="O58" s="1425" t="str">
        <f>IF(ID!B84="","",ID!B84)</f>
        <v>Tidak terdapat grounding di ruangan</v>
      </c>
      <c r="P58" s="1425"/>
      <c r="Q58" s="1425"/>
      <c r="R58" s="1425"/>
      <c r="S58" s="1425"/>
      <c r="T58" s="1425"/>
      <c r="U58" s="1425"/>
      <c r="V58" s="124"/>
      <c r="W58" s="124"/>
      <c r="X58" s="124"/>
      <c r="Y58" s="124"/>
      <c r="Z58" s="124"/>
    </row>
    <row r="59" spans="1:27" s="123" customFormat="1" ht="17.25" customHeight="1" x14ac:dyDescent="0.25">
      <c r="A59" s="727"/>
      <c r="B59" s="336"/>
      <c r="C59" s="682"/>
      <c r="D59" s="682"/>
      <c r="E59" s="682"/>
      <c r="F59" s="682"/>
      <c r="G59" s="682"/>
      <c r="H59" s="728"/>
      <c r="I59" s="728"/>
      <c r="J59" s="28"/>
      <c r="K59" s="28"/>
      <c r="L59" s="462"/>
      <c r="M59" s="28"/>
      <c r="N59" s="124"/>
      <c r="O59" s="1424" t="str">
        <f>ID!B85</f>
        <v>Catu daya menggunakan baterai</v>
      </c>
      <c r="P59" s="1424"/>
      <c r="Q59" s="1424"/>
      <c r="R59" s="1424"/>
      <c r="S59" s="1424"/>
      <c r="T59" s="1424"/>
      <c r="U59" s="1424"/>
      <c r="V59" s="124"/>
      <c r="W59" s="124"/>
      <c r="X59" s="124"/>
      <c r="Y59" s="124"/>
      <c r="Z59" s="124"/>
    </row>
    <row r="60" spans="1:27" x14ac:dyDescent="0.3">
      <c r="A60" s="603" t="s">
        <v>260</v>
      </c>
      <c r="B60" s="1384" t="s">
        <v>261</v>
      </c>
      <c r="C60" s="1384"/>
      <c r="D60" s="1384"/>
      <c r="E60" s="1384"/>
      <c r="F60" s="1384"/>
      <c r="G60" s="1384"/>
      <c r="H60" s="729"/>
      <c r="I60" s="729"/>
      <c r="J60" s="725"/>
      <c r="K60" s="725"/>
      <c r="L60" s="601"/>
      <c r="M60" s="725"/>
      <c r="N60" s="344"/>
      <c r="O60" s="344"/>
      <c r="P60" s="344"/>
      <c r="Q60" s="344"/>
      <c r="R60" s="344"/>
      <c r="S60" s="344"/>
      <c r="T60" s="344"/>
      <c r="U60" s="344"/>
      <c r="V60" s="344"/>
      <c r="W60" s="344"/>
      <c r="X60" s="344"/>
      <c r="Y60" s="344"/>
      <c r="Z60" s="344"/>
    </row>
    <row r="61" spans="1:27" ht="15.75" customHeight="1" x14ac:dyDescent="0.25">
      <c r="A61" s="726"/>
      <c r="B61" s="730" t="str">
        <f>ID!B88</f>
        <v>Vital Signs Simulator, Merek : Rigel, Model : UNI-SIM, SN : 05J-0804</v>
      </c>
      <c r="C61" s="729"/>
      <c r="D61" s="730"/>
      <c r="E61" s="729"/>
      <c r="F61" s="723"/>
      <c r="G61" s="723"/>
      <c r="H61" s="724"/>
      <c r="I61" s="724"/>
      <c r="J61" s="725"/>
      <c r="K61" s="725"/>
      <c r="L61" s="601"/>
      <c r="M61" s="725"/>
      <c r="N61" s="344"/>
      <c r="O61" s="344"/>
      <c r="P61" s="344"/>
      <c r="Q61" s="731"/>
      <c r="R61" s="731"/>
      <c r="S61" s="731"/>
      <c r="T61" s="731"/>
      <c r="U61" s="731"/>
      <c r="V61" s="731"/>
      <c r="W61" s="731"/>
      <c r="X61" s="731"/>
      <c r="Y61" s="731"/>
      <c r="Z61" s="731"/>
    </row>
    <row r="62" spans="1:27" ht="6.75" customHeight="1" x14ac:dyDescent="0.25">
      <c r="A62" s="732"/>
      <c r="B62" s="604" t="str">
        <f>ID!B90</f>
        <v>Electrical Safety Analyzer, Merek : FLUKE, Model : ESA615, SN : 2853078</v>
      </c>
      <c r="C62" s="729"/>
      <c r="D62" s="730"/>
      <c r="E62" s="729"/>
      <c r="F62" s="729"/>
      <c r="G62" s="729"/>
      <c r="H62" s="729"/>
      <c r="I62" s="729"/>
      <c r="J62" s="725"/>
      <c r="K62" s="725"/>
      <c r="L62" s="601"/>
      <c r="M62" s="725"/>
      <c r="N62" s="344"/>
      <c r="O62" s="344"/>
      <c r="P62" s="344"/>
      <c r="Q62" s="731"/>
      <c r="R62" s="731"/>
      <c r="S62" s="731"/>
      <c r="T62" s="731"/>
      <c r="U62" s="731"/>
      <c r="V62" s="731"/>
      <c r="W62" s="731"/>
      <c r="X62" s="731"/>
      <c r="Y62" s="731"/>
      <c r="Z62" s="731"/>
    </row>
    <row r="63" spans="1:27" x14ac:dyDescent="0.25">
      <c r="A63" s="605" t="s">
        <v>262</v>
      </c>
      <c r="B63" s="606" t="s">
        <v>263</v>
      </c>
      <c r="C63" s="607"/>
      <c r="D63" s="730"/>
      <c r="E63" s="729"/>
      <c r="F63" s="729"/>
      <c r="G63" s="729"/>
      <c r="H63" s="729"/>
      <c r="I63" s="729"/>
      <c r="J63" s="725"/>
      <c r="K63" s="725"/>
      <c r="L63" s="601"/>
      <c r="M63" s="725"/>
      <c r="N63" s="344"/>
      <c r="O63" s="344"/>
      <c r="P63" s="344"/>
      <c r="Q63" s="344"/>
      <c r="R63" s="344"/>
      <c r="S63" s="344"/>
      <c r="T63" s="344"/>
      <c r="U63" s="344"/>
      <c r="V63" s="344"/>
      <c r="W63" s="344"/>
      <c r="X63" s="344"/>
      <c r="Y63" s="344"/>
      <c r="Z63" s="344"/>
    </row>
    <row r="64" spans="1:27" ht="35.25" customHeight="1" x14ac:dyDescent="0.25">
      <c r="A64" s="732"/>
      <c r="B64" s="1386" t="str">
        <f>LOOKUP(ID!A2,KESIMPULAN!F8:F9,KESIMPULAN!G8:G9)</f>
        <v>Alat yang dikalibrasi dalam batas toleransi dan dinyatakan LAIK PAKAI, dimana hasil atau skor akhir sama dengan atau melampaui 70% berdasarkan Keputusan Direktur Jenderal Pelayanan Kesehatan No : HK.02.02/V/0412/2020</v>
      </c>
      <c r="C64" s="1386"/>
      <c r="D64" s="1386"/>
      <c r="E64" s="1386"/>
      <c r="F64" s="1386"/>
      <c r="G64" s="1386"/>
      <c r="H64" s="1386"/>
      <c r="I64" s="1386"/>
      <c r="J64" s="1386"/>
      <c r="K64" s="1386"/>
      <c r="L64" s="1386"/>
      <c r="M64" s="725"/>
      <c r="N64" s="344"/>
      <c r="O64" s="344"/>
      <c r="P64" s="731"/>
      <c r="Q64" s="344"/>
      <c r="R64" s="344"/>
      <c r="S64" s="344"/>
      <c r="T64" s="344"/>
      <c r="U64" s="344"/>
      <c r="V64" s="344"/>
      <c r="W64" s="344"/>
      <c r="X64" s="344"/>
      <c r="Y64" s="344"/>
      <c r="Z64" s="344"/>
    </row>
    <row r="65" spans="1:26" ht="11.25" customHeight="1" x14ac:dyDescent="0.25">
      <c r="A65" s="1385"/>
      <c r="B65" s="1385"/>
      <c r="C65" s="1385"/>
      <c r="D65" s="1385"/>
      <c r="E65" s="1385"/>
      <c r="F65" s="1385"/>
      <c r="G65" s="1385"/>
      <c r="H65" s="729"/>
      <c r="I65" s="729"/>
      <c r="J65" s="725"/>
      <c r="K65" s="725"/>
      <c r="L65" s="601"/>
      <c r="M65" s="725"/>
      <c r="N65" s="344"/>
      <c r="O65" s="344"/>
      <c r="P65" s="344"/>
      <c r="Q65" s="344"/>
      <c r="R65" s="344"/>
      <c r="S65" s="344"/>
      <c r="T65" s="344"/>
      <c r="U65" s="344"/>
      <c r="V65" s="344"/>
      <c r="W65" s="344"/>
      <c r="X65" s="344"/>
      <c r="Y65" s="344"/>
      <c r="Z65" s="344"/>
    </row>
    <row r="66" spans="1:26" x14ac:dyDescent="0.3">
      <c r="A66" s="603" t="s">
        <v>264</v>
      </c>
      <c r="B66" s="1384" t="str">
        <f>ID!B15</f>
        <v>Petugas kalibrasi</v>
      </c>
      <c r="C66" s="1384"/>
      <c r="D66" s="1384"/>
      <c r="E66" s="1384"/>
      <c r="F66" s="1384"/>
      <c r="G66" s="1384"/>
      <c r="H66" s="729"/>
      <c r="I66" s="729"/>
      <c r="J66" s="725"/>
      <c r="K66" s="725"/>
      <c r="L66" s="608"/>
      <c r="M66" s="725"/>
      <c r="N66" s="344"/>
      <c r="O66" s="344"/>
      <c r="P66" s="344"/>
      <c r="Q66" s="344"/>
      <c r="R66" s="344"/>
      <c r="S66" s="344"/>
      <c r="T66" s="344"/>
      <c r="U66" s="344"/>
      <c r="V66" s="344"/>
      <c r="W66" s="344"/>
      <c r="X66" s="344"/>
      <c r="Y66" s="344"/>
      <c r="Z66" s="344"/>
    </row>
    <row r="67" spans="1:26" x14ac:dyDescent="0.25">
      <c r="A67" s="726"/>
      <c r="B67" s="1383" t="str">
        <f>ID!E15</f>
        <v>Wardimanul Abrar</v>
      </c>
      <c r="C67" s="1383"/>
      <c r="D67" s="1383"/>
      <c r="E67" s="1383"/>
      <c r="F67" s="1383"/>
      <c r="G67" s="1383"/>
      <c r="H67" s="729"/>
      <c r="I67" s="729"/>
      <c r="J67" s="725"/>
      <c r="K67" s="725"/>
      <c r="L67" s="608"/>
      <c r="M67" s="725"/>
    </row>
    <row r="68" spans="1:26" x14ac:dyDescent="0.25">
      <c r="A68" s="718"/>
      <c r="B68" s="718"/>
      <c r="C68" s="1387" t="s">
        <v>265</v>
      </c>
      <c r="D68" s="1388"/>
      <c r="E68" s="1388"/>
      <c r="F68" s="1388"/>
      <c r="G68" s="1389"/>
      <c r="H68" s="733" t="s">
        <v>101</v>
      </c>
      <c r="I68" s="734" t="s">
        <v>266</v>
      </c>
      <c r="J68" s="366" t="s">
        <v>267</v>
      </c>
      <c r="K68" s="1380" t="s">
        <v>268</v>
      </c>
      <c r="L68" s="1381"/>
      <c r="M68" s="367"/>
    </row>
    <row r="69" spans="1:26" ht="15.75" customHeight="1" x14ac:dyDescent="0.25">
      <c r="A69" s="711"/>
      <c r="B69" s="471"/>
      <c r="C69" s="368" t="s">
        <v>269</v>
      </c>
      <c r="D69" s="735"/>
      <c r="E69" s="736" t="s">
        <v>7</v>
      </c>
      <c r="F69" s="966" t="str">
        <f>ID!E15</f>
        <v>Wardimanul Abrar</v>
      </c>
      <c r="G69" s="737"/>
      <c r="H69" s="628">
        <f ca="1">TODAY()</f>
        <v>44712</v>
      </c>
      <c r="I69" s="738"/>
      <c r="J69" s="1378" t="str">
        <f>IF($K$69&gt;=70,"HIJAU","MERAH")</f>
        <v>HIJAU</v>
      </c>
      <c r="K69" s="1374">
        <f>M18+M23+M32</f>
        <v>100</v>
      </c>
      <c r="L69" s="1376" t="str">
        <f>IF($K$69&gt;=70,"P","O")</f>
        <v>P</v>
      </c>
      <c r="M69" s="369"/>
    </row>
    <row r="70" spans="1:26" ht="15.75" customHeight="1" x14ac:dyDescent="0.25">
      <c r="A70" s="712"/>
      <c r="B70" s="344"/>
      <c r="C70" s="739" t="s">
        <v>270</v>
      </c>
      <c r="D70" s="740"/>
      <c r="E70" s="737" t="s">
        <v>7</v>
      </c>
      <c r="F70" s="737"/>
      <c r="G70" s="737"/>
      <c r="H70" s="741"/>
      <c r="I70" s="741"/>
      <c r="J70" s="1379"/>
      <c r="K70" s="1375"/>
      <c r="L70" s="1377"/>
      <c r="M70" s="369"/>
    </row>
    <row r="72" spans="1:26" x14ac:dyDescent="0.25">
      <c r="A72" s="344"/>
      <c r="B72" s="344"/>
      <c r="C72" s="344"/>
      <c r="D72" s="344"/>
      <c r="E72" s="344"/>
      <c r="F72" s="344"/>
      <c r="G72" s="344"/>
      <c r="H72" s="344"/>
      <c r="I72" s="344"/>
      <c r="J72" s="344"/>
      <c r="K72" s="344"/>
      <c r="M72" s="344"/>
    </row>
    <row r="73" spans="1:26" x14ac:dyDescent="0.25">
      <c r="A73" s="344"/>
      <c r="B73" s="344"/>
      <c r="C73" s="344"/>
      <c r="D73" s="344"/>
      <c r="E73" s="344"/>
      <c r="F73" s="344"/>
      <c r="G73" s="344"/>
      <c r="H73" s="370"/>
      <c r="I73" s="344"/>
      <c r="J73" s="344"/>
      <c r="K73" s="344"/>
      <c r="M73" s="344"/>
    </row>
    <row r="74" spans="1:26" x14ac:dyDescent="0.25">
      <c r="A74" s="344"/>
      <c r="B74" s="344"/>
      <c r="C74" s="344"/>
      <c r="D74" s="344"/>
      <c r="E74" s="344"/>
      <c r="F74" s="344"/>
      <c r="G74" s="344"/>
      <c r="H74" s="344"/>
      <c r="I74" s="344"/>
      <c r="J74" s="344"/>
      <c r="K74" s="344"/>
      <c r="M74" s="344"/>
    </row>
    <row r="204" spans="1:6" x14ac:dyDescent="0.25">
      <c r="A204" s="344"/>
      <c r="B204" s="344"/>
      <c r="C204" s="344"/>
      <c r="D204" s="344"/>
      <c r="E204" s="344"/>
      <c r="F204" s="742"/>
    </row>
  </sheetData>
  <sheetProtection formatCells="0" formatColumns="0" formatRows="0" insertColumns="0" insertRows="0" deleteColumns="0" deleteRows="0"/>
  <dataConsolidate/>
  <mergeCells count="90">
    <mergeCell ref="O59:U59"/>
    <mergeCell ref="O58:U58"/>
    <mergeCell ref="O57:U57"/>
    <mergeCell ref="L45:L47"/>
    <mergeCell ref="K48:K50"/>
    <mergeCell ref="B45:B47"/>
    <mergeCell ref="C45:D47"/>
    <mergeCell ref="F45:F47"/>
    <mergeCell ref="B48:B50"/>
    <mergeCell ref="B22:H22"/>
    <mergeCell ref="B29:B31"/>
    <mergeCell ref="B34:B35"/>
    <mergeCell ref="B32:B33"/>
    <mergeCell ref="C48:C50"/>
    <mergeCell ref="E48:E50"/>
    <mergeCell ref="G45:G47"/>
    <mergeCell ref="H45:H47"/>
    <mergeCell ref="G48:G50"/>
    <mergeCell ref="H48:H50"/>
    <mergeCell ref="K22:L22"/>
    <mergeCell ref="K23:L23"/>
    <mergeCell ref="M23:M25"/>
    <mergeCell ref="O23:O25"/>
    <mergeCell ref="K24:L24"/>
    <mergeCell ref="K25:L25"/>
    <mergeCell ref="K29:K31"/>
    <mergeCell ref="G40:G41"/>
    <mergeCell ref="G38:G39"/>
    <mergeCell ref="G36:G37"/>
    <mergeCell ref="K45:K47"/>
    <mergeCell ref="H29:H31"/>
    <mergeCell ref="I29:I31"/>
    <mergeCell ref="G29:G31"/>
    <mergeCell ref="G34:G35"/>
    <mergeCell ref="G32:G33"/>
    <mergeCell ref="J32:J41"/>
    <mergeCell ref="J45:J47"/>
    <mergeCell ref="I45:I47"/>
    <mergeCell ref="K69:K70"/>
    <mergeCell ref="L69:L70"/>
    <mergeCell ref="J69:J70"/>
    <mergeCell ref="K68:L68"/>
    <mergeCell ref="A36:A37"/>
    <mergeCell ref="A38:A39"/>
    <mergeCell ref="A40:A41"/>
    <mergeCell ref="B36:B37"/>
    <mergeCell ref="B38:B39"/>
    <mergeCell ref="B67:G67"/>
    <mergeCell ref="B40:B41"/>
    <mergeCell ref="B66:G66"/>
    <mergeCell ref="B60:G60"/>
    <mergeCell ref="A65:G65"/>
    <mergeCell ref="B64:L64"/>
    <mergeCell ref="C68:G68"/>
    <mergeCell ref="A32:A33"/>
    <mergeCell ref="A34:A35"/>
    <mergeCell ref="J29:J31"/>
    <mergeCell ref="F29:F31"/>
    <mergeCell ref="A29:A31"/>
    <mergeCell ref="D29:D31"/>
    <mergeCell ref="E29:E31"/>
    <mergeCell ref="C29:C31"/>
    <mergeCell ref="A1:M1"/>
    <mergeCell ref="A2:M2"/>
    <mergeCell ref="A4:C4"/>
    <mergeCell ref="A5:C5"/>
    <mergeCell ref="A20:G20"/>
    <mergeCell ref="B15:C15"/>
    <mergeCell ref="B13:G13"/>
    <mergeCell ref="A6:C6"/>
    <mergeCell ref="B14:C14"/>
    <mergeCell ref="A9:C9"/>
    <mergeCell ref="P18:P19"/>
    <mergeCell ref="M18:M19"/>
    <mergeCell ref="Y32:Y33"/>
    <mergeCell ref="Y34:Y35"/>
    <mergeCell ref="M32:M41"/>
    <mergeCell ref="Y36:Y37"/>
    <mergeCell ref="Y38:Y39"/>
    <mergeCell ref="Y40:Y41"/>
    <mergeCell ref="P23:P25"/>
    <mergeCell ref="AA25:AA27"/>
    <mergeCell ref="T24:Z24"/>
    <mergeCell ref="T23:Z23"/>
    <mergeCell ref="T25:Z25"/>
    <mergeCell ref="Z40:Z41"/>
    <mergeCell ref="Z32:Z33"/>
    <mergeCell ref="Z34:Z35"/>
    <mergeCell ref="Z36:Z37"/>
    <mergeCell ref="Z38:Z39"/>
  </mergeCells>
  <phoneticPr fontId="0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69" orientation="portrait" horizontalDpi="4294967293" verticalDpi="4294967293" r:id="rId1"/>
  <headerFooter>
    <oddHeader>&amp;R&amp;"-,Regular"&amp;8T.014-18</oddHeader>
    <oddFooter>&amp;R&amp;8&amp;K00-012Software BPM 9.3.2022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tabColor rgb="FFFF0000"/>
  </sheetPr>
  <dimension ref="A1:IN216"/>
  <sheetViews>
    <sheetView showGridLines="0" view="pageBreakPreview" zoomScaleNormal="100" zoomScaleSheetLayoutView="100" workbookViewId="0">
      <pane ySplit="2" topLeftCell="A30" activePane="bottomLeft" state="frozen"/>
      <selection pane="bottomLeft" activeCell="L37" sqref="L37"/>
    </sheetView>
  </sheetViews>
  <sheetFormatPr defaultColWidth="9.109375" defaultRowHeight="15.6" x14ac:dyDescent="0.3"/>
  <cols>
    <col min="1" max="1" width="5.44140625" style="409" customWidth="1"/>
    <col min="2" max="2" width="4" style="372" customWidth="1"/>
    <col min="3" max="3" width="18.88671875" style="372" customWidth="1"/>
    <col min="4" max="4" width="0.5546875" style="372" hidden="1" customWidth="1"/>
    <col min="5" max="5" width="1.44140625" style="372" customWidth="1"/>
    <col min="6" max="6" width="13.5546875" style="372" customWidth="1"/>
    <col min="7" max="7" width="13.6640625" style="372" customWidth="1"/>
    <col min="8" max="8" width="13.88671875" style="372" customWidth="1"/>
    <col min="9" max="9" width="13.33203125" style="372" customWidth="1"/>
    <col min="10" max="10" width="16.109375" style="372" customWidth="1"/>
    <col min="11" max="12" width="16" style="372" customWidth="1"/>
    <col min="13" max="223" width="9.109375" style="372" customWidth="1"/>
    <col min="224" max="247" width="10.33203125" style="372" customWidth="1"/>
    <col min="248" max="248" width="7.5546875" style="372" customWidth="1"/>
    <col min="249" max="249" width="8.6640625" style="372" customWidth="1"/>
    <col min="250" max="255" width="8.88671875" style="372" customWidth="1"/>
    <col min="256" max="16384" width="9.109375" style="372"/>
  </cols>
  <sheetData>
    <row r="1" spans="1:248" ht="17.399999999999999" x14ac:dyDescent="0.3">
      <c r="A1" s="1454" t="s">
        <v>226</v>
      </c>
      <c r="B1" s="1454"/>
      <c r="C1" s="1454"/>
      <c r="D1" s="1454"/>
      <c r="E1" s="1454"/>
      <c r="F1" s="1454"/>
      <c r="G1" s="1454"/>
      <c r="H1" s="1454"/>
      <c r="I1" s="1454"/>
      <c r="J1" s="1454"/>
      <c r="K1" s="1454"/>
      <c r="L1" s="1454"/>
      <c r="M1" s="371"/>
      <c r="N1" s="371"/>
      <c r="O1" s="371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  <c r="DW1" s="743"/>
      <c r="DX1" s="743"/>
      <c r="DY1" s="743"/>
      <c r="DZ1" s="743"/>
      <c r="EA1" s="743"/>
      <c r="EB1" s="743"/>
      <c r="EC1" s="743"/>
      <c r="ED1" s="743"/>
      <c r="EE1" s="743"/>
      <c r="EF1" s="743"/>
      <c r="EG1" s="743"/>
      <c r="EH1" s="743"/>
      <c r="EI1" s="743"/>
      <c r="EJ1" s="743"/>
      <c r="EK1" s="743"/>
      <c r="EL1" s="743"/>
      <c r="EM1" s="743"/>
      <c r="EN1" s="743"/>
      <c r="EO1" s="743"/>
      <c r="EP1" s="743"/>
      <c r="EQ1" s="743"/>
      <c r="ER1" s="743"/>
      <c r="ES1" s="743"/>
      <c r="ET1" s="743"/>
      <c r="EU1" s="743"/>
      <c r="EV1" s="743"/>
      <c r="EW1" s="743"/>
      <c r="EX1" s="743"/>
      <c r="EY1" s="743"/>
      <c r="EZ1" s="743"/>
      <c r="FA1" s="743"/>
      <c r="FB1" s="743"/>
      <c r="FC1" s="743"/>
      <c r="FD1" s="743"/>
      <c r="FE1" s="743"/>
      <c r="FF1" s="743"/>
      <c r="FG1" s="743"/>
      <c r="FH1" s="743"/>
      <c r="FI1" s="743"/>
      <c r="FJ1" s="743"/>
      <c r="FK1" s="743"/>
      <c r="FL1" s="743"/>
      <c r="FM1" s="743"/>
      <c r="FN1" s="743"/>
      <c r="FO1" s="743"/>
      <c r="FP1" s="743"/>
      <c r="FQ1" s="743"/>
      <c r="FR1" s="743"/>
      <c r="FS1" s="743"/>
      <c r="FT1" s="743"/>
      <c r="FU1" s="743"/>
      <c r="FV1" s="743"/>
      <c r="FW1" s="743"/>
      <c r="FX1" s="743"/>
      <c r="FY1" s="743"/>
      <c r="FZ1" s="743"/>
      <c r="GA1" s="743"/>
      <c r="GB1" s="743"/>
      <c r="GC1" s="743"/>
      <c r="GD1" s="743"/>
      <c r="GE1" s="743"/>
      <c r="GF1" s="743"/>
      <c r="GG1" s="743"/>
      <c r="GH1" s="743"/>
      <c r="GI1" s="743"/>
      <c r="GJ1" s="743"/>
      <c r="GK1" s="743"/>
      <c r="GL1" s="743"/>
      <c r="GM1" s="743"/>
      <c r="GN1" s="743"/>
      <c r="GO1" s="743"/>
      <c r="GP1" s="743"/>
      <c r="GQ1" s="743"/>
      <c r="GR1" s="743"/>
      <c r="GS1" s="743"/>
      <c r="GT1" s="743"/>
      <c r="GU1" s="743"/>
      <c r="GV1" s="743"/>
      <c r="GW1" s="743"/>
      <c r="GX1" s="743"/>
      <c r="GY1" s="743"/>
      <c r="GZ1" s="743"/>
      <c r="HA1" s="743"/>
      <c r="HB1" s="743"/>
      <c r="HC1" s="743"/>
      <c r="HD1" s="743"/>
      <c r="HE1" s="743"/>
      <c r="HF1" s="743"/>
      <c r="HG1" s="743"/>
      <c r="HH1" s="743"/>
      <c r="HI1" s="743"/>
      <c r="HJ1" s="743"/>
      <c r="HK1" s="743"/>
      <c r="HL1" s="743"/>
      <c r="HM1" s="743"/>
      <c r="HN1" s="743"/>
      <c r="HO1" s="743"/>
      <c r="HP1" s="743"/>
      <c r="HQ1" s="743"/>
      <c r="HR1" s="743"/>
      <c r="HS1" s="743"/>
      <c r="HT1" s="743"/>
      <c r="HU1" s="743"/>
      <c r="HV1" s="743"/>
      <c r="HW1" s="743"/>
      <c r="HX1" s="743"/>
      <c r="HY1" s="743"/>
      <c r="HZ1" s="743"/>
      <c r="IA1" s="743"/>
      <c r="IB1" s="743"/>
      <c r="IC1" s="743"/>
      <c r="ID1" s="743"/>
      <c r="IE1" s="743"/>
      <c r="IF1" s="743"/>
      <c r="IG1" s="743"/>
      <c r="IH1" s="743"/>
      <c r="II1" s="743"/>
      <c r="IJ1" s="743"/>
      <c r="IK1" s="743"/>
      <c r="IL1" s="743"/>
      <c r="IM1" s="743"/>
      <c r="IN1" s="744"/>
    </row>
    <row r="2" spans="1:248" ht="16.8" x14ac:dyDescent="0.3">
      <c r="A2" s="1456" t="str">
        <f>PENYELIA!A2</f>
        <v>Nomor sertifikat : 9 /2 / II - 20 / E - 015.38 DL</v>
      </c>
      <c r="B2" s="1456"/>
      <c r="C2" s="1456"/>
      <c r="D2" s="1456"/>
      <c r="E2" s="1456"/>
      <c r="F2" s="1456"/>
      <c r="G2" s="1456"/>
      <c r="H2" s="1456"/>
      <c r="I2" s="1456"/>
      <c r="J2" s="1456"/>
      <c r="K2" s="1456"/>
      <c r="L2" s="1456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  <c r="DW2" s="743"/>
      <c r="DX2" s="743"/>
      <c r="DY2" s="743"/>
      <c r="DZ2" s="743"/>
      <c r="EA2" s="743"/>
      <c r="EB2" s="743"/>
      <c r="EC2" s="743"/>
      <c r="ED2" s="743"/>
      <c r="EE2" s="743"/>
      <c r="EF2" s="743"/>
      <c r="EG2" s="743"/>
      <c r="EH2" s="743"/>
      <c r="EI2" s="743"/>
      <c r="EJ2" s="743"/>
      <c r="EK2" s="743"/>
      <c r="EL2" s="743"/>
      <c r="EM2" s="743"/>
      <c r="EN2" s="743"/>
      <c r="EO2" s="743"/>
      <c r="EP2" s="743"/>
      <c r="EQ2" s="743"/>
      <c r="ER2" s="743"/>
      <c r="ES2" s="743"/>
      <c r="ET2" s="743"/>
      <c r="EU2" s="743"/>
      <c r="EV2" s="743"/>
      <c r="EW2" s="743"/>
      <c r="EX2" s="743"/>
      <c r="EY2" s="743"/>
      <c r="EZ2" s="743"/>
      <c r="FA2" s="743"/>
      <c r="FB2" s="743"/>
      <c r="FC2" s="743"/>
      <c r="FD2" s="743"/>
      <c r="FE2" s="743"/>
      <c r="FF2" s="743"/>
      <c r="FG2" s="743"/>
      <c r="FH2" s="743"/>
      <c r="FI2" s="743"/>
      <c r="FJ2" s="743"/>
      <c r="FK2" s="743"/>
      <c r="FL2" s="743"/>
      <c r="FM2" s="743"/>
      <c r="FN2" s="743"/>
      <c r="FO2" s="743"/>
      <c r="FP2" s="743"/>
      <c r="FQ2" s="743"/>
      <c r="FR2" s="743"/>
      <c r="FS2" s="743"/>
      <c r="FT2" s="743"/>
      <c r="FU2" s="743"/>
      <c r="FV2" s="743"/>
      <c r="FW2" s="743"/>
      <c r="FX2" s="743"/>
      <c r="FY2" s="743"/>
      <c r="FZ2" s="743"/>
      <c r="GA2" s="743"/>
      <c r="GB2" s="743"/>
      <c r="GC2" s="743"/>
      <c r="GD2" s="743"/>
      <c r="GE2" s="743"/>
      <c r="GF2" s="743"/>
      <c r="GG2" s="743"/>
      <c r="GH2" s="743"/>
      <c r="GI2" s="743"/>
      <c r="GJ2" s="743"/>
      <c r="GK2" s="743"/>
      <c r="GL2" s="743"/>
      <c r="GM2" s="743"/>
      <c r="GN2" s="743"/>
      <c r="GO2" s="743"/>
      <c r="GP2" s="743"/>
      <c r="GQ2" s="743"/>
      <c r="GR2" s="743"/>
      <c r="GS2" s="743"/>
      <c r="GT2" s="743"/>
      <c r="GU2" s="743"/>
      <c r="GV2" s="743"/>
      <c r="GW2" s="743"/>
      <c r="GX2" s="743"/>
      <c r="GY2" s="743"/>
      <c r="GZ2" s="743"/>
      <c r="HA2" s="743"/>
      <c r="HB2" s="743"/>
      <c r="HC2" s="743"/>
      <c r="HD2" s="743"/>
      <c r="HE2" s="743"/>
      <c r="HF2" s="743"/>
      <c r="HG2" s="743"/>
      <c r="HH2" s="743"/>
      <c r="HI2" s="743"/>
      <c r="HJ2" s="743"/>
      <c r="HK2" s="743"/>
      <c r="HL2" s="743"/>
      <c r="HM2" s="743"/>
      <c r="HN2" s="743"/>
      <c r="HO2" s="743"/>
      <c r="HP2" s="743"/>
      <c r="HQ2" s="743"/>
      <c r="HR2" s="743"/>
      <c r="HS2" s="743"/>
      <c r="HT2" s="743"/>
      <c r="HU2" s="743"/>
      <c r="HV2" s="743"/>
      <c r="HW2" s="743"/>
      <c r="HX2" s="743"/>
      <c r="HY2" s="743"/>
      <c r="HZ2" s="743"/>
      <c r="IA2" s="743"/>
      <c r="IB2" s="743"/>
      <c r="IC2" s="743"/>
      <c r="ID2" s="743"/>
      <c r="IE2" s="743"/>
      <c r="IF2" s="743"/>
      <c r="IG2" s="743"/>
      <c r="IH2" s="743"/>
      <c r="II2" s="743"/>
      <c r="IJ2" s="743"/>
      <c r="IK2" s="743"/>
      <c r="IL2" s="743"/>
      <c r="IM2" s="743"/>
      <c r="IN2" s="744" t="s">
        <v>227</v>
      </c>
    </row>
    <row r="3" spans="1:248" s="373" customFormat="1" ht="9" customHeight="1" x14ac:dyDescent="0.3">
      <c r="A3" s="676"/>
      <c r="B3" s="676"/>
      <c r="C3" s="676"/>
      <c r="D3" s="676"/>
      <c r="E3" s="676"/>
      <c r="F3" s="676"/>
      <c r="G3" s="676"/>
      <c r="H3" s="676"/>
      <c r="I3" s="676"/>
      <c r="J3" s="676"/>
      <c r="K3" s="676"/>
      <c r="IN3" s="374"/>
    </row>
    <row r="4" spans="1:248" x14ac:dyDescent="0.3">
      <c r="A4" s="1455" t="str">
        <f>ID!B4</f>
        <v>Merek</v>
      </c>
      <c r="B4" s="1455"/>
      <c r="C4" s="1455"/>
      <c r="D4" s="375" t="s">
        <v>7</v>
      </c>
      <c r="E4" s="375" t="s">
        <v>7</v>
      </c>
      <c r="F4" s="676" t="str">
        <f>ID!E4</f>
        <v>OMRON</v>
      </c>
      <c r="G4" s="676"/>
      <c r="H4" s="676"/>
      <c r="I4" s="676"/>
      <c r="J4" s="376"/>
      <c r="K4" s="376"/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3"/>
      <c r="X4" s="743"/>
      <c r="Y4" s="743"/>
      <c r="Z4" s="743"/>
      <c r="AA4" s="743"/>
      <c r="AB4" s="743"/>
      <c r="AC4" s="743"/>
      <c r="AD4" s="743"/>
      <c r="AE4" s="743"/>
      <c r="AF4" s="743"/>
      <c r="AG4" s="743"/>
      <c r="AH4" s="743"/>
      <c r="AI4" s="743"/>
      <c r="AJ4" s="743"/>
      <c r="AK4" s="743"/>
      <c r="AL4" s="743"/>
      <c r="AM4" s="743"/>
      <c r="AN4" s="743"/>
      <c r="AO4" s="743"/>
      <c r="AP4" s="743"/>
      <c r="AQ4" s="743"/>
      <c r="AR4" s="743"/>
      <c r="AS4" s="743"/>
      <c r="AT4" s="743"/>
      <c r="AU4" s="743"/>
      <c r="AV4" s="743"/>
      <c r="AW4" s="743"/>
      <c r="AX4" s="743"/>
      <c r="AY4" s="743"/>
      <c r="AZ4" s="743"/>
      <c r="BA4" s="743"/>
      <c r="BB4" s="743"/>
      <c r="BC4" s="743"/>
      <c r="BD4" s="743"/>
      <c r="BE4" s="743"/>
      <c r="BF4" s="743"/>
      <c r="BG4" s="743"/>
      <c r="BH4" s="743"/>
      <c r="BI4" s="743"/>
      <c r="BJ4" s="743"/>
      <c r="BK4" s="743"/>
      <c r="BL4" s="743"/>
      <c r="BM4" s="743"/>
      <c r="BN4" s="743"/>
      <c r="BO4" s="743"/>
      <c r="BP4" s="743"/>
      <c r="BQ4" s="743"/>
      <c r="BR4" s="743"/>
      <c r="BS4" s="743"/>
      <c r="BT4" s="743"/>
      <c r="BU4" s="743"/>
      <c r="BV4" s="743"/>
      <c r="BW4" s="743"/>
      <c r="BX4" s="743"/>
      <c r="BY4" s="743"/>
      <c r="BZ4" s="743"/>
      <c r="CA4" s="743"/>
      <c r="CB4" s="743"/>
      <c r="CC4" s="743"/>
      <c r="CD4" s="743"/>
      <c r="CE4" s="743"/>
      <c r="CF4" s="743"/>
      <c r="CG4" s="743"/>
      <c r="CH4" s="743"/>
      <c r="CI4" s="743"/>
      <c r="CJ4" s="743"/>
      <c r="CK4" s="743"/>
      <c r="CL4" s="743"/>
      <c r="CM4" s="743"/>
      <c r="CN4" s="743"/>
      <c r="CO4" s="743"/>
      <c r="CP4" s="743"/>
      <c r="CQ4" s="743"/>
      <c r="CR4" s="743"/>
      <c r="CS4" s="743"/>
      <c r="CT4" s="743"/>
      <c r="CU4" s="743"/>
      <c r="CV4" s="743"/>
      <c r="CW4" s="743"/>
      <c r="CX4" s="743"/>
      <c r="CY4" s="743"/>
      <c r="CZ4" s="743"/>
      <c r="DA4" s="743"/>
      <c r="DB4" s="743"/>
      <c r="DC4" s="743"/>
      <c r="DD4" s="743"/>
      <c r="DE4" s="743"/>
      <c r="DF4" s="743"/>
      <c r="DG4" s="743"/>
      <c r="DH4" s="743"/>
      <c r="DI4" s="743"/>
      <c r="DJ4" s="743"/>
      <c r="DK4" s="743"/>
      <c r="DL4" s="743"/>
      <c r="DM4" s="743"/>
      <c r="DN4" s="743"/>
      <c r="DO4" s="743"/>
      <c r="DP4" s="743"/>
      <c r="DQ4" s="743"/>
      <c r="DR4" s="743"/>
      <c r="DS4" s="743"/>
      <c r="DT4" s="743"/>
      <c r="DU4" s="743"/>
      <c r="DV4" s="743"/>
      <c r="DW4" s="743"/>
      <c r="DX4" s="743"/>
      <c r="DY4" s="743"/>
      <c r="DZ4" s="743"/>
      <c r="EA4" s="743"/>
      <c r="EB4" s="743"/>
      <c r="EC4" s="743"/>
      <c r="ED4" s="743"/>
      <c r="EE4" s="743"/>
      <c r="EF4" s="743"/>
      <c r="EG4" s="743"/>
      <c r="EH4" s="743"/>
      <c r="EI4" s="743"/>
      <c r="EJ4" s="743"/>
      <c r="EK4" s="743"/>
      <c r="EL4" s="743"/>
      <c r="EM4" s="743"/>
      <c r="EN4" s="743"/>
      <c r="EO4" s="743"/>
      <c r="EP4" s="743"/>
      <c r="EQ4" s="743"/>
      <c r="ER4" s="743"/>
      <c r="ES4" s="743"/>
      <c r="ET4" s="743"/>
      <c r="EU4" s="743"/>
      <c r="EV4" s="743"/>
      <c r="EW4" s="743"/>
      <c r="EX4" s="743"/>
      <c r="EY4" s="743"/>
      <c r="EZ4" s="743"/>
      <c r="FA4" s="743"/>
      <c r="FB4" s="743"/>
      <c r="FC4" s="743"/>
      <c r="FD4" s="743"/>
      <c r="FE4" s="743"/>
      <c r="FF4" s="743"/>
      <c r="FG4" s="743"/>
      <c r="FH4" s="743"/>
      <c r="FI4" s="743"/>
      <c r="FJ4" s="743"/>
      <c r="FK4" s="743"/>
      <c r="FL4" s="743"/>
      <c r="FM4" s="743"/>
      <c r="FN4" s="743"/>
      <c r="FO4" s="743"/>
      <c r="FP4" s="743"/>
      <c r="FQ4" s="743"/>
      <c r="FR4" s="743"/>
      <c r="FS4" s="743"/>
      <c r="FT4" s="743"/>
      <c r="FU4" s="743"/>
      <c r="FV4" s="743"/>
      <c r="FW4" s="743"/>
      <c r="FX4" s="743"/>
      <c r="FY4" s="743"/>
      <c r="FZ4" s="743"/>
      <c r="GA4" s="743"/>
      <c r="GB4" s="743"/>
      <c r="GC4" s="743"/>
      <c r="GD4" s="743"/>
      <c r="GE4" s="743"/>
      <c r="GF4" s="743"/>
      <c r="GG4" s="743"/>
      <c r="GH4" s="743"/>
      <c r="GI4" s="743"/>
      <c r="GJ4" s="743"/>
      <c r="GK4" s="743"/>
      <c r="GL4" s="743"/>
      <c r="GM4" s="743"/>
      <c r="GN4" s="743"/>
      <c r="GO4" s="743"/>
      <c r="GP4" s="743"/>
      <c r="GQ4" s="743"/>
      <c r="GR4" s="743"/>
      <c r="GS4" s="743"/>
      <c r="GT4" s="743"/>
      <c r="GU4" s="743"/>
      <c r="GV4" s="743"/>
      <c r="GW4" s="743"/>
      <c r="GX4" s="743"/>
      <c r="GY4" s="743"/>
      <c r="GZ4" s="743"/>
      <c r="HA4" s="743"/>
      <c r="HB4" s="743"/>
      <c r="HC4" s="743"/>
      <c r="HD4" s="743"/>
      <c r="HE4" s="743"/>
      <c r="HF4" s="743"/>
      <c r="HG4" s="743"/>
      <c r="HH4" s="743"/>
      <c r="HI4" s="743"/>
      <c r="HJ4" s="743"/>
      <c r="HK4" s="743"/>
      <c r="HL4" s="743"/>
      <c r="HM4" s="743"/>
      <c r="HN4" s="743"/>
      <c r="HO4" s="743"/>
      <c r="HP4" s="743"/>
      <c r="HQ4" s="743"/>
      <c r="HR4" s="743"/>
      <c r="HS4" s="743"/>
      <c r="HT4" s="743"/>
      <c r="HU4" s="743"/>
      <c r="HV4" s="743"/>
      <c r="HW4" s="743"/>
      <c r="HX4" s="743"/>
      <c r="HY4" s="743"/>
      <c r="HZ4" s="743"/>
      <c r="IA4" s="743"/>
      <c r="IB4" s="743"/>
      <c r="IC4" s="743"/>
      <c r="ID4" s="743"/>
      <c r="IE4" s="743"/>
      <c r="IF4" s="743"/>
      <c r="IG4" s="743"/>
      <c r="IH4" s="743"/>
      <c r="II4" s="743"/>
      <c r="IJ4" s="743"/>
      <c r="IK4" s="743"/>
      <c r="IL4" s="743"/>
      <c r="IM4" s="743"/>
      <c r="IN4" s="744" t="s">
        <v>228</v>
      </c>
    </row>
    <row r="5" spans="1:248" x14ac:dyDescent="0.3">
      <c r="A5" s="1455" t="str">
        <f>ID!B5</f>
        <v>Model/ tipe</v>
      </c>
      <c r="B5" s="1455"/>
      <c r="C5" s="1455"/>
      <c r="D5" s="375" t="s">
        <v>7</v>
      </c>
      <c r="E5" s="375" t="s">
        <v>7</v>
      </c>
      <c r="F5" s="676" t="str">
        <f>ID!E5</f>
        <v>HEM-8712</v>
      </c>
      <c r="G5" s="676"/>
      <c r="H5" s="676"/>
      <c r="I5" s="676"/>
      <c r="J5" s="376"/>
      <c r="K5" s="376"/>
      <c r="L5" s="743"/>
      <c r="M5" s="743"/>
      <c r="N5" s="743"/>
      <c r="O5" s="743"/>
      <c r="P5" s="743"/>
      <c r="Q5" s="743"/>
      <c r="R5" s="743"/>
      <c r="S5" s="743"/>
      <c r="T5" s="743"/>
      <c r="U5" s="743"/>
      <c r="V5" s="743"/>
      <c r="W5" s="743"/>
      <c r="X5" s="743"/>
      <c r="Y5" s="743"/>
      <c r="Z5" s="743"/>
      <c r="AA5" s="743"/>
      <c r="AB5" s="743"/>
      <c r="AC5" s="743"/>
      <c r="AD5" s="743"/>
      <c r="AE5" s="743"/>
      <c r="AF5" s="743"/>
      <c r="AG5" s="743"/>
      <c r="AH5" s="743"/>
      <c r="AI5" s="743"/>
      <c r="AJ5" s="743"/>
      <c r="AK5" s="743"/>
      <c r="AL5" s="743"/>
      <c r="AM5" s="743"/>
      <c r="AN5" s="743"/>
      <c r="AO5" s="743"/>
      <c r="AP5" s="743"/>
      <c r="AQ5" s="743"/>
      <c r="AR5" s="743"/>
      <c r="AS5" s="743"/>
      <c r="AT5" s="743"/>
      <c r="AU5" s="743"/>
      <c r="AV5" s="743"/>
      <c r="AW5" s="743"/>
      <c r="AX5" s="743"/>
      <c r="AY5" s="743"/>
      <c r="AZ5" s="743"/>
      <c r="BA5" s="743"/>
      <c r="BB5" s="743"/>
      <c r="BC5" s="743"/>
      <c r="BD5" s="743"/>
      <c r="BE5" s="743"/>
      <c r="BF5" s="743"/>
      <c r="BG5" s="743"/>
      <c r="BH5" s="743"/>
      <c r="BI5" s="743"/>
      <c r="BJ5" s="743"/>
      <c r="BK5" s="743"/>
      <c r="BL5" s="743"/>
      <c r="BM5" s="743"/>
      <c r="BN5" s="743"/>
      <c r="BO5" s="743"/>
      <c r="BP5" s="743"/>
      <c r="BQ5" s="743"/>
      <c r="BR5" s="743"/>
      <c r="BS5" s="743"/>
      <c r="BT5" s="743"/>
      <c r="BU5" s="743"/>
      <c r="BV5" s="743"/>
      <c r="BW5" s="743"/>
      <c r="BX5" s="743"/>
      <c r="BY5" s="743"/>
      <c r="BZ5" s="743"/>
      <c r="CA5" s="743"/>
      <c r="CB5" s="743"/>
      <c r="CC5" s="743"/>
      <c r="CD5" s="743"/>
      <c r="CE5" s="743"/>
      <c r="CF5" s="743"/>
      <c r="CG5" s="743"/>
      <c r="CH5" s="743"/>
      <c r="CI5" s="743"/>
      <c r="CJ5" s="743"/>
      <c r="CK5" s="743"/>
      <c r="CL5" s="743"/>
      <c r="CM5" s="743"/>
      <c r="CN5" s="743"/>
      <c r="CO5" s="743"/>
      <c r="CP5" s="743"/>
      <c r="CQ5" s="743"/>
      <c r="CR5" s="743"/>
      <c r="CS5" s="743"/>
      <c r="CT5" s="743"/>
      <c r="CU5" s="743"/>
      <c r="CV5" s="743"/>
      <c r="CW5" s="743"/>
      <c r="CX5" s="743"/>
      <c r="CY5" s="743"/>
      <c r="CZ5" s="743"/>
      <c r="DA5" s="743"/>
      <c r="DB5" s="743"/>
      <c r="DC5" s="743"/>
      <c r="DD5" s="743"/>
      <c r="DE5" s="743"/>
      <c r="DF5" s="743"/>
      <c r="DG5" s="743"/>
      <c r="DH5" s="743"/>
      <c r="DI5" s="743"/>
      <c r="DJ5" s="743"/>
      <c r="DK5" s="743"/>
      <c r="DL5" s="743"/>
      <c r="DM5" s="743"/>
      <c r="DN5" s="743"/>
      <c r="DO5" s="743"/>
      <c r="DP5" s="743"/>
      <c r="DQ5" s="743"/>
      <c r="DR5" s="743"/>
      <c r="DS5" s="743"/>
      <c r="DT5" s="743"/>
      <c r="DU5" s="743"/>
      <c r="DV5" s="743"/>
      <c r="DW5" s="743"/>
      <c r="DX5" s="743"/>
      <c r="DY5" s="743"/>
      <c r="DZ5" s="743"/>
      <c r="EA5" s="743"/>
      <c r="EB5" s="743"/>
      <c r="EC5" s="743"/>
      <c r="ED5" s="743"/>
      <c r="EE5" s="743"/>
      <c r="EF5" s="743"/>
      <c r="EG5" s="743"/>
      <c r="EH5" s="743"/>
      <c r="EI5" s="743"/>
      <c r="EJ5" s="743"/>
      <c r="EK5" s="743"/>
      <c r="EL5" s="743"/>
      <c r="EM5" s="743"/>
      <c r="EN5" s="743"/>
      <c r="EO5" s="743"/>
      <c r="EP5" s="743"/>
      <c r="EQ5" s="743"/>
      <c r="ER5" s="743"/>
      <c r="ES5" s="743"/>
      <c r="ET5" s="743"/>
      <c r="EU5" s="743"/>
      <c r="EV5" s="743"/>
      <c r="EW5" s="743"/>
      <c r="EX5" s="743"/>
      <c r="EY5" s="743"/>
      <c r="EZ5" s="743"/>
      <c r="FA5" s="743"/>
      <c r="FB5" s="743"/>
      <c r="FC5" s="743"/>
      <c r="FD5" s="743"/>
      <c r="FE5" s="743"/>
      <c r="FF5" s="743"/>
      <c r="FG5" s="743"/>
      <c r="FH5" s="743"/>
      <c r="FI5" s="743"/>
      <c r="FJ5" s="743"/>
      <c r="FK5" s="743"/>
      <c r="FL5" s="743"/>
      <c r="FM5" s="743"/>
      <c r="FN5" s="743"/>
      <c r="FO5" s="743"/>
      <c r="FP5" s="743"/>
      <c r="FQ5" s="743"/>
      <c r="FR5" s="743"/>
      <c r="FS5" s="743"/>
      <c r="FT5" s="743"/>
      <c r="FU5" s="743"/>
      <c r="FV5" s="743"/>
      <c r="FW5" s="743"/>
      <c r="FX5" s="743"/>
      <c r="FY5" s="743"/>
      <c r="FZ5" s="743"/>
      <c r="GA5" s="743"/>
      <c r="GB5" s="743"/>
      <c r="GC5" s="743"/>
      <c r="GD5" s="743"/>
      <c r="GE5" s="743"/>
      <c r="GF5" s="743"/>
      <c r="GG5" s="743"/>
      <c r="GH5" s="743"/>
      <c r="GI5" s="743"/>
      <c r="GJ5" s="743"/>
      <c r="GK5" s="743"/>
      <c r="GL5" s="743"/>
      <c r="GM5" s="743"/>
      <c r="GN5" s="743"/>
      <c r="GO5" s="743"/>
      <c r="GP5" s="743"/>
      <c r="GQ5" s="743"/>
      <c r="GR5" s="743"/>
      <c r="GS5" s="743"/>
      <c r="GT5" s="743"/>
      <c r="GU5" s="743"/>
      <c r="GV5" s="743"/>
      <c r="GW5" s="743"/>
      <c r="GX5" s="743"/>
      <c r="GY5" s="743"/>
      <c r="GZ5" s="743"/>
      <c r="HA5" s="743"/>
      <c r="HB5" s="743"/>
      <c r="HC5" s="743"/>
      <c r="HD5" s="743"/>
      <c r="HE5" s="743"/>
      <c r="HF5" s="743"/>
      <c r="HG5" s="743"/>
      <c r="HH5" s="743"/>
      <c r="HI5" s="743"/>
      <c r="HJ5" s="743"/>
      <c r="HK5" s="743"/>
      <c r="HL5" s="743"/>
      <c r="HM5" s="743"/>
      <c r="HN5" s="743"/>
      <c r="HO5" s="743"/>
      <c r="HP5" s="743"/>
      <c r="HQ5" s="743"/>
      <c r="HR5" s="743"/>
      <c r="HS5" s="743"/>
      <c r="HT5" s="743"/>
      <c r="HU5" s="743"/>
      <c r="HV5" s="743"/>
      <c r="HW5" s="743"/>
      <c r="HX5" s="743"/>
      <c r="HY5" s="743"/>
      <c r="HZ5" s="743"/>
      <c r="IA5" s="743"/>
      <c r="IB5" s="743"/>
      <c r="IC5" s="743"/>
      <c r="ID5" s="743"/>
      <c r="IE5" s="743"/>
      <c r="IF5" s="743"/>
      <c r="IG5" s="743"/>
      <c r="IH5" s="743"/>
      <c r="II5" s="743"/>
      <c r="IJ5" s="743"/>
      <c r="IK5" s="743"/>
      <c r="IL5" s="743"/>
      <c r="IM5" s="743"/>
      <c r="IN5" s="743"/>
    </row>
    <row r="6" spans="1:248" x14ac:dyDescent="0.3">
      <c r="A6" s="1455" t="str">
        <f>ID!B6</f>
        <v>Nomor seri</v>
      </c>
      <c r="B6" s="1455"/>
      <c r="C6" s="1455"/>
      <c r="D6" s="375" t="s">
        <v>7</v>
      </c>
      <c r="E6" s="375" t="s">
        <v>7</v>
      </c>
      <c r="F6" s="676" t="str">
        <f>ID!E6</f>
        <v>-</v>
      </c>
      <c r="G6" s="676"/>
      <c r="H6" s="676"/>
      <c r="I6" s="676"/>
      <c r="J6" s="376"/>
      <c r="K6" s="376"/>
      <c r="L6" s="743"/>
      <c r="M6" s="743"/>
      <c r="N6" s="743"/>
      <c r="O6" s="743"/>
      <c r="P6" s="743"/>
      <c r="Q6" s="743"/>
      <c r="R6" s="743"/>
      <c r="S6" s="743"/>
      <c r="T6" s="743"/>
      <c r="U6" s="743"/>
      <c r="V6" s="743"/>
      <c r="W6" s="743"/>
      <c r="X6" s="743"/>
      <c r="Y6" s="743"/>
      <c r="Z6" s="743"/>
      <c r="AA6" s="743"/>
      <c r="AB6" s="743"/>
      <c r="AC6" s="743"/>
      <c r="AD6" s="743"/>
      <c r="AE6" s="743"/>
      <c r="AF6" s="743"/>
      <c r="AG6" s="743"/>
      <c r="AH6" s="743"/>
      <c r="AI6" s="743"/>
      <c r="AJ6" s="743"/>
      <c r="AK6" s="743"/>
      <c r="AL6" s="743"/>
      <c r="AM6" s="743"/>
      <c r="AN6" s="743"/>
      <c r="AO6" s="743"/>
      <c r="AP6" s="743"/>
      <c r="AQ6" s="743"/>
      <c r="AR6" s="743"/>
      <c r="AS6" s="743"/>
      <c r="AT6" s="743"/>
      <c r="AU6" s="743"/>
      <c r="AV6" s="743"/>
      <c r="AW6" s="743"/>
      <c r="AX6" s="743"/>
      <c r="AY6" s="743"/>
      <c r="AZ6" s="743"/>
      <c r="BA6" s="743"/>
      <c r="BB6" s="743"/>
      <c r="BC6" s="743"/>
      <c r="BD6" s="743"/>
      <c r="BE6" s="743"/>
      <c r="BF6" s="743"/>
      <c r="BG6" s="743"/>
      <c r="BH6" s="743"/>
      <c r="BI6" s="743"/>
      <c r="BJ6" s="743"/>
      <c r="BK6" s="743"/>
      <c r="BL6" s="743"/>
      <c r="BM6" s="743"/>
      <c r="BN6" s="743"/>
      <c r="BO6" s="743"/>
      <c r="BP6" s="743"/>
      <c r="BQ6" s="743"/>
      <c r="BR6" s="743"/>
      <c r="BS6" s="743"/>
      <c r="BT6" s="743"/>
      <c r="BU6" s="743"/>
      <c r="BV6" s="743"/>
      <c r="BW6" s="743"/>
      <c r="BX6" s="743"/>
      <c r="BY6" s="743"/>
      <c r="BZ6" s="743"/>
      <c r="CA6" s="743"/>
      <c r="CB6" s="743"/>
      <c r="CC6" s="743"/>
      <c r="CD6" s="743"/>
      <c r="CE6" s="743"/>
      <c r="CF6" s="743"/>
      <c r="CG6" s="743"/>
      <c r="CH6" s="743"/>
      <c r="CI6" s="743"/>
      <c r="CJ6" s="743"/>
      <c r="CK6" s="743"/>
      <c r="CL6" s="743"/>
      <c r="CM6" s="743"/>
      <c r="CN6" s="743"/>
      <c r="CO6" s="743"/>
      <c r="CP6" s="743"/>
      <c r="CQ6" s="743"/>
      <c r="CR6" s="743"/>
      <c r="CS6" s="743"/>
      <c r="CT6" s="743"/>
      <c r="CU6" s="743"/>
      <c r="CV6" s="743"/>
      <c r="CW6" s="743"/>
      <c r="CX6" s="743"/>
      <c r="CY6" s="743"/>
      <c r="CZ6" s="743"/>
      <c r="DA6" s="743"/>
      <c r="DB6" s="743"/>
      <c r="DC6" s="743"/>
      <c r="DD6" s="743"/>
      <c r="DE6" s="743"/>
      <c r="DF6" s="743"/>
      <c r="DG6" s="743"/>
      <c r="DH6" s="743"/>
      <c r="DI6" s="743"/>
      <c r="DJ6" s="743"/>
      <c r="DK6" s="743"/>
      <c r="DL6" s="743"/>
      <c r="DM6" s="743"/>
      <c r="DN6" s="743"/>
      <c r="DO6" s="743"/>
      <c r="DP6" s="743"/>
      <c r="DQ6" s="743"/>
      <c r="DR6" s="743"/>
      <c r="DS6" s="743"/>
      <c r="DT6" s="743"/>
      <c r="DU6" s="743"/>
      <c r="DV6" s="743"/>
      <c r="DW6" s="743"/>
      <c r="DX6" s="743"/>
      <c r="DY6" s="743"/>
      <c r="DZ6" s="743"/>
      <c r="EA6" s="743"/>
      <c r="EB6" s="743"/>
      <c r="EC6" s="743"/>
      <c r="ED6" s="743"/>
      <c r="EE6" s="743"/>
      <c r="EF6" s="743"/>
      <c r="EG6" s="743"/>
      <c r="EH6" s="743"/>
      <c r="EI6" s="743"/>
      <c r="EJ6" s="743"/>
      <c r="EK6" s="743"/>
      <c r="EL6" s="743"/>
      <c r="EM6" s="743"/>
      <c r="EN6" s="743"/>
      <c r="EO6" s="743"/>
      <c r="EP6" s="743"/>
      <c r="EQ6" s="743"/>
      <c r="ER6" s="743"/>
      <c r="ES6" s="743"/>
      <c r="ET6" s="743"/>
      <c r="EU6" s="743"/>
      <c r="EV6" s="743"/>
      <c r="EW6" s="743"/>
      <c r="EX6" s="743"/>
      <c r="EY6" s="743"/>
      <c r="EZ6" s="743"/>
      <c r="FA6" s="743"/>
      <c r="FB6" s="743"/>
      <c r="FC6" s="743"/>
      <c r="FD6" s="743"/>
      <c r="FE6" s="743"/>
      <c r="FF6" s="743"/>
      <c r="FG6" s="743"/>
      <c r="FH6" s="743"/>
      <c r="FI6" s="743"/>
      <c r="FJ6" s="743"/>
      <c r="FK6" s="743"/>
      <c r="FL6" s="743"/>
      <c r="FM6" s="743"/>
      <c r="FN6" s="743"/>
      <c r="FO6" s="743"/>
      <c r="FP6" s="743"/>
      <c r="FQ6" s="743"/>
      <c r="FR6" s="743"/>
      <c r="FS6" s="743"/>
      <c r="FT6" s="743"/>
      <c r="FU6" s="743"/>
      <c r="FV6" s="743"/>
      <c r="FW6" s="743"/>
      <c r="FX6" s="743"/>
      <c r="FY6" s="743"/>
      <c r="FZ6" s="743"/>
      <c r="GA6" s="743"/>
      <c r="GB6" s="743"/>
      <c r="GC6" s="743"/>
      <c r="GD6" s="743"/>
      <c r="GE6" s="743"/>
      <c r="GF6" s="743"/>
      <c r="GG6" s="743"/>
      <c r="GH6" s="743"/>
      <c r="GI6" s="743"/>
      <c r="GJ6" s="743"/>
      <c r="GK6" s="743"/>
      <c r="GL6" s="743"/>
      <c r="GM6" s="743"/>
      <c r="GN6" s="743"/>
      <c r="GO6" s="743"/>
      <c r="GP6" s="743"/>
      <c r="GQ6" s="743"/>
      <c r="GR6" s="743"/>
      <c r="GS6" s="743"/>
      <c r="GT6" s="743"/>
      <c r="GU6" s="743"/>
      <c r="GV6" s="743"/>
      <c r="GW6" s="743"/>
      <c r="GX6" s="743"/>
      <c r="GY6" s="743"/>
      <c r="GZ6" s="743"/>
      <c r="HA6" s="743"/>
      <c r="HB6" s="743"/>
      <c r="HC6" s="743"/>
      <c r="HD6" s="743"/>
      <c r="HE6" s="743"/>
      <c r="HF6" s="743"/>
      <c r="HG6" s="743"/>
      <c r="HH6" s="743"/>
      <c r="HI6" s="743"/>
      <c r="HJ6" s="743"/>
      <c r="HK6" s="743"/>
      <c r="HL6" s="743"/>
      <c r="HM6" s="743"/>
      <c r="HN6" s="743"/>
      <c r="HO6" s="743"/>
      <c r="HP6" s="743"/>
      <c r="HQ6" s="743"/>
      <c r="HR6" s="743"/>
      <c r="HS6" s="743"/>
      <c r="HT6" s="743"/>
      <c r="HU6" s="743"/>
      <c r="HV6" s="743"/>
      <c r="HW6" s="743"/>
      <c r="HX6" s="743"/>
      <c r="HY6" s="743"/>
      <c r="HZ6" s="743"/>
      <c r="IA6" s="743"/>
      <c r="IB6" s="743"/>
      <c r="IC6" s="743"/>
      <c r="ID6" s="743"/>
      <c r="IE6" s="743"/>
      <c r="IF6" s="743"/>
      <c r="IG6" s="743"/>
      <c r="IH6" s="743"/>
      <c r="II6" s="743"/>
      <c r="IJ6" s="743"/>
      <c r="IK6" s="743"/>
      <c r="IL6" s="743"/>
      <c r="IM6" s="743"/>
      <c r="IN6" s="743"/>
    </row>
    <row r="7" spans="1:248" x14ac:dyDescent="0.3">
      <c r="A7" s="680" t="str">
        <f>PENYELIA!A7</f>
        <v>Tanggal penerimaan alat</v>
      </c>
      <c r="B7" s="680"/>
      <c r="C7" s="680"/>
      <c r="D7" s="375"/>
      <c r="E7" s="375" t="s">
        <v>7</v>
      </c>
      <c r="F7" s="680">
        <f>PENYELIA!F7</f>
        <v>44564</v>
      </c>
      <c r="G7" s="680"/>
      <c r="H7" s="680"/>
      <c r="I7" s="680"/>
      <c r="J7" s="376"/>
      <c r="K7" s="376"/>
      <c r="L7" s="743"/>
      <c r="M7" s="743"/>
      <c r="N7" s="743"/>
      <c r="O7" s="743"/>
      <c r="P7" s="743"/>
      <c r="Q7" s="743"/>
      <c r="R7" s="743"/>
      <c r="S7" s="743"/>
      <c r="T7" s="743"/>
      <c r="U7" s="743"/>
      <c r="V7" s="743"/>
      <c r="W7" s="743"/>
      <c r="X7" s="743"/>
      <c r="Y7" s="743"/>
      <c r="Z7" s="743"/>
      <c r="AA7" s="743"/>
      <c r="AB7" s="743"/>
      <c r="AC7" s="743"/>
      <c r="AD7" s="743"/>
      <c r="AE7" s="743"/>
      <c r="AF7" s="743"/>
      <c r="AG7" s="743"/>
      <c r="AH7" s="743"/>
      <c r="AI7" s="743"/>
      <c r="AJ7" s="743"/>
      <c r="AK7" s="743"/>
      <c r="AL7" s="743"/>
      <c r="AM7" s="743"/>
      <c r="AN7" s="743"/>
      <c r="AO7" s="743"/>
      <c r="AP7" s="743"/>
      <c r="AQ7" s="743"/>
      <c r="AR7" s="743"/>
      <c r="AS7" s="743"/>
      <c r="AT7" s="743"/>
      <c r="AU7" s="743"/>
      <c r="AV7" s="743"/>
      <c r="AW7" s="743"/>
      <c r="AX7" s="743"/>
      <c r="AY7" s="743"/>
      <c r="AZ7" s="743"/>
      <c r="BA7" s="743"/>
      <c r="BB7" s="743"/>
      <c r="BC7" s="743"/>
      <c r="BD7" s="743"/>
      <c r="BE7" s="743"/>
      <c r="BF7" s="743"/>
      <c r="BG7" s="743"/>
      <c r="BH7" s="743"/>
      <c r="BI7" s="743"/>
      <c r="BJ7" s="743"/>
      <c r="BK7" s="743"/>
      <c r="BL7" s="743"/>
      <c r="BM7" s="743"/>
      <c r="BN7" s="743"/>
      <c r="BO7" s="743"/>
      <c r="BP7" s="743"/>
      <c r="BQ7" s="743"/>
      <c r="BR7" s="743"/>
      <c r="BS7" s="743"/>
      <c r="BT7" s="743"/>
      <c r="BU7" s="743"/>
      <c r="BV7" s="743"/>
      <c r="BW7" s="743"/>
      <c r="BX7" s="743"/>
      <c r="BY7" s="743"/>
      <c r="BZ7" s="743"/>
      <c r="CA7" s="743"/>
      <c r="CB7" s="743"/>
      <c r="CC7" s="743"/>
      <c r="CD7" s="743"/>
      <c r="CE7" s="743"/>
      <c r="CF7" s="743"/>
      <c r="CG7" s="743"/>
      <c r="CH7" s="743"/>
      <c r="CI7" s="743"/>
      <c r="CJ7" s="743"/>
      <c r="CK7" s="743"/>
      <c r="CL7" s="743"/>
      <c r="CM7" s="743"/>
      <c r="CN7" s="743"/>
      <c r="CO7" s="743"/>
      <c r="CP7" s="743"/>
      <c r="CQ7" s="743"/>
      <c r="CR7" s="743"/>
      <c r="CS7" s="743"/>
      <c r="CT7" s="743"/>
      <c r="CU7" s="743"/>
      <c r="CV7" s="743"/>
      <c r="CW7" s="743"/>
      <c r="CX7" s="743"/>
      <c r="CY7" s="743"/>
      <c r="CZ7" s="743"/>
      <c r="DA7" s="743"/>
      <c r="DB7" s="743"/>
      <c r="DC7" s="743"/>
      <c r="DD7" s="743"/>
      <c r="DE7" s="743"/>
      <c r="DF7" s="743"/>
      <c r="DG7" s="743"/>
      <c r="DH7" s="743"/>
      <c r="DI7" s="743"/>
      <c r="DJ7" s="743"/>
      <c r="DK7" s="743"/>
      <c r="DL7" s="743"/>
      <c r="DM7" s="743"/>
      <c r="DN7" s="743"/>
      <c r="DO7" s="743"/>
      <c r="DP7" s="743"/>
      <c r="DQ7" s="743"/>
      <c r="DR7" s="743"/>
      <c r="DS7" s="743"/>
      <c r="DT7" s="743"/>
      <c r="DU7" s="743"/>
      <c r="DV7" s="743"/>
      <c r="DW7" s="743"/>
      <c r="DX7" s="743"/>
      <c r="DY7" s="743"/>
      <c r="DZ7" s="743"/>
      <c r="EA7" s="743"/>
      <c r="EB7" s="743"/>
      <c r="EC7" s="743"/>
      <c r="ED7" s="743"/>
      <c r="EE7" s="743"/>
      <c r="EF7" s="743"/>
      <c r="EG7" s="743"/>
      <c r="EH7" s="743"/>
      <c r="EI7" s="743"/>
      <c r="EJ7" s="743"/>
      <c r="EK7" s="743"/>
      <c r="EL7" s="743"/>
      <c r="EM7" s="743"/>
      <c r="EN7" s="743"/>
      <c r="EO7" s="743"/>
      <c r="EP7" s="743"/>
      <c r="EQ7" s="743"/>
      <c r="ER7" s="743"/>
      <c r="ES7" s="743"/>
      <c r="ET7" s="743"/>
      <c r="EU7" s="743"/>
      <c r="EV7" s="743"/>
      <c r="EW7" s="743"/>
      <c r="EX7" s="743"/>
      <c r="EY7" s="743"/>
      <c r="EZ7" s="743"/>
      <c r="FA7" s="743"/>
      <c r="FB7" s="743"/>
      <c r="FC7" s="743"/>
      <c r="FD7" s="743"/>
      <c r="FE7" s="743"/>
      <c r="FF7" s="743"/>
      <c r="FG7" s="743"/>
      <c r="FH7" s="743"/>
      <c r="FI7" s="743"/>
      <c r="FJ7" s="743"/>
      <c r="FK7" s="743"/>
      <c r="FL7" s="743"/>
      <c r="FM7" s="743"/>
      <c r="FN7" s="743"/>
      <c r="FO7" s="743"/>
      <c r="FP7" s="743"/>
      <c r="FQ7" s="743"/>
      <c r="FR7" s="743"/>
      <c r="FS7" s="743"/>
      <c r="FT7" s="743"/>
      <c r="FU7" s="743"/>
      <c r="FV7" s="743"/>
      <c r="FW7" s="743"/>
      <c r="FX7" s="743"/>
      <c r="FY7" s="743"/>
      <c r="FZ7" s="743"/>
      <c r="GA7" s="743"/>
      <c r="GB7" s="743"/>
      <c r="GC7" s="743"/>
      <c r="GD7" s="743"/>
      <c r="GE7" s="743"/>
      <c r="GF7" s="743"/>
      <c r="GG7" s="743"/>
      <c r="GH7" s="743"/>
      <c r="GI7" s="743"/>
      <c r="GJ7" s="743"/>
      <c r="GK7" s="743"/>
      <c r="GL7" s="743"/>
      <c r="GM7" s="743"/>
      <c r="GN7" s="743"/>
      <c r="GO7" s="743"/>
      <c r="GP7" s="743"/>
      <c r="GQ7" s="743"/>
      <c r="GR7" s="743"/>
      <c r="GS7" s="743"/>
      <c r="GT7" s="743"/>
      <c r="GU7" s="743"/>
      <c r="GV7" s="743"/>
      <c r="GW7" s="743"/>
      <c r="GX7" s="743"/>
      <c r="GY7" s="743"/>
      <c r="GZ7" s="743"/>
      <c r="HA7" s="743"/>
      <c r="HB7" s="743"/>
      <c r="HC7" s="743"/>
      <c r="HD7" s="743"/>
      <c r="HE7" s="743"/>
      <c r="HF7" s="743"/>
      <c r="HG7" s="743"/>
      <c r="HH7" s="743"/>
      <c r="HI7" s="743"/>
      <c r="HJ7" s="743"/>
      <c r="HK7" s="743"/>
      <c r="HL7" s="743"/>
      <c r="HM7" s="743"/>
      <c r="HN7" s="743"/>
      <c r="HO7" s="743"/>
      <c r="HP7" s="743"/>
      <c r="HQ7" s="743"/>
      <c r="HR7" s="743"/>
      <c r="HS7" s="743"/>
      <c r="HT7" s="743"/>
      <c r="HU7" s="743"/>
      <c r="HV7" s="743"/>
      <c r="HW7" s="743"/>
      <c r="HX7" s="743"/>
      <c r="HY7" s="743"/>
      <c r="HZ7" s="743"/>
      <c r="IA7" s="743"/>
      <c r="IB7" s="743"/>
      <c r="IC7" s="743"/>
      <c r="ID7" s="743"/>
      <c r="IE7" s="743"/>
      <c r="IF7" s="743"/>
      <c r="IG7" s="743"/>
      <c r="IH7" s="743"/>
      <c r="II7" s="743"/>
      <c r="IJ7" s="743"/>
      <c r="IK7" s="743"/>
      <c r="IL7" s="743"/>
      <c r="IM7" s="743"/>
      <c r="IN7" s="743"/>
    </row>
    <row r="8" spans="1:248" x14ac:dyDescent="0.3">
      <c r="A8" s="676" t="str">
        <f>ID!B8</f>
        <v>Tanggal kalibrasi</v>
      </c>
      <c r="B8" s="676"/>
      <c r="C8" s="676"/>
      <c r="D8" s="375"/>
      <c r="E8" s="375" t="s">
        <v>7</v>
      </c>
      <c r="F8" s="676">
        <f>ID!E8</f>
        <v>44564</v>
      </c>
      <c r="G8" s="377"/>
      <c r="H8" s="377"/>
      <c r="I8" s="377"/>
      <c r="J8" s="376"/>
      <c r="K8" s="376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3"/>
      <c r="AD8" s="743"/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3"/>
      <c r="BB8" s="743"/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3"/>
      <c r="BZ8" s="743"/>
      <c r="CA8" s="743"/>
      <c r="CB8" s="743"/>
      <c r="CC8" s="743"/>
      <c r="CD8" s="743"/>
      <c r="CE8" s="743"/>
      <c r="CF8" s="743"/>
      <c r="CG8" s="743"/>
      <c r="CH8" s="743"/>
      <c r="CI8" s="743"/>
      <c r="CJ8" s="743"/>
      <c r="CK8" s="743"/>
      <c r="CL8" s="743"/>
      <c r="CM8" s="743"/>
      <c r="CN8" s="743"/>
      <c r="CO8" s="743"/>
      <c r="CP8" s="743"/>
      <c r="CQ8" s="743"/>
      <c r="CR8" s="743"/>
      <c r="CS8" s="743"/>
      <c r="CT8" s="743"/>
      <c r="CU8" s="743"/>
      <c r="CV8" s="743"/>
      <c r="CW8" s="743"/>
      <c r="CX8" s="743"/>
      <c r="CY8" s="743"/>
      <c r="CZ8" s="743"/>
      <c r="DA8" s="743"/>
      <c r="DB8" s="743"/>
      <c r="DC8" s="743"/>
      <c r="DD8" s="743"/>
      <c r="DE8" s="743"/>
      <c r="DF8" s="743"/>
      <c r="DG8" s="743"/>
      <c r="DH8" s="743"/>
      <c r="DI8" s="743"/>
      <c r="DJ8" s="743"/>
      <c r="DK8" s="743"/>
      <c r="DL8" s="743"/>
      <c r="DM8" s="743"/>
      <c r="DN8" s="743"/>
      <c r="DO8" s="743"/>
      <c r="DP8" s="743"/>
      <c r="DQ8" s="743"/>
      <c r="DR8" s="743"/>
      <c r="DS8" s="743"/>
      <c r="DT8" s="743"/>
      <c r="DU8" s="743"/>
      <c r="DV8" s="743"/>
      <c r="DW8" s="743"/>
      <c r="DX8" s="743"/>
      <c r="DY8" s="743"/>
      <c r="DZ8" s="743"/>
      <c r="EA8" s="743"/>
      <c r="EB8" s="743"/>
      <c r="EC8" s="743"/>
      <c r="ED8" s="743"/>
      <c r="EE8" s="743"/>
      <c r="EF8" s="743"/>
      <c r="EG8" s="743"/>
      <c r="EH8" s="743"/>
      <c r="EI8" s="743"/>
      <c r="EJ8" s="743"/>
      <c r="EK8" s="743"/>
      <c r="EL8" s="743"/>
      <c r="EM8" s="743"/>
      <c r="EN8" s="743"/>
      <c r="EO8" s="743"/>
      <c r="EP8" s="743"/>
      <c r="EQ8" s="743"/>
      <c r="ER8" s="743"/>
      <c r="ES8" s="743"/>
      <c r="ET8" s="743"/>
      <c r="EU8" s="743"/>
      <c r="EV8" s="743"/>
      <c r="EW8" s="743"/>
      <c r="EX8" s="743"/>
      <c r="EY8" s="743"/>
      <c r="EZ8" s="743"/>
      <c r="FA8" s="743"/>
      <c r="FB8" s="743"/>
      <c r="FC8" s="743"/>
      <c r="FD8" s="743"/>
      <c r="FE8" s="743"/>
      <c r="FF8" s="743"/>
      <c r="FG8" s="743"/>
      <c r="FH8" s="743"/>
      <c r="FI8" s="743"/>
      <c r="FJ8" s="743"/>
      <c r="FK8" s="743"/>
      <c r="FL8" s="743"/>
      <c r="FM8" s="743"/>
      <c r="FN8" s="743"/>
      <c r="FO8" s="743"/>
      <c r="FP8" s="743"/>
      <c r="FQ8" s="743"/>
      <c r="FR8" s="743"/>
      <c r="FS8" s="743"/>
      <c r="FT8" s="743"/>
      <c r="FU8" s="743"/>
      <c r="FV8" s="743"/>
      <c r="FW8" s="743"/>
      <c r="FX8" s="743"/>
      <c r="FY8" s="743"/>
      <c r="FZ8" s="743"/>
      <c r="GA8" s="743"/>
      <c r="GB8" s="743"/>
      <c r="GC8" s="743"/>
      <c r="GD8" s="743"/>
      <c r="GE8" s="743"/>
      <c r="GF8" s="743"/>
      <c r="GG8" s="743"/>
      <c r="GH8" s="743"/>
      <c r="GI8" s="743"/>
      <c r="GJ8" s="743"/>
      <c r="GK8" s="743"/>
      <c r="GL8" s="743"/>
      <c r="GM8" s="743"/>
      <c r="GN8" s="743"/>
      <c r="GO8" s="743"/>
      <c r="GP8" s="743"/>
      <c r="GQ8" s="743"/>
      <c r="GR8" s="743"/>
      <c r="GS8" s="743"/>
      <c r="GT8" s="743"/>
      <c r="GU8" s="743"/>
      <c r="GV8" s="743"/>
      <c r="GW8" s="743"/>
      <c r="GX8" s="743"/>
      <c r="GY8" s="743"/>
      <c r="GZ8" s="743"/>
      <c r="HA8" s="743"/>
      <c r="HB8" s="743"/>
      <c r="HC8" s="743"/>
      <c r="HD8" s="743"/>
      <c r="HE8" s="743"/>
      <c r="HF8" s="743"/>
      <c r="HG8" s="743"/>
      <c r="HH8" s="743"/>
      <c r="HI8" s="743"/>
      <c r="HJ8" s="743"/>
      <c r="HK8" s="743"/>
      <c r="HL8" s="743"/>
      <c r="HM8" s="743"/>
      <c r="HN8" s="743"/>
      <c r="HO8" s="743"/>
      <c r="HP8" s="743"/>
      <c r="HQ8" s="743"/>
      <c r="HR8" s="743"/>
      <c r="HS8" s="743"/>
      <c r="HT8" s="743"/>
      <c r="HU8" s="743"/>
      <c r="HV8" s="743"/>
      <c r="HW8" s="743"/>
      <c r="HX8" s="743"/>
      <c r="HY8" s="743"/>
      <c r="HZ8" s="743"/>
      <c r="IA8" s="743"/>
      <c r="IB8" s="743"/>
      <c r="IC8" s="743"/>
      <c r="ID8" s="743"/>
      <c r="IE8" s="743"/>
      <c r="IF8" s="743"/>
      <c r="IG8" s="743"/>
      <c r="IH8" s="743"/>
      <c r="II8" s="743"/>
      <c r="IJ8" s="743"/>
      <c r="IK8" s="743"/>
      <c r="IL8" s="743"/>
      <c r="IM8" s="743"/>
      <c r="IN8" s="743"/>
    </row>
    <row r="9" spans="1:248" x14ac:dyDescent="0.3">
      <c r="A9" s="1455" t="str">
        <f>ID!B9</f>
        <v>Tempat kalibrasi</v>
      </c>
      <c r="B9" s="1455"/>
      <c r="C9" s="1455"/>
      <c r="D9" s="375" t="s">
        <v>7</v>
      </c>
      <c r="E9" s="375" t="s">
        <v>7</v>
      </c>
      <c r="F9" s="676" t="str">
        <f>ID!E9</f>
        <v>-</v>
      </c>
      <c r="G9" s="377"/>
      <c r="H9" s="377"/>
      <c r="I9" s="377"/>
      <c r="J9" s="376"/>
      <c r="K9" s="376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743"/>
      <c r="AF9" s="743"/>
      <c r="AG9" s="743"/>
      <c r="AH9" s="743"/>
      <c r="AI9" s="743"/>
      <c r="AJ9" s="743"/>
      <c r="AK9" s="743"/>
      <c r="AL9" s="743"/>
      <c r="AM9" s="743"/>
      <c r="AN9" s="743"/>
      <c r="AO9" s="743"/>
      <c r="AP9" s="743"/>
      <c r="AQ9" s="743"/>
      <c r="AR9" s="743"/>
      <c r="AS9" s="743"/>
      <c r="AT9" s="743"/>
      <c r="AU9" s="743"/>
      <c r="AV9" s="743"/>
      <c r="AW9" s="743"/>
      <c r="AX9" s="743"/>
      <c r="AY9" s="743"/>
      <c r="AZ9" s="743"/>
      <c r="BA9" s="743"/>
      <c r="BB9" s="743"/>
      <c r="BC9" s="743"/>
      <c r="BD9" s="743"/>
      <c r="BE9" s="743"/>
      <c r="BF9" s="743"/>
      <c r="BG9" s="743"/>
      <c r="BH9" s="743"/>
      <c r="BI9" s="743"/>
      <c r="BJ9" s="743"/>
      <c r="BK9" s="743"/>
      <c r="BL9" s="743"/>
      <c r="BM9" s="743"/>
      <c r="BN9" s="743"/>
      <c r="BO9" s="743"/>
      <c r="BP9" s="743"/>
      <c r="BQ9" s="743"/>
      <c r="BR9" s="743"/>
      <c r="BS9" s="743"/>
      <c r="BT9" s="743"/>
      <c r="BU9" s="743"/>
      <c r="BV9" s="743"/>
      <c r="BW9" s="743"/>
      <c r="BX9" s="743"/>
      <c r="BY9" s="743"/>
      <c r="BZ9" s="743"/>
      <c r="CA9" s="743"/>
      <c r="CB9" s="743"/>
      <c r="CC9" s="743"/>
      <c r="CD9" s="743"/>
      <c r="CE9" s="743"/>
      <c r="CF9" s="743"/>
      <c r="CG9" s="743"/>
      <c r="CH9" s="743"/>
      <c r="CI9" s="743"/>
      <c r="CJ9" s="743"/>
      <c r="CK9" s="743"/>
      <c r="CL9" s="743"/>
      <c r="CM9" s="743"/>
      <c r="CN9" s="743"/>
      <c r="CO9" s="743"/>
      <c r="CP9" s="743"/>
      <c r="CQ9" s="743"/>
      <c r="CR9" s="743"/>
      <c r="CS9" s="743"/>
      <c r="CT9" s="743"/>
      <c r="CU9" s="743"/>
      <c r="CV9" s="743"/>
      <c r="CW9" s="743"/>
      <c r="CX9" s="743"/>
      <c r="CY9" s="743"/>
      <c r="CZ9" s="743"/>
      <c r="DA9" s="743"/>
      <c r="DB9" s="743"/>
      <c r="DC9" s="743"/>
      <c r="DD9" s="743"/>
      <c r="DE9" s="743"/>
      <c r="DF9" s="743"/>
      <c r="DG9" s="743"/>
      <c r="DH9" s="743"/>
      <c r="DI9" s="743"/>
      <c r="DJ9" s="743"/>
      <c r="DK9" s="743"/>
      <c r="DL9" s="743"/>
      <c r="DM9" s="743"/>
      <c r="DN9" s="743"/>
      <c r="DO9" s="743"/>
      <c r="DP9" s="743"/>
      <c r="DQ9" s="743"/>
      <c r="DR9" s="743"/>
      <c r="DS9" s="743"/>
      <c r="DT9" s="743"/>
      <c r="DU9" s="743"/>
      <c r="DV9" s="743"/>
      <c r="DW9" s="743"/>
      <c r="DX9" s="743"/>
      <c r="DY9" s="743"/>
      <c r="DZ9" s="743"/>
      <c r="EA9" s="743"/>
      <c r="EB9" s="743"/>
      <c r="EC9" s="743"/>
      <c r="ED9" s="743"/>
      <c r="EE9" s="743"/>
      <c r="EF9" s="743"/>
      <c r="EG9" s="743"/>
      <c r="EH9" s="743"/>
      <c r="EI9" s="743"/>
      <c r="EJ9" s="743"/>
      <c r="EK9" s="743"/>
      <c r="EL9" s="743"/>
      <c r="EM9" s="743"/>
      <c r="EN9" s="743"/>
      <c r="EO9" s="743"/>
      <c r="EP9" s="743"/>
      <c r="EQ9" s="743"/>
      <c r="ER9" s="743"/>
      <c r="ES9" s="743"/>
      <c r="ET9" s="743"/>
      <c r="EU9" s="743"/>
      <c r="EV9" s="743"/>
      <c r="EW9" s="743"/>
      <c r="EX9" s="743"/>
      <c r="EY9" s="743"/>
      <c r="EZ9" s="743"/>
      <c r="FA9" s="743"/>
      <c r="FB9" s="743"/>
      <c r="FC9" s="743"/>
      <c r="FD9" s="743"/>
      <c r="FE9" s="743"/>
      <c r="FF9" s="743"/>
      <c r="FG9" s="743"/>
      <c r="FH9" s="743"/>
      <c r="FI9" s="743"/>
      <c r="FJ9" s="743"/>
      <c r="FK9" s="743"/>
      <c r="FL9" s="743"/>
      <c r="FM9" s="743"/>
      <c r="FN9" s="743"/>
      <c r="FO9" s="743"/>
      <c r="FP9" s="743"/>
      <c r="FQ9" s="743"/>
      <c r="FR9" s="743"/>
      <c r="FS9" s="743"/>
      <c r="FT9" s="743"/>
      <c r="FU9" s="743"/>
      <c r="FV9" s="743"/>
      <c r="FW9" s="743"/>
      <c r="FX9" s="743"/>
      <c r="FY9" s="743"/>
      <c r="FZ9" s="743"/>
      <c r="GA9" s="743"/>
      <c r="GB9" s="743"/>
      <c r="GC9" s="743"/>
      <c r="GD9" s="743"/>
      <c r="GE9" s="743"/>
      <c r="GF9" s="743"/>
      <c r="GG9" s="743"/>
      <c r="GH9" s="743"/>
      <c r="GI9" s="743"/>
      <c r="GJ9" s="743"/>
      <c r="GK9" s="743"/>
      <c r="GL9" s="743"/>
      <c r="GM9" s="743"/>
      <c r="GN9" s="743"/>
      <c r="GO9" s="743"/>
      <c r="GP9" s="743"/>
      <c r="GQ9" s="743"/>
      <c r="GR9" s="743"/>
      <c r="GS9" s="743"/>
      <c r="GT9" s="743"/>
      <c r="GU9" s="743"/>
      <c r="GV9" s="743"/>
      <c r="GW9" s="743"/>
      <c r="GX9" s="743"/>
      <c r="GY9" s="743"/>
      <c r="GZ9" s="743"/>
      <c r="HA9" s="743"/>
      <c r="HB9" s="743"/>
      <c r="HC9" s="743"/>
      <c r="HD9" s="743"/>
      <c r="HE9" s="743"/>
      <c r="HF9" s="743"/>
      <c r="HG9" s="743"/>
      <c r="HH9" s="743"/>
      <c r="HI9" s="743"/>
      <c r="HJ9" s="743"/>
      <c r="HK9" s="743"/>
      <c r="HL9" s="743"/>
      <c r="HM9" s="743"/>
      <c r="HN9" s="743"/>
      <c r="HO9" s="743"/>
      <c r="HP9" s="743"/>
      <c r="HQ9" s="743"/>
      <c r="HR9" s="743"/>
      <c r="HS9" s="743"/>
      <c r="HT9" s="743"/>
      <c r="HU9" s="743"/>
      <c r="HV9" s="743"/>
      <c r="HW9" s="743"/>
      <c r="HX9" s="743"/>
      <c r="HY9" s="743"/>
      <c r="HZ9" s="743"/>
      <c r="IA9" s="743"/>
      <c r="IB9" s="743"/>
      <c r="IC9" s="743"/>
      <c r="ID9" s="743"/>
      <c r="IE9" s="743"/>
      <c r="IF9" s="743"/>
      <c r="IG9" s="743"/>
      <c r="IH9" s="743"/>
      <c r="II9" s="743"/>
      <c r="IJ9" s="743"/>
      <c r="IK9" s="743"/>
      <c r="IL9" s="743"/>
      <c r="IM9" s="743"/>
      <c r="IN9" s="743"/>
    </row>
    <row r="10" spans="1:248" x14ac:dyDescent="0.3">
      <c r="A10" s="676" t="str">
        <f>ID!B10</f>
        <v>Nama ruang</v>
      </c>
      <c r="B10" s="676"/>
      <c r="C10" s="676"/>
      <c r="D10" s="375"/>
      <c r="E10" s="375" t="s">
        <v>7</v>
      </c>
      <c r="F10" s="676" t="str">
        <f>ID!E10</f>
        <v>-</v>
      </c>
      <c r="G10" s="377"/>
      <c r="H10" s="377"/>
      <c r="I10" s="377"/>
      <c r="J10" s="376"/>
      <c r="K10" s="376"/>
      <c r="L10" s="743"/>
      <c r="M10" s="743"/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3"/>
      <c r="AD10" s="743"/>
      <c r="AE10" s="743"/>
      <c r="AF10" s="743"/>
      <c r="AG10" s="743"/>
      <c r="AH10" s="743"/>
      <c r="AI10" s="743"/>
      <c r="AJ10" s="743"/>
      <c r="AK10" s="743"/>
      <c r="AL10" s="743"/>
      <c r="AM10" s="743"/>
      <c r="AN10" s="743"/>
      <c r="AO10" s="743"/>
      <c r="AP10" s="743"/>
      <c r="AQ10" s="743"/>
      <c r="AR10" s="743"/>
      <c r="AS10" s="743"/>
      <c r="AT10" s="743"/>
      <c r="AU10" s="743"/>
      <c r="AV10" s="743"/>
      <c r="AW10" s="743"/>
      <c r="AX10" s="743"/>
      <c r="AY10" s="743"/>
      <c r="AZ10" s="743"/>
      <c r="BA10" s="743"/>
      <c r="BB10" s="743"/>
      <c r="BC10" s="743"/>
      <c r="BD10" s="743"/>
      <c r="BE10" s="743"/>
      <c r="BF10" s="743"/>
      <c r="BG10" s="743"/>
      <c r="BH10" s="743"/>
      <c r="BI10" s="743"/>
      <c r="BJ10" s="743"/>
      <c r="BK10" s="743"/>
      <c r="BL10" s="743"/>
      <c r="BM10" s="743"/>
      <c r="BN10" s="743"/>
      <c r="BO10" s="743"/>
      <c r="BP10" s="743"/>
      <c r="BQ10" s="743"/>
      <c r="BR10" s="743"/>
      <c r="BS10" s="743"/>
      <c r="BT10" s="743"/>
      <c r="BU10" s="743"/>
      <c r="BV10" s="743"/>
      <c r="BW10" s="743"/>
      <c r="BX10" s="743"/>
      <c r="BY10" s="743"/>
      <c r="BZ10" s="743"/>
      <c r="CA10" s="743"/>
      <c r="CB10" s="743"/>
      <c r="CC10" s="743"/>
      <c r="CD10" s="743"/>
      <c r="CE10" s="743"/>
      <c r="CF10" s="743"/>
      <c r="CG10" s="743"/>
      <c r="CH10" s="743"/>
      <c r="CI10" s="743"/>
      <c r="CJ10" s="743"/>
      <c r="CK10" s="743"/>
      <c r="CL10" s="743"/>
      <c r="CM10" s="743"/>
      <c r="CN10" s="743"/>
      <c r="CO10" s="743"/>
      <c r="CP10" s="743"/>
      <c r="CQ10" s="743"/>
      <c r="CR10" s="743"/>
      <c r="CS10" s="743"/>
      <c r="CT10" s="743"/>
      <c r="CU10" s="743"/>
      <c r="CV10" s="743"/>
      <c r="CW10" s="743"/>
      <c r="CX10" s="743"/>
      <c r="CY10" s="743"/>
      <c r="CZ10" s="743"/>
      <c r="DA10" s="743"/>
      <c r="DB10" s="743"/>
      <c r="DC10" s="743"/>
      <c r="DD10" s="743"/>
      <c r="DE10" s="743"/>
      <c r="DF10" s="743"/>
      <c r="DG10" s="743"/>
      <c r="DH10" s="743"/>
      <c r="DI10" s="743"/>
      <c r="DJ10" s="743"/>
      <c r="DK10" s="743"/>
      <c r="DL10" s="743"/>
      <c r="DM10" s="743"/>
      <c r="DN10" s="743"/>
      <c r="DO10" s="743"/>
      <c r="DP10" s="743"/>
      <c r="DQ10" s="743"/>
      <c r="DR10" s="743"/>
      <c r="DS10" s="743"/>
      <c r="DT10" s="743"/>
      <c r="DU10" s="743"/>
      <c r="DV10" s="743"/>
      <c r="DW10" s="743"/>
      <c r="DX10" s="743"/>
      <c r="DY10" s="743"/>
      <c r="DZ10" s="743"/>
      <c r="EA10" s="743"/>
      <c r="EB10" s="743"/>
      <c r="EC10" s="743"/>
      <c r="ED10" s="743"/>
      <c r="EE10" s="743"/>
      <c r="EF10" s="743"/>
      <c r="EG10" s="743"/>
      <c r="EH10" s="743"/>
      <c r="EI10" s="743"/>
      <c r="EJ10" s="743"/>
      <c r="EK10" s="743"/>
      <c r="EL10" s="743"/>
      <c r="EM10" s="743"/>
      <c r="EN10" s="743"/>
      <c r="EO10" s="743"/>
      <c r="EP10" s="743"/>
      <c r="EQ10" s="743"/>
      <c r="ER10" s="743"/>
      <c r="ES10" s="743"/>
      <c r="ET10" s="743"/>
      <c r="EU10" s="743"/>
      <c r="EV10" s="743"/>
      <c r="EW10" s="743"/>
      <c r="EX10" s="743"/>
      <c r="EY10" s="743"/>
      <c r="EZ10" s="743"/>
      <c r="FA10" s="743"/>
      <c r="FB10" s="743"/>
      <c r="FC10" s="743"/>
      <c r="FD10" s="743"/>
      <c r="FE10" s="743"/>
      <c r="FF10" s="743"/>
      <c r="FG10" s="743"/>
      <c r="FH10" s="743"/>
      <c r="FI10" s="743"/>
      <c r="FJ10" s="743"/>
      <c r="FK10" s="743"/>
      <c r="FL10" s="743"/>
      <c r="FM10" s="743"/>
      <c r="FN10" s="743"/>
      <c r="FO10" s="743"/>
      <c r="FP10" s="743"/>
      <c r="FQ10" s="743"/>
      <c r="FR10" s="743"/>
      <c r="FS10" s="743"/>
      <c r="FT10" s="743"/>
      <c r="FU10" s="743"/>
      <c r="FV10" s="743"/>
      <c r="FW10" s="743"/>
      <c r="FX10" s="743"/>
      <c r="FY10" s="743"/>
      <c r="FZ10" s="743"/>
      <c r="GA10" s="743"/>
      <c r="GB10" s="743"/>
      <c r="GC10" s="743"/>
      <c r="GD10" s="743"/>
      <c r="GE10" s="743"/>
      <c r="GF10" s="743"/>
      <c r="GG10" s="743"/>
      <c r="GH10" s="743"/>
      <c r="GI10" s="743"/>
      <c r="GJ10" s="743"/>
      <c r="GK10" s="743"/>
      <c r="GL10" s="743"/>
      <c r="GM10" s="743"/>
      <c r="GN10" s="743"/>
      <c r="GO10" s="743"/>
      <c r="GP10" s="743"/>
      <c r="GQ10" s="743"/>
      <c r="GR10" s="743"/>
      <c r="GS10" s="743"/>
      <c r="GT10" s="743"/>
      <c r="GU10" s="743"/>
      <c r="GV10" s="743"/>
      <c r="GW10" s="743"/>
      <c r="GX10" s="743"/>
      <c r="GY10" s="743"/>
      <c r="GZ10" s="743"/>
      <c r="HA10" s="743"/>
      <c r="HB10" s="743"/>
      <c r="HC10" s="743"/>
      <c r="HD10" s="743"/>
      <c r="HE10" s="743"/>
      <c r="HF10" s="743"/>
      <c r="HG10" s="743"/>
      <c r="HH10" s="743"/>
      <c r="HI10" s="743"/>
      <c r="HJ10" s="743"/>
      <c r="HK10" s="743"/>
      <c r="HL10" s="743"/>
      <c r="HM10" s="743"/>
      <c r="HN10" s="743"/>
      <c r="HO10" s="743"/>
      <c r="HP10" s="743"/>
      <c r="HQ10" s="743"/>
      <c r="HR10" s="743"/>
      <c r="HS10" s="743"/>
      <c r="HT10" s="743"/>
      <c r="HU10" s="743"/>
      <c r="HV10" s="743"/>
      <c r="HW10" s="743"/>
      <c r="HX10" s="743"/>
      <c r="HY10" s="743"/>
      <c r="HZ10" s="743"/>
      <c r="IA10" s="743"/>
      <c r="IB10" s="743"/>
      <c r="IC10" s="743"/>
      <c r="ID10" s="743"/>
      <c r="IE10" s="743"/>
      <c r="IF10" s="743"/>
      <c r="IG10" s="743"/>
      <c r="IH10" s="743"/>
      <c r="II10" s="743"/>
      <c r="IJ10" s="743"/>
      <c r="IK10" s="743"/>
      <c r="IL10" s="743"/>
      <c r="IM10" s="743"/>
      <c r="IN10" s="743"/>
    </row>
    <row r="11" spans="1:248" x14ac:dyDescent="0.3">
      <c r="A11" s="676" t="str">
        <f>ID!B17</f>
        <v>Metode kerja</v>
      </c>
      <c r="B11" s="676"/>
      <c r="C11" s="676"/>
      <c r="D11" s="375"/>
      <c r="E11" s="375" t="s">
        <v>7</v>
      </c>
      <c r="F11" s="676" t="str">
        <f>ID!E17</f>
        <v>MK 014-18</v>
      </c>
      <c r="G11" s="377"/>
      <c r="H11" s="377"/>
      <c r="I11" s="377"/>
      <c r="J11" s="376"/>
      <c r="K11" s="376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  <c r="DD11" s="743"/>
      <c r="DE11" s="743"/>
      <c r="DF11" s="743"/>
      <c r="DG11" s="743"/>
      <c r="DH11" s="743"/>
      <c r="DI11" s="743"/>
      <c r="DJ11" s="743"/>
      <c r="DK11" s="743"/>
      <c r="DL11" s="743"/>
      <c r="DM11" s="743"/>
      <c r="DN11" s="743"/>
      <c r="DO11" s="743"/>
      <c r="DP11" s="743"/>
      <c r="DQ11" s="743"/>
      <c r="DR11" s="743"/>
      <c r="DS11" s="743"/>
      <c r="DT11" s="743"/>
      <c r="DU11" s="743"/>
      <c r="DV11" s="743"/>
      <c r="DW11" s="743"/>
      <c r="DX11" s="743"/>
      <c r="DY11" s="743"/>
      <c r="DZ11" s="743"/>
      <c r="EA11" s="743"/>
      <c r="EB11" s="743"/>
      <c r="EC11" s="743"/>
      <c r="ED11" s="743"/>
      <c r="EE11" s="743"/>
      <c r="EF11" s="743"/>
      <c r="EG11" s="743"/>
      <c r="EH11" s="743"/>
      <c r="EI11" s="743"/>
      <c r="EJ11" s="743"/>
      <c r="EK11" s="743"/>
      <c r="EL11" s="743"/>
      <c r="EM11" s="743"/>
      <c r="EN11" s="743"/>
      <c r="EO11" s="743"/>
      <c r="EP11" s="743"/>
      <c r="EQ11" s="743"/>
      <c r="ER11" s="743"/>
      <c r="ES11" s="743"/>
      <c r="ET11" s="743"/>
      <c r="EU11" s="743"/>
      <c r="EV11" s="743"/>
      <c r="EW11" s="743"/>
      <c r="EX11" s="743"/>
      <c r="EY11" s="743"/>
      <c r="EZ11" s="743"/>
      <c r="FA11" s="743"/>
      <c r="FB11" s="743"/>
      <c r="FC11" s="743"/>
      <c r="FD11" s="743"/>
      <c r="FE11" s="743"/>
      <c r="FF11" s="743"/>
      <c r="FG11" s="743"/>
      <c r="FH11" s="743"/>
      <c r="FI11" s="743"/>
      <c r="FJ11" s="743"/>
      <c r="FK11" s="743"/>
      <c r="FL11" s="743"/>
      <c r="FM11" s="743"/>
      <c r="FN11" s="743"/>
      <c r="FO11" s="743"/>
      <c r="FP11" s="743"/>
      <c r="FQ11" s="743"/>
      <c r="FR11" s="743"/>
      <c r="FS11" s="743"/>
      <c r="FT11" s="743"/>
      <c r="FU11" s="743"/>
      <c r="FV11" s="743"/>
      <c r="FW11" s="743"/>
      <c r="FX11" s="743"/>
      <c r="FY11" s="743"/>
      <c r="FZ11" s="743"/>
      <c r="GA11" s="743"/>
      <c r="GB11" s="743"/>
      <c r="GC11" s="743"/>
      <c r="GD11" s="743"/>
      <c r="GE11" s="743"/>
      <c r="GF11" s="743"/>
      <c r="GG11" s="743"/>
      <c r="GH11" s="743"/>
      <c r="GI11" s="743"/>
      <c r="GJ11" s="743"/>
      <c r="GK11" s="743"/>
      <c r="GL11" s="743"/>
      <c r="GM11" s="743"/>
      <c r="GN11" s="743"/>
      <c r="GO11" s="743"/>
      <c r="GP11" s="743"/>
      <c r="GQ11" s="743"/>
      <c r="GR11" s="743"/>
      <c r="GS11" s="743"/>
      <c r="GT11" s="743"/>
      <c r="GU11" s="743"/>
      <c r="GV11" s="743"/>
      <c r="GW11" s="743"/>
      <c r="GX11" s="743"/>
      <c r="GY11" s="743"/>
      <c r="GZ11" s="743"/>
      <c r="HA11" s="743"/>
      <c r="HB11" s="743"/>
      <c r="HC11" s="743"/>
      <c r="HD11" s="743"/>
      <c r="HE11" s="743"/>
      <c r="HF11" s="743"/>
      <c r="HG11" s="743"/>
      <c r="HH11" s="743"/>
      <c r="HI11" s="743"/>
      <c r="HJ11" s="743"/>
      <c r="HK11" s="743"/>
      <c r="HL11" s="743"/>
      <c r="HM11" s="743"/>
      <c r="HN11" s="743"/>
      <c r="HO11" s="743"/>
      <c r="HP11" s="743"/>
      <c r="HQ11" s="743"/>
      <c r="HR11" s="743"/>
      <c r="HS11" s="743"/>
      <c r="HT11" s="743"/>
      <c r="HU11" s="743"/>
      <c r="HV11" s="743"/>
      <c r="HW11" s="743"/>
      <c r="HX11" s="743"/>
      <c r="HY11" s="743"/>
      <c r="HZ11" s="743"/>
      <c r="IA11" s="743"/>
      <c r="IB11" s="743"/>
      <c r="IC11" s="743"/>
      <c r="ID11" s="743"/>
      <c r="IE11" s="743"/>
      <c r="IF11" s="743"/>
      <c r="IG11" s="743"/>
      <c r="IH11" s="743"/>
      <c r="II11" s="743"/>
      <c r="IJ11" s="743"/>
      <c r="IK11" s="743"/>
      <c r="IL11" s="743"/>
      <c r="IM11" s="743"/>
      <c r="IN11" s="743"/>
    </row>
    <row r="12" spans="1:248" ht="5.25" customHeight="1" x14ac:dyDescent="0.3">
      <c r="A12" s="745"/>
      <c r="B12" s="745"/>
      <c r="C12" s="745"/>
      <c r="D12" s="393"/>
      <c r="E12" s="393"/>
      <c r="F12" s="746"/>
      <c r="G12" s="747"/>
      <c r="H12" s="747"/>
      <c r="I12" s="747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  <c r="U12" s="743"/>
      <c r="V12" s="743"/>
      <c r="W12" s="743"/>
      <c r="X12" s="743"/>
      <c r="Y12" s="743"/>
      <c r="Z12" s="743"/>
      <c r="AA12" s="743"/>
      <c r="AB12" s="743"/>
      <c r="AC12" s="743"/>
      <c r="AD12" s="743"/>
      <c r="AE12" s="743"/>
      <c r="AF12" s="743"/>
      <c r="AG12" s="743"/>
      <c r="AH12" s="743"/>
      <c r="AI12" s="743"/>
      <c r="AJ12" s="743"/>
      <c r="AK12" s="743"/>
      <c r="AL12" s="743"/>
      <c r="AM12" s="743"/>
      <c r="AN12" s="743"/>
      <c r="AO12" s="743"/>
      <c r="AP12" s="743"/>
      <c r="AQ12" s="743"/>
      <c r="AR12" s="743"/>
      <c r="AS12" s="743"/>
      <c r="AT12" s="743"/>
      <c r="AU12" s="743"/>
      <c r="AV12" s="743"/>
      <c r="AW12" s="743"/>
      <c r="AX12" s="743"/>
      <c r="AY12" s="743"/>
      <c r="AZ12" s="743"/>
      <c r="BA12" s="743"/>
      <c r="BB12" s="743"/>
      <c r="BC12" s="743"/>
      <c r="BD12" s="743"/>
      <c r="BE12" s="743"/>
      <c r="BF12" s="743"/>
      <c r="BG12" s="743"/>
      <c r="BH12" s="743"/>
      <c r="BI12" s="743"/>
      <c r="BJ12" s="743"/>
      <c r="BK12" s="743"/>
      <c r="BL12" s="743"/>
      <c r="BM12" s="743"/>
      <c r="BN12" s="743"/>
      <c r="BO12" s="743"/>
      <c r="BP12" s="743"/>
      <c r="BQ12" s="743"/>
      <c r="BR12" s="743"/>
      <c r="BS12" s="743"/>
      <c r="BT12" s="743"/>
      <c r="BU12" s="743"/>
      <c r="BV12" s="743"/>
      <c r="BW12" s="743"/>
      <c r="BX12" s="743"/>
      <c r="BY12" s="743"/>
      <c r="BZ12" s="743"/>
      <c r="CA12" s="743"/>
      <c r="CB12" s="743"/>
      <c r="CC12" s="743"/>
      <c r="CD12" s="743"/>
      <c r="CE12" s="743"/>
      <c r="CF12" s="743"/>
      <c r="CG12" s="743"/>
      <c r="CH12" s="743"/>
      <c r="CI12" s="743"/>
      <c r="CJ12" s="743"/>
      <c r="CK12" s="743"/>
      <c r="CL12" s="743"/>
      <c r="CM12" s="743"/>
      <c r="CN12" s="743"/>
      <c r="CO12" s="743"/>
      <c r="CP12" s="743"/>
      <c r="CQ12" s="743"/>
      <c r="CR12" s="743"/>
      <c r="CS12" s="743"/>
      <c r="CT12" s="743"/>
      <c r="CU12" s="743"/>
      <c r="CV12" s="743"/>
      <c r="CW12" s="743"/>
      <c r="CX12" s="743"/>
      <c r="CY12" s="743"/>
      <c r="CZ12" s="743"/>
      <c r="DA12" s="743"/>
      <c r="DB12" s="743"/>
      <c r="DC12" s="743"/>
      <c r="DD12" s="743"/>
      <c r="DE12" s="743"/>
      <c r="DF12" s="743"/>
      <c r="DG12" s="743"/>
      <c r="DH12" s="743"/>
      <c r="DI12" s="743"/>
      <c r="DJ12" s="743"/>
      <c r="DK12" s="743"/>
      <c r="DL12" s="743"/>
      <c r="DM12" s="743"/>
      <c r="DN12" s="743"/>
      <c r="DO12" s="743"/>
      <c r="DP12" s="743"/>
      <c r="DQ12" s="743"/>
      <c r="DR12" s="743"/>
      <c r="DS12" s="743"/>
      <c r="DT12" s="743"/>
      <c r="DU12" s="743"/>
      <c r="DV12" s="743"/>
      <c r="DW12" s="743"/>
      <c r="DX12" s="743"/>
      <c r="DY12" s="743"/>
      <c r="DZ12" s="743"/>
      <c r="EA12" s="743"/>
      <c r="EB12" s="743"/>
      <c r="EC12" s="743"/>
      <c r="ED12" s="743"/>
      <c r="EE12" s="743"/>
      <c r="EF12" s="743"/>
      <c r="EG12" s="743"/>
      <c r="EH12" s="743"/>
      <c r="EI12" s="743"/>
      <c r="EJ12" s="743"/>
      <c r="EK12" s="743"/>
      <c r="EL12" s="743"/>
      <c r="EM12" s="743"/>
      <c r="EN12" s="743"/>
      <c r="EO12" s="743"/>
      <c r="EP12" s="743"/>
      <c r="EQ12" s="743"/>
      <c r="ER12" s="743"/>
      <c r="ES12" s="743"/>
      <c r="ET12" s="743"/>
      <c r="EU12" s="743"/>
      <c r="EV12" s="743"/>
      <c r="EW12" s="743"/>
      <c r="EX12" s="743"/>
      <c r="EY12" s="743"/>
      <c r="EZ12" s="743"/>
      <c r="FA12" s="743"/>
      <c r="FB12" s="743"/>
      <c r="FC12" s="743"/>
      <c r="FD12" s="743"/>
      <c r="FE12" s="743"/>
      <c r="FF12" s="743"/>
      <c r="FG12" s="743"/>
      <c r="FH12" s="743"/>
      <c r="FI12" s="743"/>
      <c r="FJ12" s="743"/>
      <c r="FK12" s="743"/>
      <c r="FL12" s="743"/>
      <c r="FM12" s="743"/>
      <c r="FN12" s="743"/>
      <c r="FO12" s="743"/>
      <c r="FP12" s="743"/>
      <c r="FQ12" s="743"/>
      <c r="FR12" s="743"/>
      <c r="FS12" s="743"/>
      <c r="FT12" s="743"/>
      <c r="FU12" s="743"/>
      <c r="FV12" s="743"/>
      <c r="FW12" s="743"/>
      <c r="FX12" s="743"/>
      <c r="FY12" s="743"/>
      <c r="FZ12" s="743"/>
      <c r="GA12" s="743"/>
      <c r="GB12" s="743"/>
      <c r="GC12" s="743"/>
      <c r="GD12" s="743"/>
      <c r="GE12" s="743"/>
      <c r="GF12" s="743"/>
      <c r="GG12" s="743"/>
      <c r="GH12" s="743"/>
      <c r="GI12" s="743"/>
      <c r="GJ12" s="743"/>
      <c r="GK12" s="743"/>
      <c r="GL12" s="743"/>
      <c r="GM12" s="743"/>
      <c r="GN12" s="743"/>
      <c r="GO12" s="743"/>
      <c r="GP12" s="743"/>
      <c r="GQ12" s="743"/>
      <c r="GR12" s="743"/>
      <c r="GS12" s="743"/>
      <c r="GT12" s="743"/>
      <c r="GU12" s="743"/>
      <c r="GV12" s="743"/>
      <c r="GW12" s="743"/>
      <c r="GX12" s="743"/>
      <c r="GY12" s="743"/>
      <c r="GZ12" s="743"/>
      <c r="HA12" s="743"/>
      <c r="HB12" s="743"/>
      <c r="HC12" s="743"/>
      <c r="HD12" s="743"/>
      <c r="HE12" s="743"/>
      <c r="HF12" s="743"/>
      <c r="HG12" s="743"/>
      <c r="HH12" s="743"/>
      <c r="HI12" s="743"/>
      <c r="HJ12" s="743"/>
      <c r="HK12" s="743"/>
      <c r="HL12" s="743"/>
      <c r="HM12" s="743"/>
      <c r="HN12" s="743"/>
      <c r="HO12" s="743"/>
      <c r="HP12" s="743"/>
      <c r="HQ12" s="743"/>
      <c r="HR12" s="743"/>
      <c r="HS12" s="743"/>
      <c r="HT12" s="743"/>
      <c r="HU12" s="743"/>
      <c r="HV12" s="743"/>
      <c r="HW12" s="743"/>
      <c r="HX12" s="743"/>
      <c r="HY12" s="743"/>
      <c r="HZ12" s="743"/>
      <c r="IA12" s="743"/>
      <c r="IB12" s="743"/>
      <c r="IC12" s="743"/>
      <c r="ID12" s="743"/>
      <c r="IE12" s="743"/>
      <c r="IF12" s="743"/>
      <c r="IG12" s="743"/>
      <c r="IH12" s="743"/>
      <c r="II12" s="743"/>
      <c r="IJ12" s="743"/>
      <c r="IK12" s="743"/>
      <c r="IL12" s="743"/>
      <c r="IM12" s="743"/>
      <c r="IN12" s="743"/>
    </row>
    <row r="13" spans="1:248" x14ac:dyDescent="0.3">
      <c r="A13" s="677" t="s">
        <v>229</v>
      </c>
      <c r="B13" s="1457" t="s">
        <v>230</v>
      </c>
      <c r="C13" s="1457"/>
      <c r="D13" s="1457"/>
      <c r="E13" s="1457"/>
      <c r="F13" s="1457"/>
      <c r="G13" s="1457"/>
      <c r="H13" s="393"/>
      <c r="I13" s="393"/>
      <c r="J13" s="743"/>
      <c r="K13" s="743"/>
      <c r="L13" s="743"/>
      <c r="M13" s="743"/>
      <c r="N13" s="743"/>
      <c r="O13" s="743"/>
      <c r="P13" s="743"/>
      <c r="Q13" s="743"/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43"/>
      <c r="AS13" s="743"/>
      <c r="AT13" s="743"/>
      <c r="AU13" s="743"/>
      <c r="AV13" s="743"/>
      <c r="AW13" s="743"/>
      <c r="AX13" s="743"/>
      <c r="AY13" s="743"/>
      <c r="AZ13" s="743"/>
      <c r="BA13" s="743"/>
      <c r="BB13" s="743"/>
      <c r="BC13" s="743"/>
      <c r="BD13" s="743"/>
      <c r="BE13" s="743"/>
      <c r="BF13" s="743"/>
      <c r="BG13" s="743"/>
      <c r="BH13" s="743"/>
      <c r="BI13" s="743"/>
      <c r="BJ13" s="743"/>
      <c r="BK13" s="743"/>
      <c r="BL13" s="743"/>
      <c r="BM13" s="743"/>
      <c r="BN13" s="743"/>
      <c r="BO13" s="743"/>
      <c r="BP13" s="743"/>
      <c r="BQ13" s="743"/>
      <c r="BR13" s="743"/>
      <c r="BS13" s="743"/>
      <c r="BT13" s="743"/>
      <c r="BU13" s="743"/>
      <c r="BV13" s="743"/>
      <c r="BW13" s="743"/>
      <c r="BX13" s="743"/>
      <c r="BY13" s="743"/>
      <c r="BZ13" s="743"/>
      <c r="CA13" s="743"/>
      <c r="CB13" s="743"/>
      <c r="CC13" s="743"/>
      <c r="CD13" s="743"/>
      <c r="CE13" s="743"/>
      <c r="CF13" s="743"/>
      <c r="CG13" s="743"/>
      <c r="CH13" s="743"/>
      <c r="CI13" s="743"/>
      <c r="CJ13" s="743"/>
      <c r="CK13" s="743"/>
      <c r="CL13" s="743"/>
      <c r="CM13" s="743"/>
      <c r="CN13" s="743"/>
      <c r="CO13" s="743"/>
      <c r="CP13" s="743"/>
      <c r="CQ13" s="743"/>
      <c r="CR13" s="743"/>
      <c r="CS13" s="743"/>
      <c r="CT13" s="743"/>
      <c r="CU13" s="743"/>
      <c r="CV13" s="743"/>
      <c r="CW13" s="743"/>
      <c r="CX13" s="743"/>
      <c r="CY13" s="743"/>
      <c r="CZ13" s="743"/>
      <c r="DA13" s="743"/>
      <c r="DB13" s="743"/>
      <c r="DC13" s="743"/>
      <c r="DD13" s="743"/>
      <c r="DE13" s="743"/>
      <c r="DF13" s="743"/>
      <c r="DG13" s="743"/>
      <c r="DH13" s="743"/>
      <c r="DI13" s="743"/>
      <c r="DJ13" s="743"/>
      <c r="DK13" s="743"/>
      <c r="DL13" s="743"/>
      <c r="DM13" s="743"/>
      <c r="DN13" s="743"/>
      <c r="DO13" s="743"/>
      <c r="DP13" s="743"/>
      <c r="DQ13" s="743"/>
      <c r="DR13" s="743"/>
      <c r="DS13" s="743"/>
      <c r="DT13" s="743"/>
      <c r="DU13" s="743"/>
      <c r="DV13" s="743"/>
      <c r="DW13" s="743"/>
      <c r="DX13" s="743"/>
      <c r="DY13" s="743"/>
      <c r="DZ13" s="743"/>
      <c r="EA13" s="743"/>
      <c r="EB13" s="743"/>
      <c r="EC13" s="743"/>
      <c r="ED13" s="743"/>
      <c r="EE13" s="743"/>
      <c r="EF13" s="743"/>
      <c r="EG13" s="743"/>
      <c r="EH13" s="743"/>
      <c r="EI13" s="743"/>
      <c r="EJ13" s="743"/>
      <c r="EK13" s="743"/>
      <c r="EL13" s="743"/>
      <c r="EM13" s="743"/>
      <c r="EN13" s="743"/>
      <c r="EO13" s="743"/>
      <c r="EP13" s="743"/>
      <c r="EQ13" s="743"/>
      <c r="ER13" s="743"/>
      <c r="ES13" s="743"/>
      <c r="ET13" s="743"/>
      <c r="EU13" s="743"/>
      <c r="EV13" s="743"/>
      <c r="EW13" s="743"/>
      <c r="EX13" s="743"/>
      <c r="EY13" s="743"/>
      <c r="EZ13" s="743"/>
      <c r="FA13" s="743"/>
      <c r="FB13" s="743"/>
      <c r="FC13" s="743"/>
      <c r="FD13" s="743"/>
      <c r="FE13" s="743"/>
      <c r="FF13" s="743"/>
      <c r="FG13" s="743"/>
      <c r="FH13" s="743"/>
      <c r="FI13" s="743"/>
      <c r="FJ13" s="743"/>
      <c r="FK13" s="743"/>
      <c r="FL13" s="743"/>
      <c r="FM13" s="743"/>
      <c r="FN13" s="743"/>
      <c r="FO13" s="743"/>
      <c r="FP13" s="743"/>
      <c r="FQ13" s="743"/>
      <c r="FR13" s="743"/>
      <c r="FS13" s="743"/>
      <c r="FT13" s="743"/>
      <c r="FU13" s="743"/>
      <c r="FV13" s="743"/>
      <c r="FW13" s="743"/>
      <c r="FX13" s="743"/>
      <c r="FY13" s="743"/>
      <c r="FZ13" s="743"/>
      <c r="GA13" s="743"/>
      <c r="GB13" s="743"/>
      <c r="GC13" s="743"/>
      <c r="GD13" s="743"/>
      <c r="GE13" s="743"/>
      <c r="GF13" s="743"/>
      <c r="GG13" s="743"/>
      <c r="GH13" s="743"/>
      <c r="GI13" s="743"/>
      <c r="GJ13" s="743"/>
      <c r="GK13" s="743"/>
      <c r="GL13" s="743"/>
      <c r="GM13" s="743"/>
      <c r="GN13" s="743"/>
      <c r="GO13" s="743"/>
      <c r="GP13" s="743"/>
      <c r="GQ13" s="743"/>
      <c r="GR13" s="743"/>
      <c r="GS13" s="743"/>
      <c r="GT13" s="743"/>
      <c r="GU13" s="743"/>
      <c r="GV13" s="743"/>
      <c r="GW13" s="743"/>
      <c r="GX13" s="743"/>
      <c r="GY13" s="743"/>
      <c r="GZ13" s="743"/>
      <c r="HA13" s="743"/>
      <c r="HB13" s="743"/>
      <c r="HC13" s="743"/>
      <c r="HD13" s="743"/>
      <c r="HE13" s="743"/>
      <c r="HF13" s="743"/>
      <c r="HG13" s="743"/>
      <c r="HH13" s="743"/>
      <c r="HI13" s="743"/>
      <c r="HJ13" s="743"/>
      <c r="HK13" s="743"/>
      <c r="HL13" s="743"/>
      <c r="HM13" s="743"/>
      <c r="HN13" s="743"/>
      <c r="HO13" s="743"/>
      <c r="HP13" s="743"/>
      <c r="HQ13" s="743"/>
      <c r="HR13" s="743"/>
      <c r="HS13" s="743"/>
      <c r="HT13" s="743"/>
      <c r="HU13" s="743"/>
      <c r="HV13" s="743"/>
      <c r="HW13" s="743"/>
      <c r="HX13" s="743"/>
      <c r="HY13" s="743"/>
      <c r="HZ13" s="743"/>
      <c r="IA13" s="743"/>
      <c r="IB13" s="743"/>
      <c r="IC13" s="743"/>
      <c r="ID13" s="743"/>
      <c r="IE13" s="743"/>
      <c r="IF13" s="743"/>
      <c r="IG13" s="743"/>
      <c r="IH13" s="743"/>
      <c r="II13" s="743"/>
      <c r="IJ13" s="743"/>
      <c r="IK13" s="743"/>
      <c r="IL13" s="743"/>
      <c r="IM13" s="743"/>
      <c r="IN13" s="743"/>
    </row>
    <row r="14" spans="1:248" x14ac:dyDescent="0.3">
      <c r="A14" s="676"/>
      <c r="B14" s="1455" t="s">
        <v>231</v>
      </c>
      <c r="C14" s="1455"/>
      <c r="D14" s="375" t="s">
        <v>7</v>
      </c>
      <c r="E14" s="375" t="s">
        <v>7</v>
      </c>
      <c r="F14" s="1118">
        <f>PENYELIA!F14</f>
        <v>22.86</v>
      </c>
      <c r="G14" s="1125" t="s">
        <v>810</v>
      </c>
      <c r="H14" s="1117">
        <f>PENYELIA!H14</f>
        <v>0.8</v>
      </c>
      <c r="I14" s="745" t="str">
        <f>PENYELIA!I14</f>
        <v xml:space="preserve"> °C</v>
      </c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  <c r="DD14" s="743"/>
      <c r="DE14" s="743"/>
      <c r="DF14" s="743"/>
      <c r="DG14" s="743"/>
      <c r="DH14" s="743"/>
      <c r="DI14" s="743"/>
      <c r="DJ14" s="743"/>
      <c r="DK14" s="743"/>
      <c r="DL14" s="743"/>
      <c r="DM14" s="743"/>
      <c r="DN14" s="743"/>
      <c r="DO14" s="743"/>
      <c r="DP14" s="743"/>
      <c r="DQ14" s="743"/>
      <c r="DR14" s="743"/>
      <c r="DS14" s="743"/>
      <c r="DT14" s="743"/>
      <c r="DU14" s="743"/>
      <c r="DV14" s="743"/>
      <c r="DW14" s="743"/>
      <c r="DX14" s="743"/>
      <c r="DY14" s="743"/>
      <c r="DZ14" s="743"/>
      <c r="EA14" s="743"/>
      <c r="EB14" s="743"/>
      <c r="EC14" s="743"/>
      <c r="ED14" s="743"/>
      <c r="EE14" s="743"/>
      <c r="EF14" s="743"/>
      <c r="EG14" s="743"/>
      <c r="EH14" s="743"/>
      <c r="EI14" s="743"/>
      <c r="EJ14" s="743"/>
      <c r="EK14" s="743"/>
      <c r="EL14" s="743"/>
      <c r="EM14" s="743"/>
      <c r="EN14" s="743"/>
      <c r="EO14" s="743"/>
      <c r="EP14" s="743"/>
      <c r="EQ14" s="743"/>
      <c r="ER14" s="743"/>
      <c r="ES14" s="743"/>
      <c r="ET14" s="743"/>
      <c r="EU14" s="743"/>
      <c r="EV14" s="743"/>
      <c r="EW14" s="743"/>
      <c r="EX14" s="743"/>
      <c r="EY14" s="743"/>
      <c r="EZ14" s="743"/>
      <c r="FA14" s="743"/>
      <c r="FB14" s="743"/>
      <c r="FC14" s="743"/>
      <c r="FD14" s="743"/>
      <c r="FE14" s="743"/>
      <c r="FF14" s="743"/>
      <c r="FG14" s="743"/>
      <c r="FH14" s="743"/>
      <c r="FI14" s="743"/>
      <c r="FJ14" s="743"/>
      <c r="FK14" s="743"/>
      <c r="FL14" s="743"/>
      <c r="FM14" s="743"/>
      <c r="FN14" s="743"/>
      <c r="FO14" s="743"/>
      <c r="FP14" s="743"/>
      <c r="FQ14" s="743"/>
      <c r="FR14" s="743"/>
      <c r="FS14" s="743"/>
      <c r="FT14" s="743"/>
      <c r="FU14" s="743"/>
      <c r="FV14" s="743"/>
      <c r="FW14" s="743"/>
      <c r="FX14" s="743"/>
      <c r="FY14" s="743"/>
      <c r="FZ14" s="743"/>
      <c r="GA14" s="743"/>
      <c r="GB14" s="743"/>
      <c r="GC14" s="743"/>
      <c r="GD14" s="743"/>
      <c r="GE14" s="743"/>
      <c r="GF14" s="743"/>
      <c r="GG14" s="743"/>
      <c r="GH14" s="743"/>
      <c r="GI14" s="743"/>
      <c r="GJ14" s="743"/>
      <c r="GK14" s="743"/>
      <c r="GL14" s="743"/>
      <c r="GM14" s="743"/>
      <c r="GN14" s="743"/>
      <c r="GO14" s="743"/>
      <c r="GP14" s="743"/>
      <c r="GQ14" s="743"/>
      <c r="GR14" s="743"/>
      <c r="GS14" s="743"/>
      <c r="GT14" s="743"/>
      <c r="GU14" s="743"/>
      <c r="GV14" s="743"/>
      <c r="GW14" s="743"/>
      <c r="GX14" s="743"/>
      <c r="GY14" s="743"/>
      <c r="GZ14" s="743"/>
      <c r="HA14" s="743"/>
      <c r="HB14" s="743"/>
      <c r="HC14" s="743"/>
      <c r="HD14" s="743"/>
      <c r="HE14" s="743"/>
      <c r="HF14" s="743"/>
      <c r="HG14" s="743"/>
      <c r="HH14" s="743"/>
      <c r="HI14" s="743"/>
      <c r="HJ14" s="743"/>
      <c r="HK14" s="743"/>
      <c r="HL14" s="743"/>
      <c r="HM14" s="743"/>
      <c r="HN14" s="743"/>
      <c r="HO14" s="743"/>
      <c r="HP14" s="743"/>
      <c r="HQ14" s="743"/>
      <c r="HR14" s="743"/>
      <c r="HS14" s="743"/>
      <c r="HT14" s="743"/>
      <c r="HU14" s="743"/>
      <c r="HV14" s="743"/>
      <c r="HW14" s="743"/>
      <c r="HX14" s="743"/>
      <c r="HY14" s="743"/>
      <c r="HZ14" s="743"/>
      <c r="IA14" s="743"/>
      <c r="IB14" s="743"/>
      <c r="IC14" s="743"/>
      <c r="ID14" s="743"/>
      <c r="IE14" s="743"/>
      <c r="IF14" s="743"/>
      <c r="IG14" s="743"/>
      <c r="IH14" s="743"/>
      <c r="II14" s="743"/>
      <c r="IJ14" s="743"/>
      <c r="IK14" s="743"/>
      <c r="IL14" s="743"/>
      <c r="IM14" s="743"/>
      <c r="IN14" s="743"/>
    </row>
    <row r="15" spans="1:248" x14ac:dyDescent="0.3">
      <c r="A15" s="676"/>
      <c r="B15" s="1455" t="s">
        <v>232</v>
      </c>
      <c r="C15" s="1455"/>
      <c r="D15" s="375" t="s">
        <v>7</v>
      </c>
      <c r="E15" s="375" t="s">
        <v>7</v>
      </c>
      <c r="F15" s="1118">
        <f>PENYELIA!F15</f>
        <v>55.265500000000003</v>
      </c>
      <c r="G15" s="1125" t="s">
        <v>810</v>
      </c>
      <c r="H15" s="1117">
        <f>PENYELIA!H15</f>
        <v>2.2000000000000002</v>
      </c>
      <c r="I15" s="745" t="str">
        <f>PENYELIA!I15</f>
        <v xml:space="preserve"> %RH</v>
      </c>
      <c r="J15" s="743"/>
      <c r="K15" s="743"/>
      <c r="L15" s="743"/>
      <c r="M15" s="743"/>
      <c r="N15" s="743"/>
      <c r="O15" s="743"/>
      <c r="P15" s="743"/>
      <c r="Q15" s="743"/>
      <c r="R15" s="743"/>
      <c r="S15" s="743"/>
      <c r="T15" s="743"/>
      <c r="U15" s="743"/>
      <c r="V15" s="743"/>
      <c r="W15" s="743"/>
      <c r="X15" s="743"/>
      <c r="Y15" s="743"/>
      <c r="Z15" s="743"/>
      <c r="AA15" s="743"/>
      <c r="AB15" s="743"/>
      <c r="AC15" s="743"/>
      <c r="AD15" s="743"/>
      <c r="AE15" s="743"/>
      <c r="AF15" s="743"/>
      <c r="AG15" s="743"/>
      <c r="AH15" s="743"/>
      <c r="AI15" s="743"/>
      <c r="AJ15" s="743"/>
      <c r="AK15" s="743"/>
      <c r="AL15" s="743"/>
      <c r="AM15" s="743"/>
      <c r="AN15" s="743"/>
      <c r="AO15" s="743"/>
      <c r="AP15" s="743"/>
      <c r="AQ15" s="743"/>
      <c r="AR15" s="743"/>
      <c r="AS15" s="743"/>
      <c r="AT15" s="743"/>
      <c r="AU15" s="743"/>
      <c r="AV15" s="743"/>
      <c r="AW15" s="743"/>
      <c r="AX15" s="743"/>
      <c r="AY15" s="743"/>
      <c r="AZ15" s="743"/>
      <c r="BA15" s="743"/>
      <c r="BB15" s="743"/>
      <c r="BC15" s="743"/>
      <c r="BD15" s="743"/>
      <c r="BE15" s="743"/>
      <c r="BF15" s="743"/>
      <c r="BG15" s="743"/>
      <c r="BH15" s="743"/>
      <c r="BI15" s="743"/>
      <c r="BJ15" s="743"/>
      <c r="BK15" s="743"/>
      <c r="BL15" s="743"/>
      <c r="BM15" s="743"/>
      <c r="BN15" s="743"/>
      <c r="BO15" s="743"/>
      <c r="BP15" s="743"/>
      <c r="BQ15" s="743"/>
      <c r="BR15" s="743"/>
      <c r="BS15" s="743"/>
      <c r="BT15" s="743"/>
      <c r="BU15" s="743"/>
      <c r="BV15" s="743"/>
      <c r="BW15" s="743"/>
      <c r="BX15" s="743"/>
      <c r="BY15" s="743"/>
      <c r="BZ15" s="743"/>
      <c r="CA15" s="743"/>
      <c r="CB15" s="743"/>
      <c r="CC15" s="743"/>
      <c r="CD15" s="743"/>
      <c r="CE15" s="743"/>
      <c r="CF15" s="743"/>
      <c r="CG15" s="743"/>
      <c r="CH15" s="743"/>
      <c r="CI15" s="743"/>
      <c r="CJ15" s="743"/>
      <c r="CK15" s="743"/>
      <c r="CL15" s="743"/>
      <c r="CM15" s="743"/>
      <c r="CN15" s="743"/>
      <c r="CO15" s="743"/>
      <c r="CP15" s="743"/>
      <c r="CQ15" s="743"/>
      <c r="CR15" s="743"/>
      <c r="CS15" s="743"/>
      <c r="CT15" s="743"/>
      <c r="CU15" s="743"/>
      <c r="CV15" s="743"/>
      <c r="CW15" s="743"/>
      <c r="CX15" s="743"/>
      <c r="CY15" s="743"/>
      <c r="CZ15" s="743"/>
      <c r="DA15" s="743"/>
      <c r="DB15" s="743"/>
      <c r="DC15" s="743"/>
      <c r="DD15" s="743"/>
      <c r="DE15" s="743"/>
      <c r="DF15" s="743"/>
      <c r="DG15" s="743"/>
      <c r="DH15" s="743"/>
      <c r="DI15" s="743"/>
      <c r="DJ15" s="743"/>
      <c r="DK15" s="743"/>
      <c r="DL15" s="743"/>
      <c r="DM15" s="743"/>
      <c r="DN15" s="743"/>
      <c r="DO15" s="743"/>
      <c r="DP15" s="743"/>
      <c r="DQ15" s="743"/>
      <c r="DR15" s="743"/>
      <c r="DS15" s="743"/>
      <c r="DT15" s="743"/>
      <c r="DU15" s="743"/>
      <c r="DV15" s="743"/>
      <c r="DW15" s="743"/>
      <c r="DX15" s="743"/>
      <c r="DY15" s="743"/>
      <c r="DZ15" s="743"/>
      <c r="EA15" s="743"/>
      <c r="EB15" s="743"/>
      <c r="EC15" s="743"/>
      <c r="ED15" s="743"/>
      <c r="EE15" s="743"/>
      <c r="EF15" s="743"/>
      <c r="EG15" s="743"/>
      <c r="EH15" s="743"/>
      <c r="EI15" s="743"/>
      <c r="EJ15" s="743"/>
      <c r="EK15" s="743"/>
      <c r="EL15" s="743"/>
      <c r="EM15" s="743"/>
      <c r="EN15" s="743"/>
      <c r="EO15" s="743"/>
      <c r="EP15" s="743"/>
      <c r="EQ15" s="743"/>
      <c r="ER15" s="743"/>
      <c r="ES15" s="743"/>
      <c r="ET15" s="743"/>
      <c r="EU15" s="743"/>
      <c r="EV15" s="743"/>
      <c r="EW15" s="743"/>
      <c r="EX15" s="743"/>
      <c r="EY15" s="743"/>
      <c r="EZ15" s="743"/>
      <c r="FA15" s="743"/>
      <c r="FB15" s="743"/>
      <c r="FC15" s="743"/>
      <c r="FD15" s="743"/>
      <c r="FE15" s="743"/>
      <c r="FF15" s="743"/>
      <c r="FG15" s="743"/>
      <c r="FH15" s="743"/>
      <c r="FI15" s="743"/>
      <c r="FJ15" s="743"/>
      <c r="FK15" s="743"/>
      <c r="FL15" s="743"/>
      <c r="FM15" s="743"/>
      <c r="FN15" s="743"/>
      <c r="FO15" s="743"/>
      <c r="FP15" s="743"/>
      <c r="FQ15" s="743"/>
      <c r="FR15" s="743"/>
      <c r="FS15" s="743"/>
      <c r="FT15" s="743"/>
      <c r="FU15" s="743"/>
      <c r="FV15" s="743"/>
      <c r="FW15" s="743"/>
      <c r="FX15" s="743"/>
      <c r="FY15" s="743"/>
      <c r="FZ15" s="743"/>
      <c r="GA15" s="743"/>
      <c r="GB15" s="743"/>
      <c r="GC15" s="743"/>
      <c r="GD15" s="743"/>
      <c r="GE15" s="743"/>
      <c r="GF15" s="743"/>
      <c r="GG15" s="743"/>
      <c r="GH15" s="743"/>
      <c r="GI15" s="743"/>
      <c r="GJ15" s="743"/>
      <c r="GK15" s="743"/>
      <c r="GL15" s="743"/>
      <c r="GM15" s="743"/>
      <c r="GN15" s="743"/>
      <c r="GO15" s="743"/>
      <c r="GP15" s="743"/>
      <c r="GQ15" s="743"/>
      <c r="GR15" s="743"/>
      <c r="GS15" s="743"/>
      <c r="GT15" s="743"/>
      <c r="GU15" s="743"/>
      <c r="GV15" s="743"/>
      <c r="GW15" s="743"/>
      <c r="GX15" s="743"/>
      <c r="GY15" s="743"/>
      <c r="GZ15" s="743"/>
      <c r="HA15" s="743"/>
      <c r="HB15" s="743"/>
      <c r="HC15" s="743"/>
      <c r="HD15" s="743"/>
      <c r="HE15" s="743"/>
      <c r="HF15" s="743"/>
      <c r="HG15" s="743"/>
      <c r="HH15" s="743"/>
      <c r="HI15" s="743"/>
      <c r="HJ15" s="743"/>
      <c r="HK15" s="743"/>
      <c r="HL15" s="743"/>
      <c r="HM15" s="743"/>
      <c r="HN15" s="743"/>
      <c r="HO15" s="743"/>
      <c r="HP15" s="743"/>
      <c r="HQ15" s="743"/>
      <c r="HR15" s="743"/>
      <c r="HS15" s="743"/>
      <c r="HT15" s="743"/>
      <c r="HU15" s="743"/>
      <c r="HV15" s="743"/>
      <c r="HW15" s="743"/>
      <c r="HX15" s="743"/>
      <c r="HY15" s="743"/>
      <c r="HZ15" s="743"/>
      <c r="IA15" s="743"/>
      <c r="IB15" s="743"/>
      <c r="IC15" s="743"/>
      <c r="ID15" s="743"/>
      <c r="IE15" s="743"/>
      <c r="IF15" s="743"/>
      <c r="IG15" s="743"/>
      <c r="IH15" s="743"/>
      <c r="II15" s="743"/>
      <c r="IJ15" s="743"/>
      <c r="IK15" s="743"/>
      <c r="IL15" s="743"/>
      <c r="IM15" s="743"/>
      <c r="IN15" s="743"/>
    </row>
    <row r="16" spans="1:248" ht="16.5" customHeight="1" x14ac:dyDescent="0.3">
      <c r="A16" s="676"/>
      <c r="B16" s="676" t="str">
        <f>PENYELIA!B16</f>
        <v>3. Tegangan jala jala</v>
      </c>
      <c r="C16" s="676"/>
      <c r="D16" s="375"/>
      <c r="E16" s="375" t="s">
        <v>7</v>
      </c>
      <c r="F16" s="1118" t="str">
        <f>PENYELIA!F16</f>
        <v>-</v>
      </c>
      <c r="G16" s="1125" t="s">
        <v>810</v>
      </c>
      <c r="H16" s="1119" t="str">
        <f>PENYELIA!H16</f>
        <v/>
      </c>
      <c r="I16" s="745" t="str">
        <f>PENYELIA!I16</f>
        <v xml:space="preserve">  Volt</v>
      </c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  <c r="U16" s="743"/>
      <c r="V16" s="743"/>
      <c r="W16" s="743"/>
      <c r="X16" s="743"/>
      <c r="Y16" s="743"/>
      <c r="Z16" s="743"/>
      <c r="AA16" s="743"/>
      <c r="AB16" s="743"/>
      <c r="AC16" s="743"/>
      <c r="AD16" s="743"/>
      <c r="AE16" s="743"/>
      <c r="AF16" s="743"/>
      <c r="AG16" s="743"/>
      <c r="AH16" s="743"/>
      <c r="AI16" s="743"/>
      <c r="AJ16" s="743"/>
      <c r="AK16" s="743"/>
      <c r="AL16" s="743"/>
      <c r="AM16" s="743"/>
      <c r="AN16" s="743"/>
      <c r="AO16" s="743"/>
      <c r="AP16" s="743"/>
      <c r="AQ16" s="743"/>
      <c r="AR16" s="743"/>
      <c r="AS16" s="743"/>
      <c r="AT16" s="743"/>
      <c r="AU16" s="743"/>
      <c r="AV16" s="743"/>
      <c r="AW16" s="743"/>
      <c r="AX16" s="743"/>
      <c r="AY16" s="743"/>
      <c r="AZ16" s="743"/>
      <c r="BA16" s="743"/>
      <c r="BB16" s="743"/>
      <c r="BC16" s="743"/>
      <c r="BD16" s="743"/>
      <c r="BE16" s="743"/>
      <c r="BF16" s="743"/>
      <c r="BG16" s="743"/>
      <c r="BH16" s="743"/>
      <c r="BI16" s="743"/>
      <c r="BJ16" s="743"/>
      <c r="BK16" s="743"/>
      <c r="BL16" s="743"/>
      <c r="BM16" s="743"/>
      <c r="BN16" s="743"/>
      <c r="BO16" s="743"/>
      <c r="BP16" s="743"/>
      <c r="BQ16" s="743"/>
      <c r="BR16" s="743"/>
      <c r="BS16" s="743"/>
      <c r="BT16" s="743"/>
      <c r="BU16" s="743"/>
      <c r="BV16" s="743"/>
      <c r="BW16" s="743"/>
      <c r="BX16" s="743"/>
      <c r="BY16" s="743"/>
      <c r="BZ16" s="743"/>
      <c r="CA16" s="743"/>
      <c r="CB16" s="743"/>
      <c r="CC16" s="743"/>
      <c r="CD16" s="743"/>
      <c r="CE16" s="743"/>
      <c r="CF16" s="743"/>
      <c r="CG16" s="743"/>
      <c r="CH16" s="743"/>
      <c r="CI16" s="743"/>
      <c r="CJ16" s="743"/>
      <c r="CK16" s="743"/>
      <c r="CL16" s="743"/>
      <c r="CM16" s="743"/>
      <c r="CN16" s="743"/>
      <c r="CO16" s="743"/>
      <c r="CP16" s="743"/>
      <c r="CQ16" s="743"/>
      <c r="CR16" s="743"/>
      <c r="CS16" s="743"/>
      <c r="CT16" s="743"/>
      <c r="CU16" s="743"/>
      <c r="CV16" s="743"/>
      <c r="CW16" s="743"/>
      <c r="CX16" s="743"/>
      <c r="CY16" s="743"/>
      <c r="CZ16" s="743"/>
      <c r="DA16" s="743"/>
      <c r="DB16" s="743"/>
      <c r="DC16" s="743"/>
      <c r="DD16" s="743"/>
      <c r="DE16" s="743"/>
      <c r="DF16" s="743"/>
      <c r="DG16" s="743"/>
      <c r="DH16" s="743"/>
      <c r="DI16" s="743"/>
      <c r="DJ16" s="743"/>
      <c r="DK16" s="743"/>
      <c r="DL16" s="743"/>
      <c r="DM16" s="743"/>
      <c r="DN16" s="743"/>
      <c r="DO16" s="743"/>
      <c r="DP16" s="743"/>
      <c r="DQ16" s="743"/>
      <c r="DR16" s="743"/>
      <c r="DS16" s="743"/>
      <c r="DT16" s="743"/>
      <c r="DU16" s="743"/>
      <c r="DV16" s="743"/>
      <c r="DW16" s="743"/>
      <c r="DX16" s="743"/>
      <c r="DY16" s="743"/>
      <c r="DZ16" s="743"/>
      <c r="EA16" s="743"/>
      <c r="EB16" s="743"/>
      <c r="EC16" s="743"/>
      <c r="ED16" s="743"/>
      <c r="EE16" s="743"/>
      <c r="EF16" s="743"/>
      <c r="EG16" s="743"/>
      <c r="EH16" s="743"/>
      <c r="EI16" s="743"/>
      <c r="EJ16" s="743"/>
      <c r="EK16" s="743"/>
      <c r="EL16" s="743"/>
      <c r="EM16" s="743"/>
      <c r="EN16" s="743"/>
      <c r="EO16" s="743"/>
      <c r="EP16" s="743"/>
      <c r="EQ16" s="743"/>
      <c r="ER16" s="743"/>
      <c r="ES16" s="743"/>
      <c r="ET16" s="743"/>
      <c r="EU16" s="743"/>
      <c r="EV16" s="743"/>
      <c r="EW16" s="743"/>
      <c r="EX16" s="743"/>
      <c r="EY16" s="743"/>
      <c r="EZ16" s="743"/>
      <c r="FA16" s="743"/>
      <c r="FB16" s="743"/>
      <c r="FC16" s="743"/>
      <c r="FD16" s="743"/>
      <c r="FE16" s="743"/>
      <c r="FF16" s="743"/>
      <c r="FG16" s="743"/>
      <c r="FH16" s="743"/>
      <c r="FI16" s="743"/>
      <c r="FJ16" s="743"/>
      <c r="FK16" s="743"/>
      <c r="FL16" s="743"/>
      <c r="FM16" s="743"/>
      <c r="FN16" s="743"/>
      <c r="FO16" s="743"/>
      <c r="FP16" s="743"/>
      <c r="FQ16" s="743"/>
      <c r="FR16" s="743"/>
      <c r="FS16" s="743"/>
      <c r="FT16" s="743"/>
      <c r="FU16" s="743"/>
      <c r="FV16" s="743"/>
      <c r="FW16" s="743"/>
      <c r="FX16" s="743"/>
      <c r="FY16" s="743"/>
      <c r="FZ16" s="743"/>
      <c r="GA16" s="743"/>
      <c r="GB16" s="743"/>
      <c r="GC16" s="743"/>
      <c r="GD16" s="743"/>
      <c r="GE16" s="743"/>
      <c r="GF16" s="743"/>
      <c r="GG16" s="743"/>
      <c r="GH16" s="743"/>
      <c r="GI16" s="743"/>
      <c r="GJ16" s="743"/>
      <c r="GK16" s="743"/>
      <c r="GL16" s="743"/>
      <c r="GM16" s="743"/>
      <c r="GN16" s="743"/>
      <c r="GO16" s="743"/>
      <c r="GP16" s="743"/>
      <c r="GQ16" s="743"/>
      <c r="GR16" s="743"/>
      <c r="GS16" s="743"/>
      <c r="GT16" s="743"/>
      <c r="GU16" s="743"/>
      <c r="GV16" s="743"/>
      <c r="GW16" s="743"/>
      <c r="GX16" s="743"/>
      <c r="GY16" s="743"/>
      <c r="GZ16" s="743"/>
      <c r="HA16" s="743"/>
      <c r="HB16" s="743"/>
      <c r="HC16" s="743"/>
      <c r="HD16" s="743"/>
      <c r="HE16" s="743"/>
      <c r="HF16" s="743"/>
      <c r="HG16" s="743"/>
      <c r="HH16" s="743"/>
      <c r="HI16" s="743"/>
      <c r="HJ16" s="743"/>
      <c r="HK16" s="743"/>
      <c r="HL16" s="743"/>
      <c r="HM16" s="743"/>
      <c r="HN16" s="743"/>
      <c r="HO16" s="743"/>
      <c r="HP16" s="743"/>
      <c r="HQ16" s="743"/>
      <c r="HR16" s="743"/>
      <c r="HS16" s="743"/>
      <c r="HT16" s="743"/>
      <c r="HU16" s="743"/>
      <c r="HV16" s="743"/>
      <c r="HW16" s="743"/>
      <c r="HX16" s="743"/>
      <c r="HY16" s="743"/>
      <c r="HZ16" s="743"/>
      <c r="IA16" s="743"/>
      <c r="IB16" s="743"/>
      <c r="IC16" s="743"/>
      <c r="ID16" s="743"/>
      <c r="IE16" s="743"/>
      <c r="IF16" s="743"/>
      <c r="IG16" s="743"/>
      <c r="IH16" s="743"/>
      <c r="II16" s="743"/>
      <c r="IJ16" s="743"/>
      <c r="IK16" s="743"/>
      <c r="IL16" s="743"/>
      <c r="IM16" s="743"/>
      <c r="IN16" s="743"/>
    </row>
    <row r="17" spans="1:248" x14ac:dyDescent="0.3">
      <c r="A17" s="379" t="s">
        <v>33</v>
      </c>
      <c r="B17" s="380" t="s">
        <v>34</v>
      </c>
      <c r="C17" s="380"/>
      <c r="D17" s="380"/>
      <c r="E17" s="380"/>
      <c r="F17" s="380"/>
      <c r="G17" s="380"/>
      <c r="H17" s="381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743"/>
      <c r="AK17" s="743"/>
      <c r="AL17" s="743"/>
      <c r="AM17" s="743"/>
      <c r="AN17" s="743"/>
      <c r="AO17" s="743"/>
      <c r="AP17" s="743"/>
      <c r="AQ17" s="743"/>
      <c r="AR17" s="743"/>
      <c r="AS17" s="743"/>
      <c r="AT17" s="743"/>
      <c r="AU17" s="743"/>
      <c r="AV17" s="743"/>
      <c r="AW17" s="743"/>
      <c r="AX17" s="743"/>
      <c r="AY17" s="743"/>
      <c r="AZ17" s="743"/>
      <c r="BA17" s="743"/>
      <c r="BB17" s="743"/>
      <c r="BC17" s="743"/>
      <c r="BD17" s="743"/>
      <c r="BE17" s="743"/>
      <c r="BF17" s="743"/>
      <c r="BG17" s="743"/>
      <c r="BH17" s="743"/>
      <c r="BI17" s="743"/>
      <c r="BJ17" s="743"/>
      <c r="BK17" s="743"/>
      <c r="BL17" s="743"/>
      <c r="BM17" s="743"/>
      <c r="BN17" s="743"/>
      <c r="BO17" s="743"/>
      <c r="BP17" s="743"/>
      <c r="BQ17" s="743"/>
      <c r="BR17" s="743"/>
      <c r="BS17" s="743"/>
      <c r="BT17" s="743"/>
      <c r="BU17" s="743"/>
      <c r="BV17" s="743"/>
      <c r="BW17" s="743"/>
      <c r="BX17" s="743"/>
      <c r="BY17" s="743"/>
      <c r="BZ17" s="743"/>
      <c r="CA17" s="743"/>
      <c r="CB17" s="743"/>
      <c r="CC17" s="743"/>
      <c r="CD17" s="743"/>
      <c r="CE17" s="743"/>
      <c r="CF17" s="743"/>
      <c r="CG17" s="743"/>
      <c r="CH17" s="743"/>
      <c r="CI17" s="743"/>
      <c r="CJ17" s="743"/>
      <c r="CK17" s="743"/>
      <c r="CL17" s="743"/>
      <c r="CM17" s="743"/>
      <c r="CN17" s="743"/>
      <c r="CO17" s="743"/>
      <c r="CP17" s="743"/>
      <c r="CQ17" s="743"/>
      <c r="CR17" s="743"/>
      <c r="CS17" s="743"/>
      <c r="CT17" s="743"/>
      <c r="CU17" s="743"/>
      <c r="CV17" s="743"/>
      <c r="CW17" s="743"/>
      <c r="CX17" s="743"/>
      <c r="CY17" s="743"/>
      <c r="CZ17" s="743"/>
      <c r="DA17" s="743"/>
      <c r="DB17" s="743"/>
      <c r="DC17" s="743"/>
      <c r="DD17" s="743"/>
      <c r="DE17" s="743"/>
      <c r="DF17" s="743"/>
      <c r="DG17" s="743"/>
      <c r="DH17" s="743"/>
      <c r="DI17" s="743"/>
      <c r="DJ17" s="743"/>
      <c r="DK17" s="743"/>
      <c r="DL17" s="743"/>
      <c r="DM17" s="743"/>
      <c r="DN17" s="743"/>
      <c r="DO17" s="743"/>
      <c r="DP17" s="743"/>
      <c r="DQ17" s="743"/>
      <c r="DR17" s="743"/>
      <c r="DS17" s="743"/>
      <c r="DT17" s="743"/>
      <c r="DU17" s="743"/>
      <c r="DV17" s="743"/>
      <c r="DW17" s="743"/>
      <c r="DX17" s="743"/>
      <c r="DY17" s="743"/>
      <c r="DZ17" s="743"/>
      <c r="EA17" s="743"/>
      <c r="EB17" s="743"/>
      <c r="EC17" s="743"/>
      <c r="ED17" s="743"/>
      <c r="EE17" s="743"/>
      <c r="EF17" s="743"/>
      <c r="EG17" s="743"/>
      <c r="EH17" s="743"/>
      <c r="EI17" s="743"/>
      <c r="EJ17" s="743"/>
      <c r="EK17" s="743"/>
      <c r="EL17" s="743"/>
      <c r="EM17" s="743"/>
      <c r="EN17" s="743"/>
      <c r="EO17" s="743"/>
      <c r="EP17" s="743"/>
      <c r="EQ17" s="743"/>
      <c r="ER17" s="743"/>
      <c r="ES17" s="743"/>
      <c r="ET17" s="743"/>
      <c r="EU17" s="743"/>
      <c r="EV17" s="743"/>
      <c r="EW17" s="743"/>
      <c r="EX17" s="743"/>
      <c r="EY17" s="743"/>
      <c r="EZ17" s="743"/>
      <c r="FA17" s="743"/>
      <c r="FB17" s="743"/>
      <c r="FC17" s="743"/>
      <c r="FD17" s="743"/>
      <c r="FE17" s="743"/>
      <c r="FF17" s="743"/>
      <c r="FG17" s="743"/>
      <c r="FH17" s="743"/>
      <c r="FI17" s="743"/>
      <c r="FJ17" s="743"/>
      <c r="FK17" s="743"/>
      <c r="FL17" s="743"/>
      <c r="FM17" s="743"/>
      <c r="FN17" s="743"/>
      <c r="FO17" s="743"/>
      <c r="FP17" s="743"/>
      <c r="FQ17" s="743"/>
      <c r="FR17" s="743"/>
      <c r="FS17" s="743"/>
      <c r="FT17" s="743"/>
      <c r="FU17" s="743"/>
      <c r="FV17" s="743"/>
      <c r="FW17" s="743"/>
      <c r="FX17" s="743"/>
      <c r="FY17" s="743"/>
      <c r="FZ17" s="743"/>
      <c r="GA17" s="743"/>
      <c r="GB17" s="743"/>
      <c r="GC17" s="743"/>
      <c r="GD17" s="743"/>
      <c r="GE17" s="743"/>
      <c r="GF17" s="743"/>
      <c r="GG17" s="743"/>
      <c r="GH17" s="743"/>
      <c r="GI17" s="743"/>
      <c r="GJ17" s="743"/>
      <c r="GK17" s="743"/>
      <c r="GL17" s="743"/>
      <c r="GM17" s="743"/>
      <c r="GN17" s="743"/>
      <c r="GO17" s="743"/>
      <c r="GP17" s="743"/>
      <c r="GQ17" s="743"/>
      <c r="GR17" s="743"/>
      <c r="GS17" s="743"/>
      <c r="GT17" s="743"/>
      <c r="GU17" s="743"/>
      <c r="GV17" s="743"/>
      <c r="GW17" s="743"/>
      <c r="GX17" s="743"/>
      <c r="GY17" s="743"/>
      <c r="GZ17" s="743"/>
      <c r="HA17" s="743"/>
      <c r="HB17" s="743"/>
      <c r="HC17" s="743"/>
      <c r="HD17" s="743"/>
      <c r="HE17" s="743"/>
      <c r="HF17" s="743"/>
      <c r="HG17" s="743"/>
      <c r="HH17" s="743"/>
      <c r="HI17" s="743"/>
      <c r="HJ17" s="743"/>
      <c r="HK17" s="743"/>
      <c r="HL17" s="743"/>
      <c r="HM17" s="743"/>
      <c r="HN17" s="743"/>
      <c r="HO17" s="743"/>
      <c r="HP17" s="743"/>
      <c r="HQ17" s="743"/>
      <c r="HR17" s="743"/>
      <c r="HS17" s="743"/>
      <c r="HT17" s="743"/>
      <c r="HU17" s="743"/>
      <c r="HV17" s="743"/>
      <c r="HW17" s="743"/>
      <c r="HX17" s="743"/>
      <c r="HY17" s="743"/>
      <c r="HZ17" s="743"/>
      <c r="IA17" s="743"/>
      <c r="IB17" s="743"/>
      <c r="IC17" s="743"/>
      <c r="ID17" s="743"/>
      <c r="IE17" s="743"/>
      <c r="IF17" s="743"/>
      <c r="IG17" s="743"/>
      <c r="IH17" s="743"/>
      <c r="II17" s="743"/>
      <c r="IJ17" s="743"/>
      <c r="IK17" s="743"/>
      <c r="IL17" s="743"/>
      <c r="IM17" s="743"/>
      <c r="IN17" s="743"/>
    </row>
    <row r="18" spans="1:248" x14ac:dyDescent="0.3">
      <c r="A18" s="382"/>
      <c r="B18" s="376" t="str">
        <f>PENYELIA!B18</f>
        <v>1. Pemeriksaan fisik</v>
      </c>
      <c r="C18" s="376"/>
      <c r="D18" s="376" t="s">
        <v>236</v>
      </c>
      <c r="E18" s="376" t="s">
        <v>7</v>
      </c>
      <c r="F18" s="382" t="str">
        <f>ID!D37</f>
        <v>Baik</v>
      </c>
      <c r="G18" s="376"/>
      <c r="H18" s="743"/>
      <c r="I18" s="743"/>
      <c r="J18" s="743"/>
      <c r="K18" s="743"/>
      <c r="L18" s="743"/>
      <c r="M18" s="743"/>
      <c r="N18" s="743"/>
      <c r="O18" s="743"/>
      <c r="P18" s="743"/>
      <c r="Q18" s="743"/>
    </row>
    <row r="19" spans="1:248" x14ac:dyDescent="0.3">
      <c r="A19" s="382"/>
      <c r="B19" s="376" t="str">
        <f>PENYELIA!B19</f>
        <v>2. Pengujian fungsi</v>
      </c>
      <c r="C19" s="376"/>
      <c r="D19" s="376" t="s">
        <v>236</v>
      </c>
      <c r="E19" s="376" t="s">
        <v>7</v>
      </c>
      <c r="F19" s="382" t="str">
        <f>ID!D38</f>
        <v>Baik</v>
      </c>
      <c r="G19" s="376"/>
      <c r="H19" s="743"/>
      <c r="I19" s="743"/>
      <c r="J19" s="743"/>
      <c r="K19" s="743"/>
      <c r="L19" s="743"/>
      <c r="M19" s="743"/>
      <c r="N19" s="743"/>
      <c r="O19" s="743"/>
      <c r="P19" s="743"/>
      <c r="Q19" s="743"/>
    </row>
    <row r="20" spans="1:248" ht="5.25" customHeight="1" x14ac:dyDescent="0.3">
      <c r="A20" s="1458"/>
      <c r="B20" s="1458"/>
      <c r="C20" s="1458"/>
      <c r="D20" s="1458"/>
      <c r="E20" s="1458"/>
      <c r="F20" s="1458"/>
      <c r="G20" s="1458"/>
      <c r="H20" s="393"/>
      <c r="I20" s="393"/>
      <c r="J20" s="743"/>
      <c r="K20" s="743"/>
      <c r="L20" s="743"/>
      <c r="M20" s="743"/>
      <c r="N20" s="743"/>
      <c r="O20" s="743"/>
      <c r="P20" s="743"/>
      <c r="Q20" s="743"/>
    </row>
    <row r="21" spans="1:248" s="123" customFormat="1" x14ac:dyDescent="0.25">
      <c r="A21" s="383" t="s">
        <v>239</v>
      </c>
      <c r="B21" s="383" t="s">
        <v>240</v>
      </c>
      <c r="C21" s="236"/>
      <c r="D21" s="236"/>
      <c r="E21" s="236"/>
      <c r="F21" s="236"/>
      <c r="G21" s="236"/>
      <c r="H21" s="211"/>
      <c r="I21" s="679"/>
      <c r="J21" s="646"/>
      <c r="K21" s="231"/>
      <c r="L21" s="350"/>
      <c r="M21" s="350"/>
      <c r="N21" s="350"/>
      <c r="O21" s="346"/>
      <c r="P21" s="293"/>
      <c r="Q21" s="293"/>
    </row>
    <row r="22" spans="1:248" s="167" customFormat="1" ht="33" customHeight="1" x14ac:dyDescent="0.25">
      <c r="A22" s="202"/>
      <c r="B22" s="1300" t="s">
        <v>23</v>
      </c>
      <c r="C22" s="1301"/>
      <c r="D22" s="1301"/>
      <c r="E22" s="1301"/>
      <c r="F22" s="1301"/>
      <c r="G22" s="1301"/>
      <c r="H22" s="1302"/>
      <c r="I22" s="1299" t="s">
        <v>40</v>
      </c>
      <c r="J22" s="1299"/>
      <c r="K22" s="647" t="s">
        <v>41</v>
      </c>
      <c r="L22" s="274"/>
    </row>
    <row r="23" spans="1:248" s="167" customFormat="1" ht="15" x14ac:dyDescent="0.25">
      <c r="A23" s="202"/>
      <c r="B23" s="203" t="str">
        <f>PENYELIA!B23</f>
        <v>Resistansi isolasi</v>
      </c>
      <c r="C23" s="204"/>
      <c r="D23" s="204"/>
      <c r="E23" s="204"/>
      <c r="F23" s="204"/>
      <c r="G23" s="205"/>
      <c r="H23" s="206"/>
      <c r="I23" s="1069" t="str">
        <f>PENYELIA!I23</f>
        <v>-</v>
      </c>
      <c r="J23" s="1072" t="s">
        <v>781</v>
      </c>
      <c r="K23" s="1067" t="str">
        <f>PENYELIA!J23</f>
        <v>&gt; 2 MΩ</v>
      </c>
      <c r="L23" s="1098"/>
    </row>
    <row r="24" spans="1:248" s="167" customFormat="1" ht="15" x14ac:dyDescent="0.25">
      <c r="A24" s="202"/>
      <c r="B24" s="203" t="str">
        <f>PENYELIA!B24</f>
        <v>Resistansi pembumian protektif (kabel dapat dilepas)</v>
      </c>
      <c r="C24" s="204"/>
      <c r="D24" s="204"/>
      <c r="E24" s="204"/>
      <c r="F24" s="204"/>
      <c r="G24" s="207"/>
      <c r="H24" s="206"/>
      <c r="I24" s="1070" t="str">
        <f>PENYELIA!I24</f>
        <v>-</v>
      </c>
      <c r="J24" s="1072" t="s">
        <v>782</v>
      </c>
      <c r="K24" s="1067" t="str">
        <f>PENYELIA!J24</f>
        <v>≤ 0.2 Ω</v>
      </c>
      <c r="L24" s="1098"/>
    </row>
    <row r="25" spans="1:248" s="167" customFormat="1" x14ac:dyDescent="0.3">
      <c r="A25" s="202"/>
      <c r="B25" s="203" t="str">
        <f>PENYELIA!B25</f>
        <v xml:space="preserve">Arus bocor peralatan untuk peralatan elektromedik kelas II </v>
      </c>
      <c r="C25" s="204"/>
      <c r="D25" s="204"/>
      <c r="E25" s="204"/>
      <c r="F25" s="204"/>
      <c r="G25" s="205"/>
      <c r="H25" s="208"/>
      <c r="I25" s="1071" t="str">
        <f>PENYELIA!I25</f>
        <v>-</v>
      </c>
      <c r="J25" s="1072" t="s">
        <v>784</v>
      </c>
      <c r="K25" s="1067" t="str">
        <f>PENYELIA!J25</f>
        <v>≤ 100 μA</v>
      </c>
      <c r="L25" s="1098"/>
    </row>
    <row r="26" spans="1:248" s="123" customFormat="1" ht="6.75" customHeight="1" x14ac:dyDescent="0.25">
      <c r="A26" s="124"/>
      <c r="B26" s="124"/>
      <c r="C26" s="384"/>
      <c r="D26" s="384"/>
      <c r="E26" s="384"/>
      <c r="F26" s="384"/>
      <c r="G26" s="384"/>
      <c r="H26" s="384"/>
      <c r="I26" s="384"/>
      <c r="J26" s="691"/>
      <c r="K26" s="350"/>
      <c r="L26" s="350"/>
      <c r="M26" s="350"/>
      <c r="N26" s="350"/>
      <c r="O26" s="346"/>
      <c r="P26" s="293"/>
      <c r="Q26" s="293"/>
    </row>
    <row r="27" spans="1:248" s="123" customFormat="1" x14ac:dyDescent="0.25">
      <c r="A27" s="385" t="s">
        <v>241</v>
      </c>
      <c r="B27" s="385" t="s">
        <v>271</v>
      </c>
      <c r="C27" s="385"/>
      <c r="D27" s="385"/>
      <c r="E27" s="385"/>
      <c r="F27" s="385"/>
      <c r="G27" s="385"/>
      <c r="H27" s="385"/>
      <c r="I27" s="217"/>
      <c r="J27" s="217"/>
      <c r="K27" s="217"/>
      <c r="L27" s="217"/>
      <c r="M27" s="174"/>
      <c r="N27" s="174"/>
      <c r="O27" s="684"/>
      <c r="P27" s="293"/>
      <c r="Q27" s="293"/>
    </row>
    <row r="28" spans="1:248" s="123" customFormat="1" x14ac:dyDescent="0.25">
      <c r="A28" s="385"/>
      <c r="B28" s="386" t="str">
        <f>PENYELIA!B28</f>
        <v xml:space="preserve">A. Blood pressure monitor </v>
      </c>
      <c r="C28" s="386"/>
      <c r="D28" s="386"/>
      <c r="E28" s="386"/>
      <c r="F28" s="386"/>
      <c r="G28" s="386"/>
      <c r="H28" s="386"/>
      <c r="I28" s="217"/>
      <c r="J28" s="217"/>
      <c r="K28" s="217"/>
      <c r="L28" s="217"/>
      <c r="M28" s="174"/>
      <c r="N28" s="174"/>
      <c r="O28" s="684"/>
      <c r="P28" s="293"/>
      <c r="Q28" s="293"/>
    </row>
    <row r="29" spans="1:248" s="123" customFormat="1" ht="9" customHeight="1" x14ac:dyDescent="0.25">
      <c r="A29" s="1432"/>
      <c r="B29" s="1433" t="s">
        <v>39</v>
      </c>
      <c r="C29" s="1436" t="str">
        <f>PENYELIA!C29</f>
        <v>Parameter</v>
      </c>
      <c r="D29" s="1439"/>
      <c r="E29" s="1459"/>
      <c r="F29" s="1433" t="str">
        <f>PENYELIA!F29</f>
        <v>Setting standar (mmHg)</v>
      </c>
      <c r="G29" s="1268" t="str">
        <f>PENYELIA!G29</f>
        <v>Setting heart rate (bpm)</v>
      </c>
      <c r="H29" s="1433" t="str">
        <f>PENYELIA!H29</f>
        <v xml:space="preserve">Penunjukan alat                           (mmHg)                     </v>
      </c>
      <c r="I29" s="1433" t="str">
        <f>PENYELIA!I29</f>
        <v xml:space="preserve">Koreksi    (mmHg)                          </v>
      </c>
      <c r="J29" s="1297" t="str">
        <f>PENYELIA!J29</f>
        <v>Toleransi (mmHg)</v>
      </c>
      <c r="K29" s="1433" t="str">
        <f>PENYELIA!K29</f>
        <v xml:space="preserve">Ketidakpastian pengukuran    ±(mmHg)                       </v>
      </c>
      <c r="L29" s="217"/>
      <c r="M29" s="124"/>
      <c r="N29" s="124"/>
      <c r="O29" s="124"/>
      <c r="P29" s="124"/>
      <c r="Q29" s="124"/>
    </row>
    <row r="30" spans="1:248" s="123" customFormat="1" ht="12" customHeight="1" x14ac:dyDescent="0.25">
      <c r="A30" s="1432"/>
      <c r="B30" s="1434"/>
      <c r="C30" s="1437"/>
      <c r="D30" s="1440"/>
      <c r="E30" s="1460"/>
      <c r="F30" s="1434"/>
      <c r="G30" s="1268"/>
      <c r="H30" s="1434"/>
      <c r="I30" s="1434"/>
      <c r="J30" s="1311"/>
      <c r="K30" s="1434"/>
      <c r="L30" s="217"/>
      <c r="M30" s="124"/>
      <c r="N30" s="124"/>
      <c r="O30" s="124"/>
      <c r="P30" s="124"/>
      <c r="Q30" s="124"/>
    </row>
    <row r="31" spans="1:248" s="123" customFormat="1" ht="24" customHeight="1" x14ac:dyDescent="0.25">
      <c r="A31" s="1432"/>
      <c r="B31" s="1435"/>
      <c r="C31" s="1438"/>
      <c r="D31" s="1441"/>
      <c r="E31" s="1461"/>
      <c r="F31" s="1435"/>
      <c r="G31" s="1268"/>
      <c r="H31" s="1435"/>
      <c r="I31" s="1435"/>
      <c r="J31" s="1444"/>
      <c r="K31" s="1435"/>
      <c r="L31" s="217"/>
      <c r="M31" s="124"/>
      <c r="N31" s="124"/>
      <c r="O31" s="124"/>
      <c r="P31" s="124"/>
      <c r="Q31" s="124"/>
    </row>
    <row r="32" spans="1:248" s="123" customFormat="1" x14ac:dyDescent="0.25">
      <c r="A32" s="1431"/>
      <c r="B32" s="1442">
        <v>1</v>
      </c>
      <c r="C32" s="387" t="str">
        <f>PENYELIA!C32</f>
        <v xml:space="preserve">Sistole </v>
      </c>
      <c r="D32" s="388"/>
      <c r="E32" s="389"/>
      <c r="F32" s="390">
        <f>PENYELIA!F32</f>
        <v>80</v>
      </c>
      <c r="G32" s="1266">
        <f>PENYELIA!G32</f>
        <v>70</v>
      </c>
      <c r="H32" s="464">
        <f>ID!L51</f>
        <v>81.972799999999992</v>
      </c>
      <c r="I32" s="391">
        <f>ID!O51</f>
        <v>-1.9727999999999923</v>
      </c>
      <c r="J32" s="1316" t="s">
        <v>62</v>
      </c>
      <c r="K32" s="634">
        <f>ID!P51</f>
        <v>0.72657111540404895</v>
      </c>
      <c r="L32" s="217"/>
      <c r="M32" s="124"/>
      <c r="N32" s="124" t="s">
        <v>149</v>
      </c>
      <c r="O32" s="124"/>
      <c r="P32" s="124"/>
      <c r="Q32" s="124"/>
    </row>
    <row r="33" spans="1:17" s="123" customFormat="1" x14ac:dyDescent="0.25">
      <c r="A33" s="1431"/>
      <c r="B33" s="1443"/>
      <c r="C33" s="387" t="str">
        <f>PENYELIA!C33</f>
        <v>Diastole</v>
      </c>
      <c r="D33" s="388"/>
      <c r="E33" s="389"/>
      <c r="F33" s="390">
        <f>PENYELIA!F33</f>
        <v>50</v>
      </c>
      <c r="G33" s="1267"/>
      <c r="H33" s="464">
        <f>ID!L52</f>
        <v>50.3</v>
      </c>
      <c r="I33" s="391">
        <f>ID!O52</f>
        <v>-0.29999999999999716</v>
      </c>
      <c r="J33" s="1317"/>
      <c r="K33" s="634">
        <f>ID!P52</f>
        <v>0.58889639603889332</v>
      </c>
      <c r="L33" s="217"/>
      <c r="M33" s="124"/>
      <c r="N33" s="355"/>
      <c r="O33" s="714"/>
      <c r="P33" s="124"/>
      <c r="Q33" s="124"/>
    </row>
    <row r="34" spans="1:17" s="123" customFormat="1" x14ac:dyDescent="0.25">
      <c r="A34" s="1431"/>
      <c r="B34" s="1442">
        <v>2</v>
      </c>
      <c r="C34" s="387" t="str">
        <f>PENYELIA!C34</f>
        <v xml:space="preserve">Sistole </v>
      </c>
      <c r="D34" s="388"/>
      <c r="E34" s="389"/>
      <c r="F34" s="390">
        <f>PENYELIA!F34</f>
        <v>100</v>
      </c>
      <c r="G34" s="1266">
        <f>PENYELIA!G34</f>
        <v>70</v>
      </c>
      <c r="H34" s="464">
        <f>ID!L54</f>
        <v>103.49320006800001</v>
      </c>
      <c r="I34" s="391">
        <f>ID!O54</f>
        <v>-3.4932000680000073</v>
      </c>
      <c r="J34" s="1317"/>
      <c r="K34" s="634">
        <f>ID!P54</f>
        <v>0.79760135149297562</v>
      </c>
      <c r="L34" s="646"/>
      <c r="M34" s="124"/>
      <c r="N34" s="663"/>
      <c r="O34" s="715"/>
      <c r="P34" s="1451"/>
      <c r="Q34" s="1451"/>
    </row>
    <row r="35" spans="1:17" s="123" customFormat="1" x14ac:dyDescent="0.25">
      <c r="A35" s="1431"/>
      <c r="B35" s="1443"/>
      <c r="C35" s="387" t="str">
        <f>PENYELIA!C35</f>
        <v>Diastole</v>
      </c>
      <c r="D35" s="388"/>
      <c r="E35" s="389"/>
      <c r="F35" s="390">
        <f>PENYELIA!F35</f>
        <v>65</v>
      </c>
      <c r="G35" s="1267"/>
      <c r="H35" s="464">
        <f>ID!L55</f>
        <v>65.239999999999995</v>
      </c>
      <c r="I35" s="391">
        <f>ID!O55</f>
        <v>-0.23999999999999488</v>
      </c>
      <c r="J35" s="1317"/>
      <c r="K35" s="634">
        <f>ID!P55</f>
        <v>0.58889639603889332</v>
      </c>
      <c r="L35" s="392"/>
      <c r="M35" s="124"/>
      <c r="N35" s="663"/>
      <c r="O35" s="715"/>
      <c r="P35" s="748"/>
      <c r="Q35" s="748"/>
    </row>
    <row r="36" spans="1:17" s="123" customFormat="1" x14ac:dyDescent="0.3">
      <c r="A36" s="1431"/>
      <c r="B36" s="1442">
        <v>3</v>
      </c>
      <c r="C36" s="387" t="str">
        <f>PENYELIA!C36</f>
        <v xml:space="preserve">Sistole </v>
      </c>
      <c r="D36" s="388"/>
      <c r="E36" s="389"/>
      <c r="F36" s="390">
        <f>PENYELIA!F36</f>
        <v>120</v>
      </c>
      <c r="G36" s="1266">
        <f>PENYELIA!G36</f>
        <v>80</v>
      </c>
      <c r="H36" s="464">
        <f>ID!L57</f>
        <v>120.06000040000001</v>
      </c>
      <c r="I36" s="391">
        <f>ID!O57</f>
        <v>-6.0000400000006948E-2</v>
      </c>
      <c r="J36" s="1317"/>
      <c r="K36" s="634">
        <f>ID!P57</f>
        <v>0.58889639603889332</v>
      </c>
      <c r="L36" s="211"/>
      <c r="M36" s="124"/>
      <c r="N36" s="713"/>
      <c r="O36" s="715"/>
      <c r="P36" s="393" t="s">
        <v>149</v>
      </c>
      <c r="Q36" s="743" t="s">
        <v>149</v>
      </c>
    </row>
    <row r="37" spans="1:17" s="123" customFormat="1" x14ac:dyDescent="0.3">
      <c r="A37" s="1431"/>
      <c r="B37" s="1443"/>
      <c r="C37" s="387" t="str">
        <f>PENYELIA!C37</f>
        <v>Diastole</v>
      </c>
      <c r="D37" s="388"/>
      <c r="E37" s="389"/>
      <c r="F37" s="390">
        <f>PENYELIA!F37</f>
        <v>80</v>
      </c>
      <c r="G37" s="1267"/>
      <c r="H37" s="464">
        <f>ID!L58</f>
        <v>83.168000000000006</v>
      </c>
      <c r="I37" s="391">
        <f>ID!O58</f>
        <v>-3.1680000000000064</v>
      </c>
      <c r="J37" s="1317"/>
      <c r="K37" s="634">
        <f>ID!P58</f>
        <v>0.58889639603889332</v>
      </c>
      <c r="L37" s="211"/>
      <c r="M37" s="124"/>
      <c r="N37" s="716" t="s">
        <v>816</v>
      </c>
      <c r="O37" s="717"/>
      <c r="P37" s="159" t="s">
        <v>817</v>
      </c>
      <c r="Q37" s="1103" t="s">
        <v>818</v>
      </c>
    </row>
    <row r="38" spans="1:17" s="123" customFormat="1" x14ac:dyDescent="0.25">
      <c r="A38" s="1431"/>
      <c r="B38" s="1442">
        <v>4</v>
      </c>
      <c r="C38" s="387" t="str">
        <f>PENYELIA!C38</f>
        <v xml:space="preserve">Sistole </v>
      </c>
      <c r="D38" s="388"/>
      <c r="E38" s="389"/>
      <c r="F38" s="390">
        <f>PENYELIA!F38</f>
        <v>150</v>
      </c>
      <c r="G38" s="1266">
        <f>PENYELIA!G38</f>
        <v>80</v>
      </c>
      <c r="H38" s="464">
        <f>ID!L60</f>
        <v>147.60480095200001</v>
      </c>
      <c r="I38" s="391">
        <f>ID!O60</f>
        <v>2.3951990479999949</v>
      </c>
      <c r="J38" s="1317"/>
      <c r="K38" s="634">
        <f>ID!P60</f>
        <v>0.79760135149297562</v>
      </c>
      <c r="L38" s="211"/>
      <c r="M38" s="124"/>
      <c r="N38" s="124"/>
      <c r="O38" s="124"/>
      <c r="P38" s="124"/>
      <c r="Q38" s="124"/>
    </row>
    <row r="39" spans="1:17" s="123" customFormat="1" x14ac:dyDescent="0.25">
      <c r="A39" s="1431"/>
      <c r="B39" s="1443"/>
      <c r="C39" s="387" t="str">
        <f>PENYELIA!C39</f>
        <v>Diastole</v>
      </c>
      <c r="D39" s="388"/>
      <c r="E39" s="389"/>
      <c r="F39" s="390">
        <f>PENYELIA!F39</f>
        <v>100</v>
      </c>
      <c r="G39" s="1267"/>
      <c r="H39" s="464">
        <f>ID!L61</f>
        <v>100.1</v>
      </c>
      <c r="I39" s="391">
        <f>ID!O61</f>
        <v>-9.9999999999994316E-2</v>
      </c>
      <c r="J39" s="1317"/>
      <c r="K39" s="634">
        <f>ID!P61</f>
        <v>0.58889639603889332</v>
      </c>
      <c r="L39" s="211"/>
      <c r="M39" s="124"/>
      <c r="N39" s="749"/>
      <c r="O39" s="124"/>
      <c r="P39" s="124"/>
      <c r="Q39" s="124"/>
    </row>
    <row r="40" spans="1:17" s="123" customFormat="1" x14ac:dyDescent="0.25">
      <c r="A40" s="1431"/>
      <c r="B40" s="1442">
        <f>PENYELIA!B40</f>
        <v>5</v>
      </c>
      <c r="C40" s="387" t="str">
        <f>PENYELIA!C40</f>
        <v>Sistole</v>
      </c>
      <c r="D40" s="388"/>
      <c r="E40" s="389"/>
      <c r="F40" s="390">
        <f>PENYELIA!F40</f>
        <v>200</v>
      </c>
      <c r="G40" s="1266">
        <f>PENYELIA!G40</f>
        <v>80</v>
      </c>
      <c r="H40" s="622">
        <f>IF(AND(ID!$E$16="Bayi"),"",IF(AND(ID!$E$16="Anak"),"",ID!L63))</f>
        <v>194.91000009999999</v>
      </c>
      <c r="I40" s="391">
        <f>PENYELIA!I40</f>
        <v>5.0899999000000093</v>
      </c>
      <c r="J40" s="1317"/>
      <c r="K40" s="634">
        <f>PENYELIA!K40</f>
        <v>0.58889639603889332</v>
      </c>
      <c r="L40" s="211"/>
      <c r="M40" s="124"/>
      <c r="N40" s="160" t="s">
        <v>249</v>
      </c>
      <c r="O40" s="124"/>
      <c r="P40" s="124"/>
      <c r="Q40" s="124"/>
    </row>
    <row r="41" spans="1:17" s="123" customFormat="1" x14ac:dyDescent="0.25">
      <c r="A41" s="1431"/>
      <c r="B41" s="1443"/>
      <c r="C41" s="387" t="str">
        <f>PENYELIA!C41</f>
        <v>Diastole</v>
      </c>
      <c r="D41" s="388"/>
      <c r="E41" s="389"/>
      <c r="F41" s="390">
        <f>PENYELIA!F41</f>
        <v>150</v>
      </c>
      <c r="G41" s="1267"/>
      <c r="H41" s="622">
        <f>IF(AND(ID!$E$16="Bayi"),"",IF(AND(ID!$E$16="Anak"),"",ID!L64))</f>
        <v>149.61199999999999</v>
      </c>
      <c r="I41" s="391">
        <f>PENYELIA!I41</f>
        <v>0.38800000000000523</v>
      </c>
      <c r="J41" s="1318"/>
      <c r="K41" s="634">
        <f>PENYELIA!K41</f>
        <v>0.58889639603889332</v>
      </c>
      <c r="L41" s="211"/>
      <c r="M41" s="124"/>
      <c r="N41" s="160" t="s">
        <v>249</v>
      </c>
      <c r="O41" s="124"/>
      <c r="P41" s="124"/>
      <c r="Q41" s="124"/>
    </row>
    <row r="42" spans="1:17" ht="17.25" customHeight="1" x14ac:dyDescent="0.3">
      <c r="A42" s="750"/>
      <c r="B42" s="751"/>
      <c r="C42" s="751"/>
      <c r="D42" s="751"/>
      <c r="E42" s="751"/>
      <c r="F42" s="751"/>
      <c r="G42" s="751"/>
      <c r="H42" s="752"/>
      <c r="I42" s="752"/>
      <c r="J42" s="753"/>
      <c r="K42" s="753"/>
      <c r="L42" s="743"/>
      <c r="M42" s="743"/>
      <c r="N42" s="743"/>
      <c r="O42" s="743"/>
      <c r="P42" s="743"/>
      <c r="Q42" s="743"/>
    </row>
    <row r="43" spans="1:17" ht="17.25" customHeight="1" x14ac:dyDescent="0.3">
      <c r="A43" s="750"/>
      <c r="B43" s="249" t="s">
        <v>70</v>
      </c>
      <c r="C43" s="184"/>
      <c r="D43" s="185"/>
      <c r="E43" s="185"/>
      <c r="F43" s="186"/>
      <c r="G43" s="671"/>
      <c r="H43" s="187"/>
      <c r="I43" s="754"/>
      <c r="J43" s="755"/>
      <c r="K43" s="755"/>
      <c r="L43" s="743"/>
      <c r="M43" s="743"/>
      <c r="N43" s="743"/>
      <c r="O43" s="743"/>
      <c r="P43" s="743"/>
      <c r="Q43" s="743"/>
    </row>
    <row r="44" spans="1:17" ht="18.75" customHeight="1" x14ac:dyDescent="0.3">
      <c r="A44" s="750"/>
      <c r="B44" s="671"/>
      <c r="C44" s="184"/>
      <c r="D44" s="185"/>
      <c r="E44" s="185"/>
      <c r="F44" s="186"/>
      <c r="G44" s="671"/>
      <c r="H44" s="187"/>
      <c r="I44" s="754"/>
      <c r="J44" s="755"/>
      <c r="K44" s="755"/>
      <c r="L44" s="743"/>
      <c r="M44" s="743"/>
      <c r="N44" s="743"/>
      <c r="O44" s="743"/>
      <c r="P44" s="743"/>
      <c r="Q44" s="743"/>
    </row>
    <row r="45" spans="1:17" ht="15.75" customHeight="1" x14ac:dyDescent="0.3">
      <c r="A45" s="750"/>
      <c r="B45" s="1266" t="s">
        <v>39</v>
      </c>
      <c r="C45" s="1462" t="s">
        <v>23</v>
      </c>
      <c r="D45" s="1463"/>
      <c r="E45" s="394"/>
      <c r="F45" s="1268" t="str">
        <f>PENYELIA!F45</f>
        <v>Setting standar (bpm)</v>
      </c>
      <c r="G45" s="1268" t="s">
        <v>155</v>
      </c>
      <c r="H45" s="1268" t="s">
        <v>156</v>
      </c>
      <c r="I45" s="1445" t="str">
        <f>PENYELIA!I45</f>
        <v>Penunjukan alat               (bpm)</v>
      </c>
      <c r="J45" s="1446" t="str">
        <f>PENYELIA!J45</f>
        <v>Koreksi relatif (%)</v>
      </c>
      <c r="K45" s="1297" t="str">
        <f>PENYELIA!K45</f>
        <v>Toleransi                         (%)</v>
      </c>
      <c r="L45" s="1433" t="str">
        <f>PENYELIA!L45</f>
        <v xml:space="preserve">Ketidakpastian pengukuran                         (%)                          </v>
      </c>
      <c r="M45" s="743"/>
      <c r="N45" s="743"/>
      <c r="O45" s="743"/>
      <c r="P45" s="743"/>
      <c r="Q45" s="743"/>
    </row>
    <row r="46" spans="1:17" ht="15.75" customHeight="1" x14ac:dyDescent="0.3">
      <c r="A46" s="750"/>
      <c r="B46" s="1278"/>
      <c r="C46" s="1464"/>
      <c r="D46" s="1465"/>
      <c r="E46" s="395"/>
      <c r="F46" s="1268"/>
      <c r="G46" s="1268"/>
      <c r="H46" s="1268"/>
      <c r="I46" s="1445"/>
      <c r="J46" s="1446"/>
      <c r="K46" s="1311"/>
      <c r="L46" s="1434"/>
      <c r="M46" s="743"/>
      <c r="N46" s="743"/>
      <c r="O46" s="743"/>
      <c r="P46" s="743"/>
      <c r="Q46" s="743"/>
    </row>
    <row r="47" spans="1:17" ht="15.75" customHeight="1" x14ac:dyDescent="0.3">
      <c r="A47" s="750"/>
      <c r="B47" s="1267"/>
      <c r="C47" s="1466"/>
      <c r="D47" s="1467"/>
      <c r="E47" s="395"/>
      <c r="F47" s="1268"/>
      <c r="G47" s="1268"/>
      <c r="H47" s="1268"/>
      <c r="I47" s="1445"/>
      <c r="J47" s="1446"/>
      <c r="K47" s="1444"/>
      <c r="L47" s="1435"/>
      <c r="M47" s="743"/>
      <c r="N47" s="743"/>
      <c r="O47" s="743"/>
      <c r="P47" s="743"/>
      <c r="Q47" s="743"/>
    </row>
    <row r="48" spans="1:17" ht="17.25" customHeight="1" x14ac:dyDescent="0.3">
      <c r="A48" s="750"/>
      <c r="B48" s="1266">
        <v>1</v>
      </c>
      <c r="C48" s="1468" t="s">
        <v>80</v>
      </c>
      <c r="D48" s="1469"/>
      <c r="E48" s="1470"/>
      <c r="F48" s="636">
        <f>ID!D73</f>
        <v>60</v>
      </c>
      <c r="G48" s="1476">
        <f>ID!E73</f>
        <v>120</v>
      </c>
      <c r="H48" s="1476">
        <f>ID!F73</f>
        <v>80</v>
      </c>
      <c r="I48" s="624">
        <f>PENYELIA!I48</f>
        <v>60</v>
      </c>
      <c r="J48" s="396">
        <f>PENYELIA!J48</f>
        <v>0</v>
      </c>
      <c r="K48" s="1447" t="s">
        <v>272</v>
      </c>
      <c r="L48" s="396">
        <f>PENYELIA!L48</f>
        <v>0.96636845337887511</v>
      </c>
      <c r="M48" s="743"/>
      <c r="N48" s="743"/>
      <c r="O48" s="743"/>
      <c r="P48" s="743"/>
      <c r="Q48" s="743"/>
    </row>
    <row r="49" spans="1:26" ht="17.25" customHeight="1" x14ac:dyDescent="0.3">
      <c r="A49" s="750"/>
      <c r="B49" s="1278"/>
      <c r="C49" s="1471"/>
      <c r="D49" s="1472"/>
      <c r="E49" s="1431"/>
      <c r="F49" s="636">
        <f>ID!D74</f>
        <v>120</v>
      </c>
      <c r="G49" s="1477"/>
      <c r="H49" s="1477"/>
      <c r="I49" s="624">
        <f>PENYELIA!I49</f>
        <v>121</v>
      </c>
      <c r="J49" s="396">
        <f>PENYELIA!J49</f>
        <v>-0.83333333333333337</v>
      </c>
      <c r="K49" s="1448"/>
      <c r="L49" s="396">
        <f>PENYELIA!L49</f>
        <v>0.47919096861762406</v>
      </c>
      <c r="M49" s="743"/>
      <c r="N49" s="743"/>
      <c r="O49" s="743"/>
      <c r="P49" s="743"/>
      <c r="Q49" s="743"/>
    </row>
    <row r="50" spans="1:26" ht="17.25" customHeight="1" x14ac:dyDescent="0.3">
      <c r="A50" s="750"/>
      <c r="B50" s="1267"/>
      <c r="C50" s="1473"/>
      <c r="D50" s="1474"/>
      <c r="E50" s="1475"/>
      <c r="F50" s="636">
        <f>ID!D75</f>
        <v>180</v>
      </c>
      <c r="G50" s="1478"/>
      <c r="H50" s="1478"/>
      <c r="I50" s="624">
        <f>PENYELIA!I50</f>
        <v>179</v>
      </c>
      <c r="J50" s="396">
        <f>PENYELIA!J50</f>
        <v>0.55555555555555558</v>
      </c>
      <c r="K50" s="1449"/>
      <c r="L50" s="396">
        <f>PENYELIA!L50</f>
        <v>0.32392238660744421</v>
      </c>
      <c r="M50" s="743"/>
      <c r="O50" s="743"/>
      <c r="P50" s="743"/>
      <c r="Q50" s="743"/>
      <c r="R50" s="743"/>
      <c r="S50" s="743"/>
      <c r="T50" s="743"/>
      <c r="U50" s="743"/>
      <c r="V50" s="743"/>
      <c r="W50" s="743"/>
      <c r="X50" s="743"/>
      <c r="Y50" s="743"/>
      <c r="Z50" s="743"/>
    </row>
    <row r="51" spans="1:26" ht="6.75" customHeight="1" x14ac:dyDescent="0.3">
      <c r="A51" s="750"/>
      <c r="B51" s="750"/>
      <c r="C51" s="750"/>
      <c r="D51" s="750"/>
      <c r="E51" s="750"/>
      <c r="F51" s="750"/>
      <c r="G51" s="750"/>
      <c r="H51" s="754"/>
      <c r="I51" s="754"/>
      <c r="J51" s="755"/>
      <c r="K51" s="755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</row>
    <row r="52" spans="1:26" x14ac:dyDescent="0.3">
      <c r="A52" s="674" t="s">
        <v>256</v>
      </c>
      <c r="B52" s="674" t="s">
        <v>257</v>
      </c>
      <c r="C52" s="609"/>
      <c r="D52" s="675"/>
      <c r="E52" s="675"/>
      <c r="F52" s="675"/>
      <c r="G52" s="675"/>
      <c r="H52" s="610"/>
      <c r="I52" s="610"/>
      <c r="J52" s="611"/>
      <c r="K52" s="611"/>
      <c r="L52" s="756"/>
      <c r="M52" s="743"/>
      <c r="O52" s="743"/>
      <c r="P52" s="743"/>
      <c r="Q52" s="743"/>
      <c r="R52" s="743"/>
      <c r="S52" s="743"/>
      <c r="T52" s="743"/>
      <c r="U52" s="743"/>
      <c r="V52" s="743"/>
      <c r="W52" s="743"/>
      <c r="X52" s="743"/>
      <c r="Y52" s="743"/>
      <c r="Z52" s="743"/>
    </row>
    <row r="53" spans="1:26" x14ac:dyDescent="0.3">
      <c r="A53" s="143"/>
      <c r="B53" s="612" t="s">
        <v>273</v>
      </c>
      <c r="C53" s="675"/>
      <c r="D53" s="675"/>
      <c r="E53" s="675"/>
      <c r="F53" s="675"/>
      <c r="G53" s="675"/>
      <c r="H53" s="610"/>
      <c r="I53" s="610"/>
      <c r="J53" s="611"/>
      <c r="K53" s="611"/>
      <c r="L53" s="756"/>
      <c r="M53" s="743"/>
      <c r="O53" s="743"/>
      <c r="P53" s="743"/>
      <c r="Q53" s="743"/>
      <c r="R53" s="743"/>
      <c r="S53" s="743"/>
      <c r="T53" s="743"/>
      <c r="U53" s="743"/>
      <c r="V53" s="743"/>
      <c r="W53" s="743"/>
      <c r="X53" s="743"/>
      <c r="Y53" s="743"/>
      <c r="Z53" s="743"/>
    </row>
    <row r="54" spans="1:26" x14ac:dyDescent="0.3">
      <c r="A54" s="143"/>
      <c r="B54" s="612" t="s">
        <v>274</v>
      </c>
      <c r="C54" s="675"/>
      <c r="D54" s="675"/>
      <c r="E54" s="675"/>
      <c r="F54" s="675"/>
      <c r="G54" s="675"/>
      <c r="H54" s="610"/>
      <c r="I54" s="610"/>
      <c r="J54" s="611"/>
      <c r="K54" s="611"/>
      <c r="L54" s="756"/>
      <c r="M54" s="743"/>
      <c r="N54" s="743"/>
      <c r="O54" s="743"/>
      <c r="P54" s="743"/>
      <c r="Q54" s="743"/>
      <c r="R54" s="743"/>
      <c r="S54" s="743"/>
      <c r="T54" s="743"/>
      <c r="U54" s="743"/>
      <c r="V54" s="743"/>
      <c r="W54" s="743"/>
      <c r="X54" s="743"/>
      <c r="Y54" s="743"/>
      <c r="Z54" s="743"/>
    </row>
    <row r="55" spans="1:26" s="378" customFormat="1" x14ac:dyDescent="0.3">
      <c r="A55" s="138"/>
      <c r="B55" s="141" t="str">
        <f>PENYELIA!B55</f>
        <v>Hasil pengujian kinerja blood pressure monitor tertelusur ke satuan SI melalui PT. KALIMAN</v>
      </c>
      <c r="C55" s="139"/>
      <c r="D55" s="139"/>
      <c r="E55" s="139"/>
      <c r="F55" s="139"/>
      <c r="G55" s="139"/>
      <c r="H55" s="140"/>
      <c r="I55" s="140"/>
      <c r="J55" s="137"/>
      <c r="K55" s="137"/>
      <c r="L55" s="757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</row>
    <row r="56" spans="1:26" s="378" customFormat="1" x14ac:dyDescent="0.3">
      <c r="A56" s="138"/>
      <c r="B56" s="1104" t="str">
        <f>PENYELIA!B56</f>
        <v/>
      </c>
      <c r="C56" s="1100"/>
      <c r="D56" s="1100"/>
      <c r="E56" s="1100"/>
      <c r="F56" s="1100"/>
      <c r="G56" s="1100"/>
      <c r="H56" s="1101"/>
      <c r="I56" s="1101"/>
      <c r="J56" s="137"/>
      <c r="K56" s="137"/>
      <c r="L56" s="757"/>
      <c r="M56" s="746"/>
      <c r="N56" s="746"/>
      <c r="O56" s="746"/>
      <c r="P56" s="746"/>
      <c r="Q56" s="746"/>
      <c r="R56" s="746"/>
      <c r="S56" s="746"/>
      <c r="T56" s="746"/>
      <c r="U56" s="746"/>
      <c r="V56" s="746"/>
      <c r="W56" s="746"/>
      <c r="X56" s="746"/>
      <c r="Y56" s="746"/>
      <c r="Z56" s="746"/>
    </row>
    <row r="57" spans="1:26" s="378" customFormat="1" x14ac:dyDescent="0.3">
      <c r="A57" s="138"/>
      <c r="B57" s="1099" t="str">
        <f>PENYELIA!B57</f>
        <v>Catu daya menggunakan baterai</v>
      </c>
      <c r="C57" s="1100"/>
      <c r="D57" s="1100"/>
      <c r="E57" s="1100"/>
      <c r="F57" s="1100"/>
      <c r="G57" s="1100"/>
      <c r="H57" s="1101"/>
      <c r="I57" s="1101"/>
      <c r="J57" s="137"/>
      <c r="K57" s="137"/>
      <c r="L57" s="757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</row>
    <row r="58" spans="1:26" s="378" customFormat="1" ht="15" customHeight="1" x14ac:dyDescent="0.3">
      <c r="A58" s="138"/>
      <c r="B58" s="1102" t="str">
        <f>PENYELIA!B58</f>
        <v/>
      </c>
      <c r="C58" s="1100"/>
      <c r="D58" s="1100"/>
      <c r="E58" s="1100"/>
      <c r="F58" s="1100"/>
      <c r="G58" s="1100"/>
      <c r="H58" s="1101"/>
      <c r="I58" s="1101"/>
      <c r="J58" s="137"/>
      <c r="K58" s="137"/>
      <c r="L58" s="757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</row>
    <row r="59" spans="1:26" s="378" customFormat="1" ht="15" customHeight="1" x14ac:dyDescent="0.3">
      <c r="A59" s="138"/>
      <c r="B59" s="141"/>
      <c r="C59" s="139"/>
      <c r="D59" s="139"/>
      <c r="E59" s="139"/>
      <c r="F59" s="139"/>
      <c r="G59" s="139"/>
      <c r="H59" s="140"/>
      <c r="I59" s="140"/>
      <c r="J59" s="137"/>
      <c r="K59" s="137"/>
      <c r="L59" s="757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</row>
    <row r="60" spans="1:26" x14ac:dyDescent="0.3">
      <c r="A60" s="613" t="s">
        <v>260</v>
      </c>
      <c r="B60" s="1452" t="s">
        <v>161</v>
      </c>
      <c r="C60" s="1452"/>
      <c r="D60" s="1452"/>
      <c r="E60" s="1452"/>
      <c r="F60" s="1452"/>
      <c r="G60" s="1452"/>
      <c r="H60" s="142"/>
      <c r="I60" s="142"/>
      <c r="J60" s="611"/>
      <c r="K60" s="611"/>
      <c r="L60" s="756"/>
      <c r="M60" s="743"/>
      <c r="N60" s="743"/>
      <c r="O60" s="743"/>
      <c r="P60" s="743"/>
      <c r="Q60" s="743"/>
      <c r="R60" s="743"/>
      <c r="S60" s="743"/>
      <c r="T60" s="743"/>
      <c r="U60" s="743"/>
      <c r="V60" s="743"/>
      <c r="W60" s="743"/>
      <c r="X60" s="743"/>
      <c r="Y60" s="743"/>
      <c r="Z60" s="743"/>
    </row>
    <row r="61" spans="1:26" x14ac:dyDescent="0.3">
      <c r="A61" s="143"/>
      <c r="B61" s="614" t="str">
        <f>ID!B88</f>
        <v>Vital Signs Simulator, Merek : Rigel, Model : UNI-SIM, SN : 05J-0804</v>
      </c>
      <c r="C61" s="142"/>
      <c r="D61" s="614"/>
      <c r="E61" s="142"/>
      <c r="F61" s="675"/>
      <c r="G61" s="675"/>
      <c r="H61" s="610"/>
      <c r="I61" s="610"/>
      <c r="J61" s="611"/>
      <c r="K61" s="611"/>
      <c r="L61" s="756"/>
      <c r="M61" s="743"/>
      <c r="N61" s="743"/>
      <c r="O61" s="743"/>
      <c r="P61" s="743"/>
      <c r="Q61" s="758"/>
      <c r="R61" s="758"/>
      <c r="S61" s="758"/>
      <c r="T61" s="758"/>
      <c r="U61" s="758"/>
      <c r="V61" s="758"/>
      <c r="W61" s="758"/>
      <c r="X61" s="758"/>
      <c r="Y61" s="758"/>
      <c r="Z61" s="758"/>
    </row>
    <row r="62" spans="1:26" ht="10.5" customHeight="1" x14ac:dyDescent="0.3">
      <c r="A62" s="673"/>
      <c r="B62" s="615" t="str">
        <f>PENYELIA!B62</f>
        <v>Electrical Safety Analyzer, Merek : FLUKE, Model : ESA615, SN : 2853078</v>
      </c>
      <c r="C62" s="142"/>
      <c r="D62" s="614"/>
      <c r="E62" s="142"/>
      <c r="F62" s="142"/>
      <c r="G62" s="142"/>
      <c r="H62" s="142"/>
      <c r="I62" s="142"/>
      <c r="J62" s="611"/>
      <c r="K62" s="611"/>
      <c r="L62" s="756"/>
      <c r="M62" s="743"/>
      <c r="N62" s="743"/>
      <c r="O62" s="743"/>
      <c r="P62" s="743"/>
      <c r="Q62" s="758"/>
      <c r="R62" s="758"/>
      <c r="S62" s="758"/>
      <c r="T62" s="758"/>
      <c r="U62" s="758"/>
      <c r="V62" s="758"/>
      <c r="W62" s="758"/>
      <c r="X62" s="758"/>
      <c r="Y62" s="758"/>
      <c r="Z62" s="758"/>
    </row>
    <row r="63" spans="1:26" x14ac:dyDescent="0.3">
      <c r="A63" s="613" t="s">
        <v>262</v>
      </c>
      <c r="B63" s="616" t="s">
        <v>263</v>
      </c>
      <c r="C63" s="617"/>
      <c r="D63" s="614"/>
      <c r="E63" s="142"/>
      <c r="F63" s="142"/>
      <c r="G63" s="142"/>
      <c r="H63" s="142"/>
      <c r="I63" s="142"/>
      <c r="J63" s="611"/>
      <c r="K63" s="611"/>
      <c r="L63" s="756"/>
      <c r="M63" s="743"/>
      <c r="N63" s="743"/>
      <c r="O63" s="743"/>
      <c r="P63" s="743"/>
      <c r="Q63" s="743"/>
      <c r="R63" s="743"/>
      <c r="S63" s="743"/>
      <c r="T63" s="743"/>
      <c r="U63" s="743"/>
      <c r="V63" s="743"/>
      <c r="W63" s="743"/>
      <c r="X63" s="743"/>
      <c r="Y63" s="743"/>
      <c r="Z63" s="743"/>
    </row>
    <row r="64" spans="1:26" s="399" customFormat="1" ht="30.75" customHeight="1" x14ac:dyDescent="0.3">
      <c r="A64" s="618"/>
      <c r="B64" s="1430" t="str">
        <f>PENYELIA!B64</f>
        <v>Alat yang dikalibrasi dalam batas toleransi dan dinyatakan LAIK PAKAI, dimana hasil atau skor akhir sama dengan atau melampaui 70% berdasarkan Keputusan Direktur Jenderal Pelayanan Kesehatan No : HK.02.02/V/0412/2020</v>
      </c>
      <c r="C64" s="1430"/>
      <c r="D64" s="1430"/>
      <c r="E64" s="1430"/>
      <c r="F64" s="1430"/>
      <c r="G64" s="1430"/>
      <c r="H64" s="1430"/>
      <c r="I64" s="1430"/>
      <c r="J64" s="1430"/>
      <c r="K64" s="1430"/>
      <c r="L64" s="1430"/>
      <c r="M64" s="759"/>
      <c r="N64" s="759"/>
      <c r="O64" s="759"/>
      <c r="P64" s="759"/>
      <c r="Q64" s="759"/>
      <c r="R64" s="759"/>
      <c r="S64" s="759"/>
      <c r="T64" s="759"/>
      <c r="U64" s="759"/>
      <c r="V64" s="759"/>
      <c r="W64" s="759"/>
      <c r="X64" s="759"/>
      <c r="Y64" s="759"/>
      <c r="Z64" s="759"/>
    </row>
    <row r="65" spans="1:26" ht="6" customHeight="1" x14ac:dyDescent="0.3">
      <c r="A65" s="1453"/>
      <c r="B65" s="1453"/>
      <c r="C65" s="1453"/>
      <c r="D65" s="1453"/>
      <c r="E65" s="1453"/>
      <c r="F65" s="1453"/>
      <c r="G65" s="1453"/>
      <c r="H65" s="142"/>
      <c r="I65" s="142"/>
      <c r="J65" s="611"/>
      <c r="K65" s="611"/>
      <c r="L65" s="756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</row>
    <row r="66" spans="1:26" x14ac:dyDescent="0.3">
      <c r="A66" s="613" t="s">
        <v>264</v>
      </c>
      <c r="B66" s="1452" t="str">
        <f>PENYELIA!B66</f>
        <v>Petugas kalibrasi</v>
      </c>
      <c r="C66" s="1452"/>
      <c r="D66" s="1452"/>
      <c r="E66" s="1452"/>
      <c r="F66" s="1452"/>
      <c r="G66" s="1452"/>
      <c r="H66" s="142"/>
      <c r="I66" s="142"/>
      <c r="J66" s="611"/>
      <c r="K66" s="611"/>
      <c r="L66" s="756"/>
      <c r="M66" s="743"/>
      <c r="N66" s="39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</row>
    <row r="67" spans="1:26" x14ac:dyDescent="0.3">
      <c r="A67" s="143"/>
      <c r="B67" s="1450" t="str">
        <f>ID!E15</f>
        <v>Wardimanul Abrar</v>
      </c>
      <c r="C67" s="1450"/>
      <c r="D67" s="1450"/>
      <c r="E67" s="1450"/>
      <c r="F67" s="1450"/>
      <c r="G67" s="1450"/>
      <c r="H67" s="142"/>
      <c r="I67" s="142"/>
      <c r="J67" s="611"/>
      <c r="K67" s="611"/>
      <c r="L67" s="756"/>
      <c r="M67" s="743"/>
      <c r="N67" s="393"/>
      <c r="O67" s="743"/>
      <c r="P67" s="743"/>
      <c r="Q67" s="743"/>
      <c r="R67" s="743"/>
    </row>
    <row r="68" spans="1:26" ht="7.5" customHeight="1" x14ac:dyDescent="0.3">
      <c r="A68" s="143"/>
      <c r="B68" s="673"/>
      <c r="C68" s="673"/>
      <c r="D68" s="673"/>
      <c r="E68" s="673"/>
      <c r="F68" s="673"/>
      <c r="G68" s="673"/>
      <c r="H68" s="142"/>
      <c r="I68" s="142"/>
      <c r="J68" s="611"/>
      <c r="K68" s="611"/>
      <c r="L68" s="756"/>
      <c r="M68" s="743"/>
      <c r="N68" s="393"/>
      <c r="O68" s="743"/>
      <c r="P68" s="743"/>
      <c r="Q68" s="743"/>
      <c r="R68" s="743"/>
    </row>
    <row r="69" spans="1:26" x14ac:dyDescent="0.3">
      <c r="A69" s="143"/>
      <c r="B69" s="673"/>
      <c r="C69" s="673"/>
      <c r="D69" s="673"/>
      <c r="E69" s="673"/>
      <c r="F69" s="673"/>
      <c r="G69" s="673"/>
      <c r="H69" s="142"/>
      <c r="I69" s="112" t="s">
        <v>275</v>
      </c>
      <c r="J69" s="611"/>
      <c r="K69" s="611"/>
      <c r="L69" s="756"/>
      <c r="M69" s="743"/>
      <c r="N69" s="393"/>
      <c r="O69" s="743"/>
      <c r="P69" s="743"/>
      <c r="Q69" s="743"/>
      <c r="R69" s="743"/>
    </row>
    <row r="70" spans="1:26" x14ac:dyDescent="0.3">
      <c r="A70" s="143"/>
      <c r="B70" s="673"/>
      <c r="C70" s="673"/>
      <c r="D70" s="673"/>
      <c r="E70" s="673"/>
      <c r="F70" s="673"/>
      <c r="G70" s="673"/>
      <c r="H70" s="142"/>
      <c r="I70" s="112" t="s">
        <v>276</v>
      </c>
      <c r="J70" s="112"/>
      <c r="K70" s="611"/>
      <c r="L70" s="756"/>
      <c r="M70" s="743"/>
      <c r="N70" s="393"/>
      <c r="O70" s="743"/>
      <c r="P70" s="743"/>
      <c r="Q70" s="743"/>
      <c r="R70" s="743"/>
    </row>
    <row r="71" spans="1:26" x14ac:dyDescent="0.3">
      <c r="A71" s="143"/>
      <c r="B71" s="673"/>
      <c r="C71" s="673"/>
      <c r="D71" s="673"/>
      <c r="E71" s="673"/>
      <c r="F71" s="673"/>
      <c r="G71" s="673"/>
      <c r="H71" s="142"/>
      <c r="I71" s="112" t="s">
        <v>277</v>
      </c>
      <c r="J71" s="112"/>
      <c r="K71" s="611"/>
      <c r="L71" s="756"/>
      <c r="M71" s="743"/>
      <c r="N71" s="393"/>
      <c r="O71" s="743"/>
      <c r="P71" s="743"/>
      <c r="Q71" s="743"/>
      <c r="R71" s="743"/>
    </row>
    <row r="72" spans="1:26" x14ac:dyDescent="0.3">
      <c r="A72" s="143"/>
      <c r="B72" s="673"/>
      <c r="C72" s="673"/>
      <c r="D72" s="673"/>
      <c r="E72" s="673"/>
      <c r="F72" s="673"/>
      <c r="G72" s="673"/>
      <c r="H72" s="142"/>
      <c r="I72" s="112"/>
      <c r="J72" s="112"/>
      <c r="K72" s="611"/>
      <c r="L72" s="756"/>
      <c r="M72" s="743"/>
      <c r="N72" s="393"/>
      <c r="O72" s="743"/>
      <c r="P72" s="743"/>
      <c r="Q72" s="743"/>
      <c r="R72" s="743"/>
    </row>
    <row r="73" spans="1:26" x14ac:dyDescent="0.3">
      <c r="A73" s="143"/>
      <c r="B73" s="673"/>
      <c r="C73" s="673"/>
      <c r="D73" s="673"/>
      <c r="E73" s="673"/>
      <c r="F73" s="673"/>
      <c r="G73" s="673"/>
      <c r="H73" s="142"/>
      <c r="I73" s="112"/>
      <c r="J73" s="112"/>
      <c r="K73" s="611"/>
      <c r="L73" s="756"/>
      <c r="M73" s="743"/>
      <c r="N73" s="393"/>
      <c r="O73" s="743"/>
      <c r="P73" s="743"/>
      <c r="Q73" s="743"/>
      <c r="R73" s="743"/>
    </row>
    <row r="74" spans="1:26" x14ac:dyDescent="0.3">
      <c r="A74" s="143"/>
      <c r="B74" s="673"/>
      <c r="C74" s="673"/>
      <c r="D74" s="673"/>
      <c r="E74" s="673"/>
      <c r="F74" s="673"/>
      <c r="G74" s="673"/>
      <c r="H74" s="142"/>
      <c r="I74" s="112"/>
      <c r="J74" s="112"/>
      <c r="K74" s="611"/>
      <c r="L74" s="756"/>
      <c r="M74" s="743"/>
      <c r="N74" s="393"/>
      <c r="O74" s="743"/>
      <c r="P74" s="743"/>
      <c r="Q74" s="743"/>
      <c r="R74" s="743"/>
    </row>
    <row r="75" spans="1:26" x14ac:dyDescent="0.3">
      <c r="A75" s="143"/>
      <c r="B75" s="673"/>
      <c r="C75" s="673"/>
      <c r="D75" s="673"/>
      <c r="E75" s="673"/>
      <c r="F75" s="673"/>
      <c r="G75" s="673"/>
      <c r="H75" s="142"/>
      <c r="I75" s="619"/>
      <c r="J75" s="112"/>
      <c r="K75" s="611"/>
      <c r="L75" s="756"/>
      <c r="M75" s="743"/>
      <c r="N75" s="393"/>
      <c r="O75" s="743"/>
      <c r="P75" s="743"/>
      <c r="Q75" s="381"/>
      <c r="R75" s="400"/>
    </row>
    <row r="76" spans="1:26" x14ac:dyDescent="0.3">
      <c r="A76" s="143"/>
      <c r="B76" s="673"/>
      <c r="C76" s="673"/>
      <c r="D76" s="673"/>
      <c r="E76" s="673"/>
      <c r="F76" s="673"/>
      <c r="G76" s="673"/>
      <c r="H76" s="142"/>
      <c r="I76" s="620" t="s">
        <v>455</v>
      </c>
      <c r="J76" s="112"/>
      <c r="K76" s="611"/>
      <c r="L76" s="756"/>
      <c r="M76" s="743"/>
      <c r="N76" s="743"/>
      <c r="O76" s="743"/>
      <c r="P76" s="743"/>
      <c r="Q76" s="401"/>
      <c r="R76" s="400"/>
    </row>
    <row r="77" spans="1:26" x14ac:dyDescent="0.3">
      <c r="A77" s="143"/>
      <c r="B77" s="673"/>
      <c r="C77" s="673"/>
      <c r="D77" s="673"/>
      <c r="E77" s="673"/>
      <c r="F77" s="673"/>
      <c r="G77" s="673"/>
      <c r="H77" s="142"/>
      <c r="I77" s="621" t="s">
        <v>278</v>
      </c>
      <c r="J77" s="144"/>
      <c r="K77" s="144"/>
      <c r="L77" s="756"/>
      <c r="M77" s="743"/>
      <c r="N77" s="743"/>
      <c r="O77" s="743"/>
      <c r="P77" s="743"/>
      <c r="Q77" s="743"/>
      <c r="R77" s="743"/>
    </row>
    <row r="78" spans="1:26" ht="18" x14ac:dyDescent="0.35">
      <c r="A78" s="143"/>
      <c r="B78" s="673"/>
      <c r="C78" s="673"/>
      <c r="D78" s="673"/>
      <c r="E78" s="673"/>
      <c r="F78" s="756"/>
      <c r="G78" s="673"/>
      <c r="H78" s="142"/>
      <c r="I78" s="756"/>
      <c r="J78" s="144"/>
      <c r="K78" s="144"/>
      <c r="L78" s="191"/>
      <c r="M78" s="743"/>
      <c r="N78" s="161"/>
      <c r="O78" s="743"/>
      <c r="P78" s="743"/>
      <c r="Q78" s="743"/>
      <c r="R78" s="743"/>
    </row>
    <row r="79" spans="1:26" x14ac:dyDescent="0.3">
      <c r="A79" s="143"/>
      <c r="B79" s="673"/>
      <c r="C79" s="673"/>
      <c r="D79" s="673"/>
      <c r="E79" s="673"/>
      <c r="F79" s="410"/>
      <c r="G79" s="673"/>
      <c r="H79" s="142"/>
      <c r="I79" s="756"/>
      <c r="J79" s="144"/>
      <c r="K79" s="144"/>
      <c r="L79" s="756"/>
      <c r="M79" s="743"/>
      <c r="N79" s="160"/>
      <c r="O79" s="743"/>
      <c r="P79" s="743"/>
      <c r="Q79" s="743"/>
      <c r="R79" s="743"/>
    </row>
    <row r="80" spans="1:26" x14ac:dyDescent="0.3">
      <c r="A80" s="143"/>
      <c r="B80" s="673"/>
      <c r="C80" s="673"/>
      <c r="D80" s="673"/>
      <c r="E80" s="673"/>
      <c r="F80" s="411"/>
      <c r="G80" s="673"/>
      <c r="H80" s="142"/>
      <c r="I80" s="756"/>
      <c r="J80" s="144"/>
      <c r="K80" s="144"/>
      <c r="L80" s="756"/>
      <c r="M80" s="743"/>
      <c r="N80" s="160"/>
      <c r="O80" s="743"/>
      <c r="P80" s="743"/>
      <c r="Q80" s="743"/>
      <c r="R80" s="743"/>
    </row>
    <row r="81" spans="1:18" x14ac:dyDescent="0.3">
      <c r="A81" s="143"/>
      <c r="B81" s="673"/>
      <c r="C81" s="673"/>
      <c r="D81" s="673"/>
      <c r="E81" s="673"/>
      <c r="F81" s="410"/>
      <c r="G81" s="673"/>
      <c r="H81" s="142"/>
      <c r="I81" s="756"/>
      <c r="J81" s="144"/>
      <c r="K81" s="144"/>
      <c r="L81" s="756"/>
      <c r="M81" s="743"/>
      <c r="N81" s="160"/>
      <c r="O81" s="743"/>
      <c r="P81" s="743"/>
      <c r="Q81" s="743"/>
      <c r="R81" s="743"/>
    </row>
    <row r="82" spans="1:18" ht="18" x14ac:dyDescent="0.35">
      <c r="A82" s="397"/>
      <c r="B82" s="676"/>
      <c r="C82" s="676"/>
      <c r="D82" s="676"/>
      <c r="E82" s="676"/>
      <c r="F82" s="405"/>
      <c r="G82" s="676"/>
      <c r="H82" s="398"/>
      <c r="I82" s="402"/>
      <c r="J82" s="403"/>
      <c r="K82" s="153"/>
      <c r="L82" s="743"/>
      <c r="M82" s="743"/>
      <c r="N82" s="161"/>
      <c r="O82" s="743"/>
      <c r="P82" s="743"/>
      <c r="Q82" s="743"/>
      <c r="R82" s="743"/>
    </row>
    <row r="83" spans="1:18" x14ac:dyDescent="0.3">
      <c r="A83" s="397"/>
      <c r="B83" s="676"/>
      <c r="C83" s="676"/>
      <c r="D83" s="676"/>
      <c r="E83" s="676"/>
      <c r="F83" s="406"/>
      <c r="G83" s="676"/>
      <c r="H83" s="398"/>
      <c r="I83" s="402"/>
      <c r="J83" s="403"/>
      <c r="K83" s="743"/>
      <c r="L83" s="404"/>
      <c r="M83" s="154"/>
      <c r="N83" s="154"/>
    </row>
    <row r="84" spans="1:18" x14ac:dyDescent="0.3">
      <c r="A84" s="760"/>
      <c r="B84" s="745"/>
      <c r="C84" s="745"/>
      <c r="D84" s="745"/>
      <c r="E84" s="745"/>
      <c r="F84" s="407"/>
      <c r="G84" s="745"/>
      <c r="H84" s="761"/>
      <c r="I84" s="400"/>
      <c r="J84" s="408"/>
      <c r="K84" s="743"/>
      <c r="L84" s="743"/>
      <c r="M84" s="743"/>
      <c r="N84" s="393"/>
    </row>
    <row r="85" spans="1:18" x14ac:dyDescent="0.3">
      <c r="A85" s="760"/>
      <c r="B85" s="745"/>
      <c r="C85" s="745"/>
      <c r="D85" s="745"/>
      <c r="E85" s="745"/>
      <c r="F85" s="745"/>
      <c r="G85" s="745"/>
      <c r="H85" s="761"/>
      <c r="I85" s="761"/>
      <c r="J85" s="743"/>
      <c r="K85" s="154"/>
      <c r="L85" s="743"/>
      <c r="M85" s="743"/>
      <c r="N85" s="393"/>
    </row>
    <row r="86" spans="1:18" x14ac:dyDescent="0.3">
      <c r="A86" s="743"/>
      <c r="B86" s="743"/>
      <c r="C86" s="743"/>
      <c r="D86" s="743"/>
      <c r="E86" s="743"/>
      <c r="F86" s="743"/>
      <c r="G86" s="743"/>
      <c r="H86" s="743"/>
      <c r="I86" s="743"/>
      <c r="J86" s="743"/>
      <c r="K86" s="154"/>
      <c r="L86" s="743"/>
      <c r="M86" s="743"/>
      <c r="N86" s="743"/>
    </row>
    <row r="87" spans="1:18" x14ac:dyDescent="0.3">
      <c r="A87" s="373"/>
      <c r="B87" s="743"/>
      <c r="C87" s="743"/>
      <c r="D87" s="743"/>
      <c r="E87" s="743"/>
      <c r="F87" s="743"/>
      <c r="G87" s="743"/>
      <c r="H87" s="743"/>
      <c r="I87" s="743"/>
      <c r="J87" s="743"/>
      <c r="K87" s="755"/>
      <c r="L87" s="743"/>
      <c r="M87" s="743"/>
      <c r="N87" s="743"/>
    </row>
    <row r="88" spans="1:18" x14ac:dyDescent="0.3">
      <c r="A88" s="373"/>
      <c r="B88" s="743"/>
      <c r="C88" s="743"/>
      <c r="D88" s="743"/>
      <c r="E88" s="743"/>
      <c r="F88" s="743"/>
      <c r="G88" s="743"/>
      <c r="H88" s="743"/>
      <c r="I88" s="743"/>
      <c r="J88" s="743"/>
      <c r="K88" s="154"/>
      <c r="L88" s="743"/>
      <c r="M88" s="743"/>
      <c r="N88" s="743"/>
    </row>
    <row r="89" spans="1:18" x14ac:dyDescent="0.3">
      <c r="A89" s="373"/>
      <c r="B89" s="743"/>
      <c r="C89" s="743"/>
      <c r="D89" s="743"/>
      <c r="E89" s="743"/>
      <c r="F89" s="743"/>
      <c r="G89" s="743"/>
      <c r="H89" s="743"/>
      <c r="I89" s="743"/>
      <c r="J89" s="743"/>
      <c r="K89" s="154"/>
      <c r="L89" s="743"/>
      <c r="M89" s="743"/>
      <c r="N89" s="743"/>
    </row>
    <row r="216" spans="1:6" x14ac:dyDescent="0.3">
      <c r="A216" s="743"/>
      <c r="B216" s="743"/>
      <c r="C216" s="743"/>
      <c r="D216" s="743"/>
      <c r="E216" s="743"/>
      <c r="F216" s="762"/>
    </row>
  </sheetData>
  <sheetProtection formatCells="0" formatColumns="0" formatRows="0" insertColumns="0" insertRows="0" deleteColumns="0" deleteRows="0"/>
  <mergeCells count="59">
    <mergeCell ref="C45:D47"/>
    <mergeCell ref="F45:F47"/>
    <mergeCell ref="G45:G47"/>
    <mergeCell ref="H45:H47"/>
    <mergeCell ref="C48:E50"/>
    <mergeCell ref="G48:G50"/>
    <mergeCell ref="H48:H50"/>
    <mergeCell ref="K29:K31"/>
    <mergeCell ref="G29:G31"/>
    <mergeCell ref="H29:H31"/>
    <mergeCell ref="I29:I31"/>
    <mergeCell ref="I22:J22"/>
    <mergeCell ref="G32:G33"/>
    <mergeCell ref="G34:G35"/>
    <mergeCell ref="B13:G13"/>
    <mergeCell ref="B14:C14"/>
    <mergeCell ref="B15:C15"/>
    <mergeCell ref="A20:G20"/>
    <mergeCell ref="F29:F31"/>
    <mergeCell ref="B22:H22"/>
    <mergeCell ref="E29:E31"/>
    <mergeCell ref="A1:L1"/>
    <mergeCell ref="A9:C9"/>
    <mergeCell ref="A4:C4"/>
    <mergeCell ref="A5:C5"/>
    <mergeCell ref="A6:C6"/>
    <mergeCell ref="A2:L2"/>
    <mergeCell ref="B67:G67"/>
    <mergeCell ref="P34:Q34"/>
    <mergeCell ref="A36:A37"/>
    <mergeCell ref="B36:B37"/>
    <mergeCell ref="A38:A39"/>
    <mergeCell ref="B38:B39"/>
    <mergeCell ref="A40:A41"/>
    <mergeCell ref="B40:B41"/>
    <mergeCell ref="A34:A35"/>
    <mergeCell ref="B34:B35"/>
    <mergeCell ref="B60:G60"/>
    <mergeCell ref="A65:G65"/>
    <mergeCell ref="B66:G66"/>
    <mergeCell ref="G40:G41"/>
    <mergeCell ref="L45:L47"/>
    <mergeCell ref="G36:G37"/>
    <mergeCell ref="B64:L64"/>
    <mergeCell ref="A32:A33"/>
    <mergeCell ref="A29:A31"/>
    <mergeCell ref="B29:B31"/>
    <mergeCell ref="C29:C31"/>
    <mergeCell ref="D29:D31"/>
    <mergeCell ref="B32:B33"/>
    <mergeCell ref="J29:J31"/>
    <mergeCell ref="G38:G39"/>
    <mergeCell ref="J32:J41"/>
    <mergeCell ref="B48:B50"/>
    <mergeCell ref="I45:I47"/>
    <mergeCell ref="J45:J47"/>
    <mergeCell ref="K45:K47"/>
    <mergeCell ref="K48:K50"/>
    <mergeCell ref="B45:B47"/>
  </mergeCells>
  <printOptions horizontalCentered="1"/>
  <pageMargins left="0.511811023622047" right="0.23622047244094499" top="0.511811023622047" bottom="0.39370078740157499" header="0.23622047244094499" footer="0.23622047244094499"/>
  <pageSetup paperSize="9" scale="64" orientation="portrait" horizontalDpi="4294967293" r:id="rId1"/>
  <headerFooter scaleWithDoc="0" alignWithMargins="0">
    <oddHeader>&amp;R&amp;6T.014-18/</oddHeader>
    <oddFooter xml:space="preserve">&amp;C&amp;6Dilarang keras mengutip/memperbanyak dan atau mempublikasikan isi sertifikat ini tanpa seijin LPFK Banjarbaru
Sertifikat ini sah apabila dibubuhi cap LPFK Banjarbaru dan ditandatangani pejabat yang berwenang&amp;R&amp;6Halaman 2 dari 2 halaman&amp;10
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090A-71D1-4790-8CF4-77E34C2CE346}">
  <sheetPr codeName="Sheet22">
    <tabColor rgb="FF00FF00"/>
  </sheetPr>
  <dimension ref="A1:IN216"/>
  <sheetViews>
    <sheetView showGridLines="0" view="pageBreakPreview" zoomScaleNormal="100" zoomScaleSheetLayoutView="100" workbookViewId="0">
      <pane ySplit="2" topLeftCell="A3" activePane="bottomLeft" state="frozen"/>
      <selection pane="bottomLeft" activeCell="J14" sqref="J14"/>
    </sheetView>
  </sheetViews>
  <sheetFormatPr defaultColWidth="9.109375" defaultRowHeight="15.6" x14ac:dyDescent="0.3"/>
  <cols>
    <col min="1" max="1" width="5.44140625" style="409" customWidth="1"/>
    <col min="2" max="2" width="4" style="372" customWidth="1"/>
    <col min="3" max="3" width="18.88671875" style="372" customWidth="1"/>
    <col min="4" max="4" width="0.5546875" style="372" hidden="1" customWidth="1"/>
    <col min="5" max="5" width="1.44140625" style="372" customWidth="1"/>
    <col min="6" max="6" width="17.44140625" style="372" customWidth="1"/>
    <col min="7" max="7" width="13.6640625" style="372" customWidth="1"/>
    <col min="8" max="8" width="13.88671875" style="372" customWidth="1"/>
    <col min="9" max="9" width="13.33203125" style="372" customWidth="1"/>
    <col min="10" max="10" width="16.109375" style="372" customWidth="1"/>
    <col min="11" max="12" width="16" style="372" customWidth="1"/>
    <col min="13" max="223" width="9.109375" style="372" customWidth="1"/>
    <col min="224" max="247" width="10.33203125" style="372" customWidth="1"/>
    <col min="248" max="248" width="7.5546875" style="372" customWidth="1"/>
    <col min="249" max="249" width="8.6640625" style="372" customWidth="1"/>
    <col min="250" max="255" width="8.88671875" style="372" customWidth="1"/>
    <col min="256" max="16384" width="9.109375" style="372"/>
  </cols>
  <sheetData>
    <row r="1" spans="1:248" ht="17.399999999999999" x14ac:dyDescent="0.3">
      <c r="A1" s="1454" t="s">
        <v>226</v>
      </c>
      <c r="B1" s="1454"/>
      <c r="C1" s="1454"/>
      <c r="D1" s="1454"/>
      <c r="E1" s="1454"/>
      <c r="F1" s="1454"/>
      <c r="G1" s="1454"/>
      <c r="H1" s="1454"/>
      <c r="I1" s="1454"/>
      <c r="J1" s="1454"/>
      <c r="K1" s="1454"/>
      <c r="L1" s="1454"/>
      <c r="M1" s="371"/>
      <c r="N1" s="371"/>
      <c r="O1" s="371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  <c r="DW1" s="743"/>
      <c r="DX1" s="743"/>
      <c r="DY1" s="743"/>
      <c r="DZ1" s="743"/>
      <c r="EA1" s="743"/>
      <c r="EB1" s="743"/>
      <c r="EC1" s="743"/>
      <c r="ED1" s="743"/>
      <c r="EE1" s="743"/>
      <c r="EF1" s="743"/>
      <c r="EG1" s="743"/>
      <c r="EH1" s="743"/>
      <c r="EI1" s="743"/>
      <c r="EJ1" s="743"/>
      <c r="EK1" s="743"/>
      <c r="EL1" s="743"/>
      <c r="EM1" s="743"/>
      <c r="EN1" s="743"/>
      <c r="EO1" s="743"/>
      <c r="EP1" s="743"/>
      <c r="EQ1" s="743"/>
      <c r="ER1" s="743"/>
      <c r="ES1" s="743"/>
      <c r="ET1" s="743"/>
      <c r="EU1" s="743"/>
      <c r="EV1" s="743"/>
      <c r="EW1" s="743"/>
      <c r="EX1" s="743"/>
      <c r="EY1" s="743"/>
      <c r="EZ1" s="743"/>
      <c r="FA1" s="743"/>
      <c r="FB1" s="743"/>
      <c r="FC1" s="743"/>
      <c r="FD1" s="743"/>
      <c r="FE1" s="743"/>
      <c r="FF1" s="743"/>
      <c r="FG1" s="743"/>
      <c r="FH1" s="743"/>
      <c r="FI1" s="743"/>
      <c r="FJ1" s="743"/>
      <c r="FK1" s="743"/>
      <c r="FL1" s="743"/>
      <c r="FM1" s="743"/>
      <c r="FN1" s="743"/>
      <c r="FO1" s="743"/>
      <c r="FP1" s="743"/>
      <c r="FQ1" s="743"/>
      <c r="FR1" s="743"/>
      <c r="FS1" s="743"/>
      <c r="FT1" s="743"/>
      <c r="FU1" s="743"/>
      <c r="FV1" s="743"/>
      <c r="FW1" s="743"/>
      <c r="FX1" s="743"/>
      <c r="FY1" s="743"/>
      <c r="FZ1" s="743"/>
      <c r="GA1" s="743"/>
      <c r="GB1" s="743"/>
      <c r="GC1" s="743"/>
      <c r="GD1" s="743"/>
      <c r="GE1" s="743"/>
      <c r="GF1" s="743"/>
      <c r="GG1" s="743"/>
      <c r="GH1" s="743"/>
      <c r="GI1" s="743"/>
      <c r="GJ1" s="743"/>
      <c r="GK1" s="743"/>
      <c r="GL1" s="743"/>
      <c r="GM1" s="743"/>
      <c r="GN1" s="743"/>
      <c r="GO1" s="743"/>
      <c r="GP1" s="743"/>
      <c r="GQ1" s="743"/>
      <c r="GR1" s="743"/>
      <c r="GS1" s="743"/>
      <c r="GT1" s="743"/>
      <c r="GU1" s="743"/>
      <c r="GV1" s="743"/>
      <c r="GW1" s="743"/>
      <c r="GX1" s="743"/>
      <c r="GY1" s="743"/>
      <c r="GZ1" s="743"/>
      <c r="HA1" s="743"/>
      <c r="HB1" s="743"/>
      <c r="HC1" s="743"/>
      <c r="HD1" s="743"/>
      <c r="HE1" s="743"/>
      <c r="HF1" s="743"/>
      <c r="HG1" s="743"/>
      <c r="HH1" s="743"/>
      <c r="HI1" s="743"/>
      <c r="HJ1" s="743"/>
      <c r="HK1" s="743"/>
      <c r="HL1" s="743"/>
      <c r="HM1" s="743"/>
      <c r="HN1" s="743"/>
      <c r="HO1" s="743"/>
      <c r="HP1" s="743"/>
      <c r="HQ1" s="743"/>
      <c r="HR1" s="743"/>
      <c r="HS1" s="743"/>
      <c r="HT1" s="743"/>
      <c r="HU1" s="743"/>
      <c r="HV1" s="743"/>
      <c r="HW1" s="743"/>
      <c r="HX1" s="743"/>
      <c r="HY1" s="743"/>
      <c r="HZ1" s="743"/>
      <c r="IA1" s="743"/>
      <c r="IB1" s="743"/>
      <c r="IC1" s="743"/>
      <c r="ID1" s="743"/>
      <c r="IE1" s="743"/>
      <c r="IF1" s="743"/>
      <c r="IG1" s="743"/>
      <c r="IH1" s="743"/>
      <c r="II1" s="743"/>
      <c r="IJ1" s="743"/>
      <c r="IK1" s="743"/>
      <c r="IL1" s="743"/>
      <c r="IM1" s="743"/>
      <c r="IN1" s="744"/>
    </row>
    <row r="2" spans="1:248" ht="16.8" x14ac:dyDescent="0.3">
      <c r="A2" s="1456" t="str">
        <f>PENYELIA!A2</f>
        <v>Nomor sertifikat : 9 /2 / II - 20 / E - 015.38 DL</v>
      </c>
      <c r="B2" s="1456"/>
      <c r="C2" s="1456"/>
      <c r="D2" s="1456"/>
      <c r="E2" s="1456"/>
      <c r="F2" s="1456"/>
      <c r="G2" s="1456"/>
      <c r="H2" s="1456"/>
      <c r="I2" s="1456"/>
      <c r="J2" s="1456"/>
      <c r="K2" s="1456"/>
      <c r="L2" s="1456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  <c r="DW2" s="743"/>
      <c r="DX2" s="743"/>
      <c r="DY2" s="743"/>
      <c r="DZ2" s="743"/>
      <c r="EA2" s="743"/>
      <c r="EB2" s="743"/>
      <c r="EC2" s="743"/>
      <c r="ED2" s="743"/>
      <c r="EE2" s="743"/>
      <c r="EF2" s="743"/>
      <c r="EG2" s="743"/>
      <c r="EH2" s="743"/>
      <c r="EI2" s="743"/>
      <c r="EJ2" s="743"/>
      <c r="EK2" s="743"/>
      <c r="EL2" s="743"/>
      <c r="EM2" s="743"/>
      <c r="EN2" s="743"/>
      <c r="EO2" s="743"/>
      <c r="EP2" s="743"/>
      <c r="EQ2" s="743"/>
      <c r="ER2" s="743"/>
      <c r="ES2" s="743"/>
      <c r="ET2" s="743"/>
      <c r="EU2" s="743"/>
      <c r="EV2" s="743"/>
      <c r="EW2" s="743"/>
      <c r="EX2" s="743"/>
      <c r="EY2" s="743"/>
      <c r="EZ2" s="743"/>
      <c r="FA2" s="743"/>
      <c r="FB2" s="743"/>
      <c r="FC2" s="743"/>
      <c r="FD2" s="743"/>
      <c r="FE2" s="743"/>
      <c r="FF2" s="743"/>
      <c r="FG2" s="743"/>
      <c r="FH2" s="743"/>
      <c r="FI2" s="743"/>
      <c r="FJ2" s="743"/>
      <c r="FK2" s="743"/>
      <c r="FL2" s="743"/>
      <c r="FM2" s="743"/>
      <c r="FN2" s="743"/>
      <c r="FO2" s="743"/>
      <c r="FP2" s="743"/>
      <c r="FQ2" s="743"/>
      <c r="FR2" s="743"/>
      <c r="FS2" s="743"/>
      <c r="FT2" s="743"/>
      <c r="FU2" s="743"/>
      <c r="FV2" s="743"/>
      <c r="FW2" s="743"/>
      <c r="FX2" s="743"/>
      <c r="FY2" s="743"/>
      <c r="FZ2" s="743"/>
      <c r="GA2" s="743"/>
      <c r="GB2" s="743"/>
      <c r="GC2" s="743"/>
      <c r="GD2" s="743"/>
      <c r="GE2" s="743"/>
      <c r="GF2" s="743"/>
      <c r="GG2" s="743"/>
      <c r="GH2" s="743"/>
      <c r="GI2" s="743"/>
      <c r="GJ2" s="743"/>
      <c r="GK2" s="743"/>
      <c r="GL2" s="743"/>
      <c r="GM2" s="743"/>
      <c r="GN2" s="743"/>
      <c r="GO2" s="743"/>
      <c r="GP2" s="743"/>
      <c r="GQ2" s="743"/>
      <c r="GR2" s="743"/>
      <c r="GS2" s="743"/>
      <c r="GT2" s="743"/>
      <c r="GU2" s="743"/>
      <c r="GV2" s="743"/>
      <c r="GW2" s="743"/>
      <c r="GX2" s="743"/>
      <c r="GY2" s="743"/>
      <c r="GZ2" s="743"/>
      <c r="HA2" s="743"/>
      <c r="HB2" s="743"/>
      <c r="HC2" s="743"/>
      <c r="HD2" s="743"/>
      <c r="HE2" s="743"/>
      <c r="HF2" s="743"/>
      <c r="HG2" s="743"/>
      <c r="HH2" s="743"/>
      <c r="HI2" s="743"/>
      <c r="HJ2" s="743"/>
      <c r="HK2" s="743"/>
      <c r="HL2" s="743"/>
      <c r="HM2" s="743"/>
      <c r="HN2" s="743"/>
      <c r="HO2" s="743"/>
      <c r="HP2" s="743"/>
      <c r="HQ2" s="743"/>
      <c r="HR2" s="743"/>
      <c r="HS2" s="743"/>
      <c r="HT2" s="743"/>
      <c r="HU2" s="743"/>
      <c r="HV2" s="743"/>
      <c r="HW2" s="743"/>
      <c r="HX2" s="743"/>
      <c r="HY2" s="743"/>
      <c r="HZ2" s="743"/>
      <c r="IA2" s="743"/>
      <c r="IB2" s="743"/>
      <c r="IC2" s="743"/>
      <c r="ID2" s="743"/>
      <c r="IE2" s="743"/>
      <c r="IF2" s="743"/>
      <c r="IG2" s="743"/>
      <c r="IH2" s="743"/>
      <c r="II2" s="743"/>
      <c r="IJ2" s="743"/>
      <c r="IK2" s="743"/>
      <c r="IL2" s="743"/>
      <c r="IM2" s="743"/>
      <c r="IN2" s="744" t="s">
        <v>227</v>
      </c>
    </row>
    <row r="3" spans="1:248" s="373" customFormat="1" ht="9" customHeight="1" x14ac:dyDescent="0.3">
      <c r="A3" s="1136"/>
      <c r="B3" s="1136"/>
      <c r="C3" s="1136"/>
      <c r="D3" s="1136"/>
      <c r="E3" s="1136"/>
      <c r="F3" s="1136"/>
      <c r="G3" s="1136"/>
      <c r="H3" s="1136"/>
      <c r="I3" s="1136"/>
      <c r="J3" s="1136"/>
      <c r="K3" s="1136"/>
      <c r="IN3" s="374"/>
    </row>
    <row r="4" spans="1:248" x14ac:dyDescent="0.3">
      <c r="A4" s="1455" t="str">
        <f>ID!B4</f>
        <v>Merek</v>
      </c>
      <c r="B4" s="1455"/>
      <c r="C4" s="1455"/>
      <c r="D4" s="375" t="s">
        <v>7</v>
      </c>
      <c r="E4" s="375" t="s">
        <v>7</v>
      </c>
      <c r="F4" s="1136" t="str">
        <f>ID!E4</f>
        <v>OMRON</v>
      </c>
      <c r="G4" s="1136"/>
      <c r="H4" s="1136"/>
      <c r="I4" s="1136"/>
      <c r="J4" s="376"/>
      <c r="K4" s="376"/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3"/>
      <c r="X4" s="743"/>
      <c r="Y4" s="743"/>
      <c r="Z4" s="743"/>
      <c r="AA4" s="743"/>
      <c r="AB4" s="743"/>
      <c r="AC4" s="743"/>
      <c r="AD4" s="743"/>
      <c r="AE4" s="743"/>
      <c r="AF4" s="743"/>
      <c r="AG4" s="743"/>
      <c r="AH4" s="743"/>
      <c r="AI4" s="743"/>
      <c r="AJ4" s="743"/>
      <c r="AK4" s="743"/>
      <c r="AL4" s="743"/>
      <c r="AM4" s="743"/>
      <c r="AN4" s="743"/>
      <c r="AO4" s="743"/>
      <c r="AP4" s="743"/>
      <c r="AQ4" s="743"/>
      <c r="AR4" s="743"/>
      <c r="AS4" s="743"/>
      <c r="AT4" s="743"/>
      <c r="AU4" s="743"/>
      <c r="AV4" s="743"/>
      <c r="AW4" s="743"/>
      <c r="AX4" s="743"/>
      <c r="AY4" s="743"/>
      <c r="AZ4" s="743"/>
      <c r="BA4" s="743"/>
      <c r="BB4" s="743"/>
      <c r="BC4" s="743"/>
      <c r="BD4" s="743"/>
      <c r="BE4" s="743"/>
      <c r="BF4" s="743"/>
      <c r="BG4" s="743"/>
      <c r="BH4" s="743"/>
      <c r="BI4" s="743"/>
      <c r="BJ4" s="743"/>
      <c r="BK4" s="743"/>
      <c r="BL4" s="743"/>
      <c r="BM4" s="743"/>
      <c r="BN4" s="743"/>
      <c r="BO4" s="743"/>
      <c r="BP4" s="743"/>
      <c r="BQ4" s="743"/>
      <c r="BR4" s="743"/>
      <c r="BS4" s="743"/>
      <c r="BT4" s="743"/>
      <c r="BU4" s="743"/>
      <c r="BV4" s="743"/>
      <c r="BW4" s="743"/>
      <c r="BX4" s="743"/>
      <c r="BY4" s="743"/>
      <c r="BZ4" s="743"/>
      <c r="CA4" s="743"/>
      <c r="CB4" s="743"/>
      <c r="CC4" s="743"/>
      <c r="CD4" s="743"/>
      <c r="CE4" s="743"/>
      <c r="CF4" s="743"/>
      <c r="CG4" s="743"/>
      <c r="CH4" s="743"/>
      <c r="CI4" s="743"/>
      <c r="CJ4" s="743"/>
      <c r="CK4" s="743"/>
      <c r="CL4" s="743"/>
      <c r="CM4" s="743"/>
      <c r="CN4" s="743"/>
      <c r="CO4" s="743"/>
      <c r="CP4" s="743"/>
      <c r="CQ4" s="743"/>
      <c r="CR4" s="743"/>
      <c r="CS4" s="743"/>
      <c r="CT4" s="743"/>
      <c r="CU4" s="743"/>
      <c r="CV4" s="743"/>
      <c r="CW4" s="743"/>
      <c r="CX4" s="743"/>
      <c r="CY4" s="743"/>
      <c r="CZ4" s="743"/>
      <c r="DA4" s="743"/>
      <c r="DB4" s="743"/>
      <c r="DC4" s="743"/>
      <c r="DD4" s="743"/>
      <c r="DE4" s="743"/>
      <c r="DF4" s="743"/>
      <c r="DG4" s="743"/>
      <c r="DH4" s="743"/>
      <c r="DI4" s="743"/>
      <c r="DJ4" s="743"/>
      <c r="DK4" s="743"/>
      <c r="DL4" s="743"/>
      <c r="DM4" s="743"/>
      <c r="DN4" s="743"/>
      <c r="DO4" s="743"/>
      <c r="DP4" s="743"/>
      <c r="DQ4" s="743"/>
      <c r="DR4" s="743"/>
      <c r="DS4" s="743"/>
      <c r="DT4" s="743"/>
      <c r="DU4" s="743"/>
      <c r="DV4" s="743"/>
      <c r="DW4" s="743"/>
      <c r="DX4" s="743"/>
      <c r="DY4" s="743"/>
      <c r="DZ4" s="743"/>
      <c r="EA4" s="743"/>
      <c r="EB4" s="743"/>
      <c r="EC4" s="743"/>
      <c r="ED4" s="743"/>
      <c r="EE4" s="743"/>
      <c r="EF4" s="743"/>
      <c r="EG4" s="743"/>
      <c r="EH4" s="743"/>
      <c r="EI4" s="743"/>
      <c r="EJ4" s="743"/>
      <c r="EK4" s="743"/>
      <c r="EL4" s="743"/>
      <c r="EM4" s="743"/>
      <c r="EN4" s="743"/>
      <c r="EO4" s="743"/>
      <c r="EP4" s="743"/>
      <c r="EQ4" s="743"/>
      <c r="ER4" s="743"/>
      <c r="ES4" s="743"/>
      <c r="ET4" s="743"/>
      <c r="EU4" s="743"/>
      <c r="EV4" s="743"/>
      <c r="EW4" s="743"/>
      <c r="EX4" s="743"/>
      <c r="EY4" s="743"/>
      <c r="EZ4" s="743"/>
      <c r="FA4" s="743"/>
      <c r="FB4" s="743"/>
      <c r="FC4" s="743"/>
      <c r="FD4" s="743"/>
      <c r="FE4" s="743"/>
      <c r="FF4" s="743"/>
      <c r="FG4" s="743"/>
      <c r="FH4" s="743"/>
      <c r="FI4" s="743"/>
      <c r="FJ4" s="743"/>
      <c r="FK4" s="743"/>
      <c r="FL4" s="743"/>
      <c r="FM4" s="743"/>
      <c r="FN4" s="743"/>
      <c r="FO4" s="743"/>
      <c r="FP4" s="743"/>
      <c r="FQ4" s="743"/>
      <c r="FR4" s="743"/>
      <c r="FS4" s="743"/>
      <c r="FT4" s="743"/>
      <c r="FU4" s="743"/>
      <c r="FV4" s="743"/>
      <c r="FW4" s="743"/>
      <c r="FX4" s="743"/>
      <c r="FY4" s="743"/>
      <c r="FZ4" s="743"/>
      <c r="GA4" s="743"/>
      <c r="GB4" s="743"/>
      <c r="GC4" s="743"/>
      <c r="GD4" s="743"/>
      <c r="GE4" s="743"/>
      <c r="GF4" s="743"/>
      <c r="GG4" s="743"/>
      <c r="GH4" s="743"/>
      <c r="GI4" s="743"/>
      <c r="GJ4" s="743"/>
      <c r="GK4" s="743"/>
      <c r="GL4" s="743"/>
      <c r="GM4" s="743"/>
      <c r="GN4" s="743"/>
      <c r="GO4" s="743"/>
      <c r="GP4" s="743"/>
      <c r="GQ4" s="743"/>
      <c r="GR4" s="743"/>
      <c r="GS4" s="743"/>
      <c r="GT4" s="743"/>
      <c r="GU4" s="743"/>
      <c r="GV4" s="743"/>
      <c r="GW4" s="743"/>
      <c r="GX4" s="743"/>
      <c r="GY4" s="743"/>
      <c r="GZ4" s="743"/>
      <c r="HA4" s="743"/>
      <c r="HB4" s="743"/>
      <c r="HC4" s="743"/>
      <c r="HD4" s="743"/>
      <c r="HE4" s="743"/>
      <c r="HF4" s="743"/>
      <c r="HG4" s="743"/>
      <c r="HH4" s="743"/>
      <c r="HI4" s="743"/>
      <c r="HJ4" s="743"/>
      <c r="HK4" s="743"/>
      <c r="HL4" s="743"/>
      <c r="HM4" s="743"/>
      <c r="HN4" s="743"/>
      <c r="HO4" s="743"/>
      <c r="HP4" s="743"/>
      <c r="HQ4" s="743"/>
      <c r="HR4" s="743"/>
      <c r="HS4" s="743"/>
      <c r="HT4" s="743"/>
      <c r="HU4" s="743"/>
      <c r="HV4" s="743"/>
      <c r="HW4" s="743"/>
      <c r="HX4" s="743"/>
      <c r="HY4" s="743"/>
      <c r="HZ4" s="743"/>
      <c r="IA4" s="743"/>
      <c r="IB4" s="743"/>
      <c r="IC4" s="743"/>
      <c r="ID4" s="743"/>
      <c r="IE4" s="743"/>
      <c r="IF4" s="743"/>
      <c r="IG4" s="743"/>
      <c r="IH4" s="743"/>
      <c r="II4" s="743"/>
      <c r="IJ4" s="743"/>
      <c r="IK4" s="743"/>
      <c r="IL4" s="743"/>
      <c r="IM4" s="743"/>
      <c r="IN4" s="744" t="s">
        <v>228</v>
      </c>
    </row>
    <row r="5" spans="1:248" x14ac:dyDescent="0.3">
      <c r="A5" s="1455" t="str">
        <f>ID!B5</f>
        <v>Model/ tipe</v>
      </c>
      <c r="B5" s="1455"/>
      <c r="C5" s="1455"/>
      <c r="D5" s="375" t="s">
        <v>7</v>
      </c>
      <c r="E5" s="375" t="s">
        <v>7</v>
      </c>
      <c r="F5" s="1136" t="str">
        <f>ID!E5</f>
        <v>HEM-8712</v>
      </c>
      <c r="G5" s="1136"/>
      <c r="H5" s="1136"/>
      <c r="I5" s="1136"/>
      <c r="J5" s="376"/>
      <c r="K5" s="376"/>
      <c r="L5" s="743"/>
      <c r="M5" s="743"/>
      <c r="N5" s="743"/>
      <c r="O5" s="743"/>
      <c r="P5" s="743"/>
      <c r="Q5" s="743"/>
      <c r="R5" s="743"/>
      <c r="S5" s="743"/>
      <c r="T5" s="743"/>
      <c r="U5" s="743"/>
      <c r="V5" s="743"/>
      <c r="W5" s="743"/>
      <c r="X5" s="743"/>
      <c r="Y5" s="743"/>
      <c r="Z5" s="743"/>
      <c r="AA5" s="743"/>
      <c r="AB5" s="743"/>
      <c r="AC5" s="743"/>
      <c r="AD5" s="743"/>
      <c r="AE5" s="743"/>
      <c r="AF5" s="743"/>
      <c r="AG5" s="743"/>
      <c r="AH5" s="743"/>
      <c r="AI5" s="743"/>
      <c r="AJ5" s="743"/>
      <c r="AK5" s="743"/>
      <c r="AL5" s="743"/>
      <c r="AM5" s="743"/>
      <c r="AN5" s="743"/>
      <c r="AO5" s="743"/>
      <c r="AP5" s="743"/>
      <c r="AQ5" s="743"/>
      <c r="AR5" s="743"/>
      <c r="AS5" s="743"/>
      <c r="AT5" s="743"/>
      <c r="AU5" s="743"/>
      <c r="AV5" s="743"/>
      <c r="AW5" s="743"/>
      <c r="AX5" s="743"/>
      <c r="AY5" s="743"/>
      <c r="AZ5" s="743"/>
      <c r="BA5" s="743"/>
      <c r="BB5" s="743"/>
      <c r="BC5" s="743"/>
      <c r="BD5" s="743"/>
      <c r="BE5" s="743"/>
      <c r="BF5" s="743"/>
      <c r="BG5" s="743"/>
      <c r="BH5" s="743"/>
      <c r="BI5" s="743"/>
      <c r="BJ5" s="743"/>
      <c r="BK5" s="743"/>
      <c r="BL5" s="743"/>
      <c r="BM5" s="743"/>
      <c r="BN5" s="743"/>
      <c r="BO5" s="743"/>
      <c r="BP5" s="743"/>
      <c r="BQ5" s="743"/>
      <c r="BR5" s="743"/>
      <c r="BS5" s="743"/>
      <c r="BT5" s="743"/>
      <c r="BU5" s="743"/>
      <c r="BV5" s="743"/>
      <c r="BW5" s="743"/>
      <c r="BX5" s="743"/>
      <c r="BY5" s="743"/>
      <c r="BZ5" s="743"/>
      <c r="CA5" s="743"/>
      <c r="CB5" s="743"/>
      <c r="CC5" s="743"/>
      <c r="CD5" s="743"/>
      <c r="CE5" s="743"/>
      <c r="CF5" s="743"/>
      <c r="CG5" s="743"/>
      <c r="CH5" s="743"/>
      <c r="CI5" s="743"/>
      <c r="CJ5" s="743"/>
      <c r="CK5" s="743"/>
      <c r="CL5" s="743"/>
      <c r="CM5" s="743"/>
      <c r="CN5" s="743"/>
      <c r="CO5" s="743"/>
      <c r="CP5" s="743"/>
      <c r="CQ5" s="743"/>
      <c r="CR5" s="743"/>
      <c r="CS5" s="743"/>
      <c r="CT5" s="743"/>
      <c r="CU5" s="743"/>
      <c r="CV5" s="743"/>
      <c r="CW5" s="743"/>
      <c r="CX5" s="743"/>
      <c r="CY5" s="743"/>
      <c r="CZ5" s="743"/>
      <c r="DA5" s="743"/>
      <c r="DB5" s="743"/>
      <c r="DC5" s="743"/>
      <c r="DD5" s="743"/>
      <c r="DE5" s="743"/>
      <c r="DF5" s="743"/>
      <c r="DG5" s="743"/>
      <c r="DH5" s="743"/>
      <c r="DI5" s="743"/>
      <c r="DJ5" s="743"/>
      <c r="DK5" s="743"/>
      <c r="DL5" s="743"/>
      <c r="DM5" s="743"/>
      <c r="DN5" s="743"/>
      <c r="DO5" s="743"/>
      <c r="DP5" s="743"/>
      <c r="DQ5" s="743"/>
      <c r="DR5" s="743"/>
      <c r="DS5" s="743"/>
      <c r="DT5" s="743"/>
      <c r="DU5" s="743"/>
      <c r="DV5" s="743"/>
      <c r="DW5" s="743"/>
      <c r="DX5" s="743"/>
      <c r="DY5" s="743"/>
      <c r="DZ5" s="743"/>
      <c r="EA5" s="743"/>
      <c r="EB5" s="743"/>
      <c r="EC5" s="743"/>
      <c r="ED5" s="743"/>
      <c r="EE5" s="743"/>
      <c r="EF5" s="743"/>
      <c r="EG5" s="743"/>
      <c r="EH5" s="743"/>
      <c r="EI5" s="743"/>
      <c r="EJ5" s="743"/>
      <c r="EK5" s="743"/>
      <c r="EL5" s="743"/>
      <c r="EM5" s="743"/>
      <c r="EN5" s="743"/>
      <c r="EO5" s="743"/>
      <c r="EP5" s="743"/>
      <c r="EQ5" s="743"/>
      <c r="ER5" s="743"/>
      <c r="ES5" s="743"/>
      <c r="ET5" s="743"/>
      <c r="EU5" s="743"/>
      <c r="EV5" s="743"/>
      <c r="EW5" s="743"/>
      <c r="EX5" s="743"/>
      <c r="EY5" s="743"/>
      <c r="EZ5" s="743"/>
      <c r="FA5" s="743"/>
      <c r="FB5" s="743"/>
      <c r="FC5" s="743"/>
      <c r="FD5" s="743"/>
      <c r="FE5" s="743"/>
      <c r="FF5" s="743"/>
      <c r="FG5" s="743"/>
      <c r="FH5" s="743"/>
      <c r="FI5" s="743"/>
      <c r="FJ5" s="743"/>
      <c r="FK5" s="743"/>
      <c r="FL5" s="743"/>
      <c r="FM5" s="743"/>
      <c r="FN5" s="743"/>
      <c r="FO5" s="743"/>
      <c r="FP5" s="743"/>
      <c r="FQ5" s="743"/>
      <c r="FR5" s="743"/>
      <c r="FS5" s="743"/>
      <c r="FT5" s="743"/>
      <c r="FU5" s="743"/>
      <c r="FV5" s="743"/>
      <c r="FW5" s="743"/>
      <c r="FX5" s="743"/>
      <c r="FY5" s="743"/>
      <c r="FZ5" s="743"/>
      <c r="GA5" s="743"/>
      <c r="GB5" s="743"/>
      <c r="GC5" s="743"/>
      <c r="GD5" s="743"/>
      <c r="GE5" s="743"/>
      <c r="GF5" s="743"/>
      <c r="GG5" s="743"/>
      <c r="GH5" s="743"/>
      <c r="GI5" s="743"/>
      <c r="GJ5" s="743"/>
      <c r="GK5" s="743"/>
      <c r="GL5" s="743"/>
      <c r="GM5" s="743"/>
      <c r="GN5" s="743"/>
      <c r="GO5" s="743"/>
      <c r="GP5" s="743"/>
      <c r="GQ5" s="743"/>
      <c r="GR5" s="743"/>
      <c r="GS5" s="743"/>
      <c r="GT5" s="743"/>
      <c r="GU5" s="743"/>
      <c r="GV5" s="743"/>
      <c r="GW5" s="743"/>
      <c r="GX5" s="743"/>
      <c r="GY5" s="743"/>
      <c r="GZ5" s="743"/>
      <c r="HA5" s="743"/>
      <c r="HB5" s="743"/>
      <c r="HC5" s="743"/>
      <c r="HD5" s="743"/>
      <c r="HE5" s="743"/>
      <c r="HF5" s="743"/>
      <c r="HG5" s="743"/>
      <c r="HH5" s="743"/>
      <c r="HI5" s="743"/>
      <c r="HJ5" s="743"/>
      <c r="HK5" s="743"/>
      <c r="HL5" s="743"/>
      <c r="HM5" s="743"/>
      <c r="HN5" s="743"/>
      <c r="HO5" s="743"/>
      <c r="HP5" s="743"/>
      <c r="HQ5" s="743"/>
      <c r="HR5" s="743"/>
      <c r="HS5" s="743"/>
      <c r="HT5" s="743"/>
      <c r="HU5" s="743"/>
      <c r="HV5" s="743"/>
      <c r="HW5" s="743"/>
      <c r="HX5" s="743"/>
      <c r="HY5" s="743"/>
      <c r="HZ5" s="743"/>
      <c r="IA5" s="743"/>
      <c r="IB5" s="743"/>
      <c r="IC5" s="743"/>
      <c r="ID5" s="743"/>
      <c r="IE5" s="743"/>
      <c r="IF5" s="743"/>
      <c r="IG5" s="743"/>
      <c r="IH5" s="743"/>
      <c r="II5" s="743"/>
      <c r="IJ5" s="743"/>
      <c r="IK5" s="743"/>
      <c r="IL5" s="743"/>
      <c r="IM5" s="743"/>
      <c r="IN5" s="743"/>
    </row>
    <row r="6" spans="1:248" x14ac:dyDescent="0.3">
      <c r="A6" s="1455" t="str">
        <f>ID!B6</f>
        <v>Nomor seri</v>
      </c>
      <c r="B6" s="1455"/>
      <c r="C6" s="1455"/>
      <c r="D6" s="375" t="s">
        <v>7</v>
      </c>
      <c r="E6" s="375" t="s">
        <v>7</v>
      </c>
      <c r="F6" s="1136" t="str">
        <f>ID!E6</f>
        <v>-</v>
      </c>
      <c r="G6" s="1136"/>
      <c r="H6" s="1136"/>
      <c r="I6" s="1136"/>
      <c r="J6" s="376"/>
      <c r="K6" s="376"/>
      <c r="L6" s="743"/>
      <c r="M6" s="743"/>
      <c r="N6" s="743"/>
      <c r="O6" s="743"/>
      <c r="P6" s="743"/>
      <c r="Q6" s="743"/>
      <c r="R6" s="743"/>
      <c r="S6" s="743"/>
      <c r="T6" s="743"/>
      <c r="U6" s="743"/>
      <c r="V6" s="743"/>
      <c r="W6" s="743"/>
      <c r="X6" s="743"/>
      <c r="Y6" s="743"/>
      <c r="Z6" s="743"/>
      <c r="AA6" s="743"/>
      <c r="AB6" s="743"/>
      <c r="AC6" s="743"/>
      <c r="AD6" s="743"/>
      <c r="AE6" s="743"/>
      <c r="AF6" s="743"/>
      <c r="AG6" s="743"/>
      <c r="AH6" s="743"/>
      <c r="AI6" s="743"/>
      <c r="AJ6" s="743"/>
      <c r="AK6" s="743"/>
      <c r="AL6" s="743"/>
      <c r="AM6" s="743"/>
      <c r="AN6" s="743"/>
      <c r="AO6" s="743"/>
      <c r="AP6" s="743"/>
      <c r="AQ6" s="743"/>
      <c r="AR6" s="743"/>
      <c r="AS6" s="743"/>
      <c r="AT6" s="743"/>
      <c r="AU6" s="743"/>
      <c r="AV6" s="743"/>
      <c r="AW6" s="743"/>
      <c r="AX6" s="743"/>
      <c r="AY6" s="743"/>
      <c r="AZ6" s="743"/>
      <c r="BA6" s="743"/>
      <c r="BB6" s="743"/>
      <c r="BC6" s="743"/>
      <c r="BD6" s="743"/>
      <c r="BE6" s="743"/>
      <c r="BF6" s="743"/>
      <c r="BG6" s="743"/>
      <c r="BH6" s="743"/>
      <c r="BI6" s="743"/>
      <c r="BJ6" s="743"/>
      <c r="BK6" s="743"/>
      <c r="BL6" s="743"/>
      <c r="BM6" s="743"/>
      <c r="BN6" s="743"/>
      <c r="BO6" s="743"/>
      <c r="BP6" s="743"/>
      <c r="BQ6" s="743"/>
      <c r="BR6" s="743"/>
      <c r="BS6" s="743"/>
      <c r="BT6" s="743"/>
      <c r="BU6" s="743"/>
      <c r="BV6" s="743"/>
      <c r="BW6" s="743"/>
      <c r="BX6" s="743"/>
      <c r="BY6" s="743"/>
      <c r="BZ6" s="743"/>
      <c r="CA6" s="743"/>
      <c r="CB6" s="743"/>
      <c r="CC6" s="743"/>
      <c r="CD6" s="743"/>
      <c r="CE6" s="743"/>
      <c r="CF6" s="743"/>
      <c r="CG6" s="743"/>
      <c r="CH6" s="743"/>
      <c r="CI6" s="743"/>
      <c r="CJ6" s="743"/>
      <c r="CK6" s="743"/>
      <c r="CL6" s="743"/>
      <c r="CM6" s="743"/>
      <c r="CN6" s="743"/>
      <c r="CO6" s="743"/>
      <c r="CP6" s="743"/>
      <c r="CQ6" s="743"/>
      <c r="CR6" s="743"/>
      <c r="CS6" s="743"/>
      <c r="CT6" s="743"/>
      <c r="CU6" s="743"/>
      <c r="CV6" s="743"/>
      <c r="CW6" s="743"/>
      <c r="CX6" s="743"/>
      <c r="CY6" s="743"/>
      <c r="CZ6" s="743"/>
      <c r="DA6" s="743"/>
      <c r="DB6" s="743"/>
      <c r="DC6" s="743"/>
      <c r="DD6" s="743"/>
      <c r="DE6" s="743"/>
      <c r="DF6" s="743"/>
      <c r="DG6" s="743"/>
      <c r="DH6" s="743"/>
      <c r="DI6" s="743"/>
      <c r="DJ6" s="743"/>
      <c r="DK6" s="743"/>
      <c r="DL6" s="743"/>
      <c r="DM6" s="743"/>
      <c r="DN6" s="743"/>
      <c r="DO6" s="743"/>
      <c r="DP6" s="743"/>
      <c r="DQ6" s="743"/>
      <c r="DR6" s="743"/>
      <c r="DS6" s="743"/>
      <c r="DT6" s="743"/>
      <c r="DU6" s="743"/>
      <c r="DV6" s="743"/>
      <c r="DW6" s="743"/>
      <c r="DX6" s="743"/>
      <c r="DY6" s="743"/>
      <c r="DZ6" s="743"/>
      <c r="EA6" s="743"/>
      <c r="EB6" s="743"/>
      <c r="EC6" s="743"/>
      <c r="ED6" s="743"/>
      <c r="EE6" s="743"/>
      <c r="EF6" s="743"/>
      <c r="EG6" s="743"/>
      <c r="EH6" s="743"/>
      <c r="EI6" s="743"/>
      <c r="EJ6" s="743"/>
      <c r="EK6" s="743"/>
      <c r="EL6" s="743"/>
      <c r="EM6" s="743"/>
      <c r="EN6" s="743"/>
      <c r="EO6" s="743"/>
      <c r="EP6" s="743"/>
      <c r="EQ6" s="743"/>
      <c r="ER6" s="743"/>
      <c r="ES6" s="743"/>
      <c r="ET6" s="743"/>
      <c r="EU6" s="743"/>
      <c r="EV6" s="743"/>
      <c r="EW6" s="743"/>
      <c r="EX6" s="743"/>
      <c r="EY6" s="743"/>
      <c r="EZ6" s="743"/>
      <c r="FA6" s="743"/>
      <c r="FB6" s="743"/>
      <c r="FC6" s="743"/>
      <c r="FD6" s="743"/>
      <c r="FE6" s="743"/>
      <c r="FF6" s="743"/>
      <c r="FG6" s="743"/>
      <c r="FH6" s="743"/>
      <c r="FI6" s="743"/>
      <c r="FJ6" s="743"/>
      <c r="FK6" s="743"/>
      <c r="FL6" s="743"/>
      <c r="FM6" s="743"/>
      <c r="FN6" s="743"/>
      <c r="FO6" s="743"/>
      <c r="FP6" s="743"/>
      <c r="FQ6" s="743"/>
      <c r="FR6" s="743"/>
      <c r="FS6" s="743"/>
      <c r="FT6" s="743"/>
      <c r="FU6" s="743"/>
      <c r="FV6" s="743"/>
      <c r="FW6" s="743"/>
      <c r="FX6" s="743"/>
      <c r="FY6" s="743"/>
      <c r="FZ6" s="743"/>
      <c r="GA6" s="743"/>
      <c r="GB6" s="743"/>
      <c r="GC6" s="743"/>
      <c r="GD6" s="743"/>
      <c r="GE6" s="743"/>
      <c r="GF6" s="743"/>
      <c r="GG6" s="743"/>
      <c r="GH6" s="743"/>
      <c r="GI6" s="743"/>
      <c r="GJ6" s="743"/>
      <c r="GK6" s="743"/>
      <c r="GL6" s="743"/>
      <c r="GM6" s="743"/>
      <c r="GN6" s="743"/>
      <c r="GO6" s="743"/>
      <c r="GP6" s="743"/>
      <c r="GQ6" s="743"/>
      <c r="GR6" s="743"/>
      <c r="GS6" s="743"/>
      <c r="GT6" s="743"/>
      <c r="GU6" s="743"/>
      <c r="GV6" s="743"/>
      <c r="GW6" s="743"/>
      <c r="GX6" s="743"/>
      <c r="GY6" s="743"/>
      <c r="GZ6" s="743"/>
      <c r="HA6" s="743"/>
      <c r="HB6" s="743"/>
      <c r="HC6" s="743"/>
      <c r="HD6" s="743"/>
      <c r="HE6" s="743"/>
      <c r="HF6" s="743"/>
      <c r="HG6" s="743"/>
      <c r="HH6" s="743"/>
      <c r="HI6" s="743"/>
      <c r="HJ6" s="743"/>
      <c r="HK6" s="743"/>
      <c r="HL6" s="743"/>
      <c r="HM6" s="743"/>
      <c r="HN6" s="743"/>
      <c r="HO6" s="743"/>
      <c r="HP6" s="743"/>
      <c r="HQ6" s="743"/>
      <c r="HR6" s="743"/>
      <c r="HS6" s="743"/>
      <c r="HT6" s="743"/>
      <c r="HU6" s="743"/>
      <c r="HV6" s="743"/>
      <c r="HW6" s="743"/>
      <c r="HX6" s="743"/>
      <c r="HY6" s="743"/>
      <c r="HZ6" s="743"/>
      <c r="IA6" s="743"/>
      <c r="IB6" s="743"/>
      <c r="IC6" s="743"/>
      <c r="ID6" s="743"/>
      <c r="IE6" s="743"/>
      <c r="IF6" s="743"/>
      <c r="IG6" s="743"/>
      <c r="IH6" s="743"/>
      <c r="II6" s="743"/>
      <c r="IJ6" s="743"/>
      <c r="IK6" s="743"/>
      <c r="IL6" s="743"/>
      <c r="IM6" s="743"/>
      <c r="IN6" s="743"/>
    </row>
    <row r="7" spans="1:248" x14ac:dyDescent="0.3">
      <c r="A7" s="1136" t="str">
        <f>PENYELIA!A7</f>
        <v>Tanggal penerimaan alat</v>
      </c>
      <c r="B7" s="1136"/>
      <c r="C7" s="1136"/>
      <c r="D7" s="375"/>
      <c r="E7" s="375" t="s">
        <v>7</v>
      </c>
      <c r="F7" s="1236">
        <f>PENYELIA!F7</f>
        <v>44564</v>
      </c>
      <c r="G7" s="1136"/>
      <c r="H7" s="1136"/>
      <c r="I7" s="1136"/>
      <c r="J7" s="376"/>
      <c r="K7" s="376"/>
      <c r="L7" s="743"/>
      <c r="M7" s="743"/>
      <c r="N7" s="743"/>
      <c r="O7" s="743"/>
      <c r="P7" s="743"/>
      <c r="Q7" s="743"/>
      <c r="R7" s="743"/>
      <c r="S7" s="743"/>
      <c r="T7" s="743"/>
      <c r="U7" s="743"/>
      <c r="V7" s="743"/>
      <c r="W7" s="743"/>
      <c r="X7" s="743"/>
      <c r="Y7" s="743"/>
      <c r="Z7" s="743"/>
      <c r="AA7" s="743"/>
      <c r="AB7" s="743"/>
      <c r="AC7" s="743"/>
      <c r="AD7" s="743"/>
      <c r="AE7" s="743"/>
      <c r="AF7" s="743"/>
      <c r="AG7" s="743"/>
      <c r="AH7" s="743"/>
      <c r="AI7" s="743"/>
      <c r="AJ7" s="743"/>
      <c r="AK7" s="743"/>
      <c r="AL7" s="743"/>
      <c r="AM7" s="743"/>
      <c r="AN7" s="743"/>
      <c r="AO7" s="743"/>
      <c r="AP7" s="743"/>
      <c r="AQ7" s="743"/>
      <c r="AR7" s="743"/>
      <c r="AS7" s="743"/>
      <c r="AT7" s="743"/>
      <c r="AU7" s="743"/>
      <c r="AV7" s="743"/>
      <c r="AW7" s="743"/>
      <c r="AX7" s="743"/>
      <c r="AY7" s="743"/>
      <c r="AZ7" s="743"/>
      <c r="BA7" s="743"/>
      <c r="BB7" s="743"/>
      <c r="BC7" s="743"/>
      <c r="BD7" s="743"/>
      <c r="BE7" s="743"/>
      <c r="BF7" s="743"/>
      <c r="BG7" s="743"/>
      <c r="BH7" s="743"/>
      <c r="BI7" s="743"/>
      <c r="BJ7" s="743"/>
      <c r="BK7" s="743"/>
      <c r="BL7" s="743"/>
      <c r="BM7" s="743"/>
      <c r="BN7" s="743"/>
      <c r="BO7" s="743"/>
      <c r="BP7" s="743"/>
      <c r="BQ7" s="743"/>
      <c r="BR7" s="743"/>
      <c r="BS7" s="743"/>
      <c r="BT7" s="743"/>
      <c r="BU7" s="743"/>
      <c r="BV7" s="743"/>
      <c r="BW7" s="743"/>
      <c r="BX7" s="743"/>
      <c r="BY7" s="743"/>
      <c r="BZ7" s="743"/>
      <c r="CA7" s="743"/>
      <c r="CB7" s="743"/>
      <c r="CC7" s="743"/>
      <c r="CD7" s="743"/>
      <c r="CE7" s="743"/>
      <c r="CF7" s="743"/>
      <c r="CG7" s="743"/>
      <c r="CH7" s="743"/>
      <c r="CI7" s="743"/>
      <c r="CJ7" s="743"/>
      <c r="CK7" s="743"/>
      <c r="CL7" s="743"/>
      <c r="CM7" s="743"/>
      <c r="CN7" s="743"/>
      <c r="CO7" s="743"/>
      <c r="CP7" s="743"/>
      <c r="CQ7" s="743"/>
      <c r="CR7" s="743"/>
      <c r="CS7" s="743"/>
      <c r="CT7" s="743"/>
      <c r="CU7" s="743"/>
      <c r="CV7" s="743"/>
      <c r="CW7" s="743"/>
      <c r="CX7" s="743"/>
      <c r="CY7" s="743"/>
      <c r="CZ7" s="743"/>
      <c r="DA7" s="743"/>
      <c r="DB7" s="743"/>
      <c r="DC7" s="743"/>
      <c r="DD7" s="743"/>
      <c r="DE7" s="743"/>
      <c r="DF7" s="743"/>
      <c r="DG7" s="743"/>
      <c r="DH7" s="743"/>
      <c r="DI7" s="743"/>
      <c r="DJ7" s="743"/>
      <c r="DK7" s="743"/>
      <c r="DL7" s="743"/>
      <c r="DM7" s="743"/>
      <c r="DN7" s="743"/>
      <c r="DO7" s="743"/>
      <c r="DP7" s="743"/>
      <c r="DQ7" s="743"/>
      <c r="DR7" s="743"/>
      <c r="DS7" s="743"/>
      <c r="DT7" s="743"/>
      <c r="DU7" s="743"/>
      <c r="DV7" s="743"/>
      <c r="DW7" s="743"/>
      <c r="DX7" s="743"/>
      <c r="DY7" s="743"/>
      <c r="DZ7" s="743"/>
      <c r="EA7" s="743"/>
      <c r="EB7" s="743"/>
      <c r="EC7" s="743"/>
      <c r="ED7" s="743"/>
      <c r="EE7" s="743"/>
      <c r="EF7" s="743"/>
      <c r="EG7" s="743"/>
      <c r="EH7" s="743"/>
      <c r="EI7" s="743"/>
      <c r="EJ7" s="743"/>
      <c r="EK7" s="743"/>
      <c r="EL7" s="743"/>
      <c r="EM7" s="743"/>
      <c r="EN7" s="743"/>
      <c r="EO7" s="743"/>
      <c r="EP7" s="743"/>
      <c r="EQ7" s="743"/>
      <c r="ER7" s="743"/>
      <c r="ES7" s="743"/>
      <c r="ET7" s="743"/>
      <c r="EU7" s="743"/>
      <c r="EV7" s="743"/>
      <c r="EW7" s="743"/>
      <c r="EX7" s="743"/>
      <c r="EY7" s="743"/>
      <c r="EZ7" s="743"/>
      <c r="FA7" s="743"/>
      <c r="FB7" s="743"/>
      <c r="FC7" s="743"/>
      <c r="FD7" s="743"/>
      <c r="FE7" s="743"/>
      <c r="FF7" s="743"/>
      <c r="FG7" s="743"/>
      <c r="FH7" s="743"/>
      <c r="FI7" s="743"/>
      <c r="FJ7" s="743"/>
      <c r="FK7" s="743"/>
      <c r="FL7" s="743"/>
      <c r="FM7" s="743"/>
      <c r="FN7" s="743"/>
      <c r="FO7" s="743"/>
      <c r="FP7" s="743"/>
      <c r="FQ7" s="743"/>
      <c r="FR7" s="743"/>
      <c r="FS7" s="743"/>
      <c r="FT7" s="743"/>
      <c r="FU7" s="743"/>
      <c r="FV7" s="743"/>
      <c r="FW7" s="743"/>
      <c r="FX7" s="743"/>
      <c r="FY7" s="743"/>
      <c r="FZ7" s="743"/>
      <c r="GA7" s="743"/>
      <c r="GB7" s="743"/>
      <c r="GC7" s="743"/>
      <c r="GD7" s="743"/>
      <c r="GE7" s="743"/>
      <c r="GF7" s="743"/>
      <c r="GG7" s="743"/>
      <c r="GH7" s="743"/>
      <c r="GI7" s="743"/>
      <c r="GJ7" s="743"/>
      <c r="GK7" s="743"/>
      <c r="GL7" s="743"/>
      <c r="GM7" s="743"/>
      <c r="GN7" s="743"/>
      <c r="GO7" s="743"/>
      <c r="GP7" s="743"/>
      <c r="GQ7" s="743"/>
      <c r="GR7" s="743"/>
      <c r="GS7" s="743"/>
      <c r="GT7" s="743"/>
      <c r="GU7" s="743"/>
      <c r="GV7" s="743"/>
      <c r="GW7" s="743"/>
      <c r="GX7" s="743"/>
      <c r="GY7" s="743"/>
      <c r="GZ7" s="743"/>
      <c r="HA7" s="743"/>
      <c r="HB7" s="743"/>
      <c r="HC7" s="743"/>
      <c r="HD7" s="743"/>
      <c r="HE7" s="743"/>
      <c r="HF7" s="743"/>
      <c r="HG7" s="743"/>
      <c r="HH7" s="743"/>
      <c r="HI7" s="743"/>
      <c r="HJ7" s="743"/>
      <c r="HK7" s="743"/>
      <c r="HL7" s="743"/>
      <c r="HM7" s="743"/>
      <c r="HN7" s="743"/>
      <c r="HO7" s="743"/>
      <c r="HP7" s="743"/>
      <c r="HQ7" s="743"/>
      <c r="HR7" s="743"/>
      <c r="HS7" s="743"/>
      <c r="HT7" s="743"/>
      <c r="HU7" s="743"/>
      <c r="HV7" s="743"/>
      <c r="HW7" s="743"/>
      <c r="HX7" s="743"/>
      <c r="HY7" s="743"/>
      <c r="HZ7" s="743"/>
      <c r="IA7" s="743"/>
      <c r="IB7" s="743"/>
      <c r="IC7" s="743"/>
      <c r="ID7" s="743"/>
      <c r="IE7" s="743"/>
      <c r="IF7" s="743"/>
      <c r="IG7" s="743"/>
      <c r="IH7" s="743"/>
      <c r="II7" s="743"/>
      <c r="IJ7" s="743"/>
      <c r="IK7" s="743"/>
      <c r="IL7" s="743"/>
      <c r="IM7" s="743"/>
      <c r="IN7" s="743"/>
    </row>
    <row r="8" spans="1:248" x14ac:dyDescent="0.3">
      <c r="A8" s="1136" t="str">
        <f>ID!B8</f>
        <v>Tanggal kalibrasi</v>
      </c>
      <c r="B8" s="1136"/>
      <c r="C8" s="1136"/>
      <c r="D8" s="375"/>
      <c r="E8" s="375" t="s">
        <v>7</v>
      </c>
      <c r="F8" s="1236">
        <f>ID!E8</f>
        <v>44564</v>
      </c>
      <c r="G8" s="377"/>
      <c r="H8" s="377"/>
      <c r="I8" s="377"/>
      <c r="J8" s="376"/>
      <c r="K8" s="376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3"/>
      <c r="AD8" s="743"/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3"/>
      <c r="BB8" s="743"/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3"/>
      <c r="BZ8" s="743"/>
      <c r="CA8" s="743"/>
      <c r="CB8" s="743"/>
      <c r="CC8" s="743"/>
      <c r="CD8" s="743"/>
      <c r="CE8" s="743"/>
      <c r="CF8" s="743"/>
      <c r="CG8" s="743"/>
      <c r="CH8" s="743"/>
      <c r="CI8" s="743"/>
      <c r="CJ8" s="743"/>
      <c r="CK8" s="743"/>
      <c r="CL8" s="743"/>
      <c r="CM8" s="743"/>
      <c r="CN8" s="743"/>
      <c r="CO8" s="743"/>
      <c r="CP8" s="743"/>
      <c r="CQ8" s="743"/>
      <c r="CR8" s="743"/>
      <c r="CS8" s="743"/>
      <c r="CT8" s="743"/>
      <c r="CU8" s="743"/>
      <c r="CV8" s="743"/>
      <c r="CW8" s="743"/>
      <c r="CX8" s="743"/>
      <c r="CY8" s="743"/>
      <c r="CZ8" s="743"/>
      <c r="DA8" s="743"/>
      <c r="DB8" s="743"/>
      <c r="DC8" s="743"/>
      <c r="DD8" s="743"/>
      <c r="DE8" s="743"/>
      <c r="DF8" s="743"/>
      <c r="DG8" s="743"/>
      <c r="DH8" s="743"/>
      <c r="DI8" s="743"/>
      <c r="DJ8" s="743"/>
      <c r="DK8" s="743"/>
      <c r="DL8" s="743"/>
      <c r="DM8" s="743"/>
      <c r="DN8" s="743"/>
      <c r="DO8" s="743"/>
      <c r="DP8" s="743"/>
      <c r="DQ8" s="743"/>
      <c r="DR8" s="743"/>
      <c r="DS8" s="743"/>
      <c r="DT8" s="743"/>
      <c r="DU8" s="743"/>
      <c r="DV8" s="743"/>
      <c r="DW8" s="743"/>
      <c r="DX8" s="743"/>
      <c r="DY8" s="743"/>
      <c r="DZ8" s="743"/>
      <c r="EA8" s="743"/>
      <c r="EB8" s="743"/>
      <c r="EC8" s="743"/>
      <c r="ED8" s="743"/>
      <c r="EE8" s="743"/>
      <c r="EF8" s="743"/>
      <c r="EG8" s="743"/>
      <c r="EH8" s="743"/>
      <c r="EI8" s="743"/>
      <c r="EJ8" s="743"/>
      <c r="EK8" s="743"/>
      <c r="EL8" s="743"/>
      <c r="EM8" s="743"/>
      <c r="EN8" s="743"/>
      <c r="EO8" s="743"/>
      <c r="EP8" s="743"/>
      <c r="EQ8" s="743"/>
      <c r="ER8" s="743"/>
      <c r="ES8" s="743"/>
      <c r="ET8" s="743"/>
      <c r="EU8" s="743"/>
      <c r="EV8" s="743"/>
      <c r="EW8" s="743"/>
      <c r="EX8" s="743"/>
      <c r="EY8" s="743"/>
      <c r="EZ8" s="743"/>
      <c r="FA8" s="743"/>
      <c r="FB8" s="743"/>
      <c r="FC8" s="743"/>
      <c r="FD8" s="743"/>
      <c r="FE8" s="743"/>
      <c r="FF8" s="743"/>
      <c r="FG8" s="743"/>
      <c r="FH8" s="743"/>
      <c r="FI8" s="743"/>
      <c r="FJ8" s="743"/>
      <c r="FK8" s="743"/>
      <c r="FL8" s="743"/>
      <c r="FM8" s="743"/>
      <c r="FN8" s="743"/>
      <c r="FO8" s="743"/>
      <c r="FP8" s="743"/>
      <c r="FQ8" s="743"/>
      <c r="FR8" s="743"/>
      <c r="FS8" s="743"/>
      <c r="FT8" s="743"/>
      <c r="FU8" s="743"/>
      <c r="FV8" s="743"/>
      <c r="FW8" s="743"/>
      <c r="FX8" s="743"/>
      <c r="FY8" s="743"/>
      <c r="FZ8" s="743"/>
      <c r="GA8" s="743"/>
      <c r="GB8" s="743"/>
      <c r="GC8" s="743"/>
      <c r="GD8" s="743"/>
      <c r="GE8" s="743"/>
      <c r="GF8" s="743"/>
      <c r="GG8" s="743"/>
      <c r="GH8" s="743"/>
      <c r="GI8" s="743"/>
      <c r="GJ8" s="743"/>
      <c r="GK8" s="743"/>
      <c r="GL8" s="743"/>
      <c r="GM8" s="743"/>
      <c r="GN8" s="743"/>
      <c r="GO8" s="743"/>
      <c r="GP8" s="743"/>
      <c r="GQ8" s="743"/>
      <c r="GR8" s="743"/>
      <c r="GS8" s="743"/>
      <c r="GT8" s="743"/>
      <c r="GU8" s="743"/>
      <c r="GV8" s="743"/>
      <c r="GW8" s="743"/>
      <c r="GX8" s="743"/>
      <c r="GY8" s="743"/>
      <c r="GZ8" s="743"/>
      <c r="HA8" s="743"/>
      <c r="HB8" s="743"/>
      <c r="HC8" s="743"/>
      <c r="HD8" s="743"/>
      <c r="HE8" s="743"/>
      <c r="HF8" s="743"/>
      <c r="HG8" s="743"/>
      <c r="HH8" s="743"/>
      <c r="HI8" s="743"/>
      <c r="HJ8" s="743"/>
      <c r="HK8" s="743"/>
      <c r="HL8" s="743"/>
      <c r="HM8" s="743"/>
      <c r="HN8" s="743"/>
      <c r="HO8" s="743"/>
      <c r="HP8" s="743"/>
      <c r="HQ8" s="743"/>
      <c r="HR8" s="743"/>
      <c r="HS8" s="743"/>
      <c r="HT8" s="743"/>
      <c r="HU8" s="743"/>
      <c r="HV8" s="743"/>
      <c r="HW8" s="743"/>
      <c r="HX8" s="743"/>
      <c r="HY8" s="743"/>
      <c r="HZ8" s="743"/>
      <c r="IA8" s="743"/>
      <c r="IB8" s="743"/>
      <c r="IC8" s="743"/>
      <c r="ID8" s="743"/>
      <c r="IE8" s="743"/>
      <c r="IF8" s="743"/>
      <c r="IG8" s="743"/>
      <c r="IH8" s="743"/>
      <c r="II8" s="743"/>
      <c r="IJ8" s="743"/>
      <c r="IK8" s="743"/>
      <c r="IL8" s="743"/>
      <c r="IM8" s="743"/>
      <c r="IN8" s="743"/>
    </row>
    <row r="9" spans="1:248" x14ac:dyDescent="0.3">
      <c r="A9" s="1455" t="str">
        <f>ID!B9</f>
        <v>Tempat kalibrasi</v>
      </c>
      <c r="B9" s="1455"/>
      <c r="C9" s="1455"/>
      <c r="D9" s="375" t="s">
        <v>7</v>
      </c>
      <c r="E9" s="375" t="s">
        <v>7</v>
      </c>
      <c r="F9" s="1136" t="str">
        <f>ID!E9</f>
        <v>-</v>
      </c>
      <c r="G9" s="377"/>
      <c r="H9" s="377"/>
      <c r="I9" s="377"/>
      <c r="J9" s="376"/>
      <c r="K9" s="376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743"/>
      <c r="AF9" s="743"/>
      <c r="AG9" s="743"/>
      <c r="AH9" s="743"/>
      <c r="AI9" s="743"/>
      <c r="AJ9" s="743"/>
      <c r="AK9" s="743"/>
      <c r="AL9" s="743"/>
      <c r="AM9" s="743"/>
      <c r="AN9" s="743"/>
      <c r="AO9" s="743"/>
      <c r="AP9" s="743"/>
      <c r="AQ9" s="743"/>
      <c r="AR9" s="743"/>
      <c r="AS9" s="743"/>
      <c r="AT9" s="743"/>
      <c r="AU9" s="743"/>
      <c r="AV9" s="743"/>
      <c r="AW9" s="743"/>
      <c r="AX9" s="743"/>
      <c r="AY9" s="743"/>
      <c r="AZ9" s="743"/>
      <c r="BA9" s="743"/>
      <c r="BB9" s="743"/>
      <c r="BC9" s="743"/>
      <c r="BD9" s="743"/>
      <c r="BE9" s="743"/>
      <c r="BF9" s="743"/>
      <c r="BG9" s="743"/>
      <c r="BH9" s="743"/>
      <c r="BI9" s="743"/>
      <c r="BJ9" s="743"/>
      <c r="BK9" s="743"/>
      <c r="BL9" s="743"/>
      <c r="BM9" s="743"/>
      <c r="BN9" s="743"/>
      <c r="BO9" s="743"/>
      <c r="BP9" s="743"/>
      <c r="BQ9" s="743"/>
      <c r="BR9" s="743"/>
      <c r="BS9" s="743"/>
      <c r="BT9" s="743"/>
      <c r="BU9" s="743"/>
      <c r="BV9" s="743"/>
      <c r="BW9" s="743"/>
      <c r="BX9" s="743"/>
      <c r="BY9" s="743"/>
      <c r="BZ9" s="743"/>
      <c r="CA9" s="743"/>
      <c r="CB9" s="743"/>
      <c r="CC9" s="743"/>
      <c r="CD9" s="743"/>
      <c r="CE9" s="743"/>
      <c r="CF9" s="743"/>
      <c r="CG9" s="743"/>
      <c r="CH9" s="743"/>
      <c r="CI9" s="743"/>
      <c r="CJ9" s="743"/>
      <c r="CK9" s="743"/>
      <c r="CL9" s="743"/>
      <c r="CM9" s="743"/>
      <c r="CN9" s="743"/>
      <c r="CO9" s="743"/>
      <c r="CP9" s="743"/>
      <c r="CQ9" s="743"/>
      <c r="CR9" s="743"/>
      <c r="CS9" s="743"/>
      <c r="CT9" s="743"/>
      <c r="CU9" s="743"/>
      <c r="CV9" s="743"/>
      <c r="CW9" s="743"/>
      <c r="CX9" s="743"/>
      <c r="CY9" s="743"/>
      <c r="CZ9" s="743"/>
      <c r="DA9" s="743"/>
      <c r="DB9" s="743"/>
      <c r="DC9" s="743"/>
      <c r="DD9" s="743"/>
      <c r="DE9" s="743"/>
      <c r="DF9" s="743"/>
      <c r="DG9" s="743"/>
      <c r="DH9" s="743"/>
      <c r="DI9" s="743"/>
      <c r="DJ9" s="743"/>
      <c r="DK9" s="743"/>
      <c r="DL9" s="743"/>
      <c r="DM9" s="743"/>
      <c r="DN9" s="743"/>
      <c r="DO9" s="743"/>
      <c r="DP9" s="743"/>
      <c r="DQ9" s="743"/>
      <c r="DR9" s="743"/>
      <c r="DS9" s="743"/>
      <c r="DT9" s="743"/>
      <c r="DU9" s="743"/>
      <c r="DV9" s="743"/>
      <c r="DW9" s="743"/>
      <c r="DX9" s="743"/>
      <c r="DY9" s="743"/>
      <c r="DZ9" s="743"/>
      <c r="EA9" s="743"/>
      <c r="EB9" s="743"/>
      <c r="EC9" s="743"/>
      <c r="ED9" s="743"/>
      <c r="EE9" s="743"/>
      <c r="EF9" s="743"/>
      <c r="EG9" s="743"/>
      <c r="EH9" s="743"/>
      <c r="EI9" s="743"/>
      <c r="EJ9" s="743"/>
      <c r="EK9" s="743"/>
      <c r="EL9" s="743"/>
      <c r="EM9" s="743"/>
      <c r="EN9" s="743"/>
      <c r="EO9" s="743"/>
      <c r="EP9" s="743"/>
      <c r="EQ9" s="743"/>
      <c r="ER9" s="743"/>
      <c r="ES9" s="743"/>
      <c r="ET9" s="743"/>
      <c r="EU9" s="743"/>
      <c r="EV9" s="743"/>
      <c r="EW9" s="743"/>
      <c r="EX9" s="743"/>
      <c r="EY9" s="743"/>
      <c r="EZ9" s="743"/>
      <c r="FA9" s="743"/>
      <c r="FB9" s="743"/>
      <c r="FC9" s="743"/>
      <c r="FD9" s="743"/>
      <c r="FE9" s="743"/>
      <c r="FF9" s="743"/>
      <c r="FG9" s="743"/>
      <c r="FH9" s="743"/>
      <c r="FI9" s="743"/>
      <c r="FJ9" s="743"/>
      <c r="FK9" s="743"/>
      <c r="FL9" s="743"/>
      <c r="FM9" s="743"/>
      <c r="FN9" s="743"/>
      <c r="FO9" s="743"/>
      <c r="FP9" s="743"/>
      <c r="FQ9" s="743"/>
      <c r="FR9" s="743"/>
      <c r="FS9" s="743"/>
      <c r="FT9" s="743"/>
      <c r="FU9" s="743"/>
      <c r="FV9" s="743"/>
      <c r="FW9" s="743"/>
      <c r="FX9" s="743"/>
      <c r="FY9" s="743"/>
      <c r="FZ9" s="743"/>
      <c r="GA9" s="743"/>
      <c r="GB9" s="743"/>
      <c r="GC9" s="743"/>
      <c r="GD9" s="743"/>
      <c r="GE9" s="743"/>
      <c r="GF9" s="743"/>
      <c r="GG9" s="743"/>
      <c r="GH9" s="743"/>
      <c r="GI9" s="743"/>
      <c r="GJ9" s="743"/>
      <c r="GK9" s="743"/>
      <c r="GL9" s="743"/>
      <c r="GM9" s="743"/>
      <c r="GN9" s="743"/>
      <c r="GO9" s="743"/>
      <c r="GP9" s="743"/>
      <c r="GQ9" s="743"/>
      <c r="GR9" s="743"/>
      <c r="GS9" s="743"/>
      <c r="GT9" s="743"/>
      <c r="GU9" s="743"/>
      <c r="GV9" s="743"/>
      <c r="GW9" s="743"/>
      <c r="GX9" s="743"/>
      <c r="GY9" s="743"/>
      <c r="GZ9" s="743"/>
      <c r="HA9" s="743"/>
      <c r="HB9" s="743"/>
      <c r="HC9" s="743"/>
      <c r="HD9" s="743"/>
      <c r="HE9" s="743"/>
      <c r="HF9" s="743"/>
      <c r="HG9" s="743"/>
      <c r="HH9" s="743"/>
      <c r="HI9" s="743"/>
      <c r="HJ9" s="743"/>
      <c r="HK9" s="743"/>
      <c r="HL9" s="743"/>
      <c r="HM9" s="743"/>
      <c r="HN9" s="743"/>
      <c r="HO9" s="743"/>
      <c r="HP9" s="743"/>
      <c r="HQ9" s="743"/>
      <c r="HR9" s="743"/>
      <c r="HS9" s="743"/>
      <c r="HT9" s="743"/>
      <c r="HU9" s="743"/>
      <c r="HV9" s="743"/>
      <c r="HW9" s="743"/>
      <c r="HX9" s="743"/>
      <c r="HY9" s="743"/>
      <c r="HZ9" s="743"/>
      <c r="IA9" s="743"/>
      <c r="IB9" s="743"/>
      <c r="IC9" s="743"/>
      <c r="ID9" s="743"/>
      <c r="IE9" s="743"/>
      <c r="IF9" s="743"/>
      <c r="IG9" s="743"/>
      <c r="IH9" s="743"/>
      <c r="II9" s="743"/>
      <c r="IJ9" s="743"/>
      <c r="IK9" s="743"/>
      <c r="IL9" s="743"/>
      <c r="IM9" s="743"/>
      <c r="IN9" s="743"/>
    </row>
    <row r="10" spans="1:248" x14ac:dyDescent="0.3">
      <c r="A10" s="1136" t="str">
        <f>ID!B10</f>
        <v>Nama ruang</v>
      </c>
      <c r="B10" s="1136"/>
      <c r="C10" s="1136"/>
      <c r="D10" s="375"/>
      <c r="E10" s="375" t="s">
        <v>7</v>
      </c>
      <c r="F10" s="1136" t="str">
        <f>ID!E10</f>
        <v>-</v>
      </c>
      <c r="G10" s="377"/>
      <c r="H10" s="377"/>
      <c r="I10" s="377"/>
      <c r="J10" s="376"/>
      <c r="K10" s="376"/>
      <c r="L10" s="743"/>
      <c r="M10" s="743"/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3"/>
      <c r="AD10" s="743"/>
      <c r="AE10" s="743"/>
      <c r="AF10" s="743"/>
      <c r="AG10" s="743"/>
      <c r="AH10" s="743"/>
      <c r="AI10" s="743"/>
      <c r="AJ10" s="743"/>
      <c r="AK10" s="743"/>
      <c r="AL10" s="743"/>
      <c r="AM10" s="743"/>
      <c r="AN10" s="743"/>
      <c r="AO10" s="743"/>
      <c r="AP10" s="743"/>
      <c r="AQ10" s="743"/>
      <c r="AR10" s="743"/>
      <c r="AS10" s="743"/>
      <c r="AT10" s="743"/>
      <c r="AU10" s="743"/>
      <c r="AV10" s="743"/>
      <c r="AW10" s="743"/>
      <c r="AX10" s="743"/>
      <c r="AY10" s="743"/>
      <c r="AZ10" s="743"/>
      <c r="BA10" s="743"/>
      <c r="BB10" s="743"/>
      <c r="BC10" s="743"/>
      <c r="BD10" s="743"/>
      <c r="BE10" s="743"/>
      <c r="BF10" s="743"/>
      <c r="BG10" s="743"/>
      <c r="BH10" s="743"/>
      <c r="BI10" s="743"/>
      <c r="BJ10" s="743"/>
      <c r="BK10" s="743"/>
      <c r="BL10" s="743"/>
      <c r="BM10" s="743"/>
      <c r="BN10" s="743"/>
      <c r="BO10" s="743"/>
      <c r="BP10" s="743"/>
      <c r="BQ10" s="743"/>
      <c r="BR10" s="743"/>
      <c r="BS10" s="743"/>
      <c r="BT10" s="743"/>
      <c r="BU10" s="743"/>
      <c r="BV10" s="743"/>
      <c r="BW10" s="743"/>
      <c r="BX10" s="743"/>
      <c r="BY10" s="743"/>
      <c r="BZ10" s="743"/>
      <c r="CA10" s="743"/>
      <c r="CB10" s="743"/>
      <c r="CC10" s="743"/>
      <c r="CD10" s="743"/>
      <c r="CE10" s="743"/>
      <c r="CF10" s="743"/>
      <c r="CG10" s="743"/>
      <c r="CH10" s="743"/>
      <c r="CI10" s="743"/>
      <c r="CJ10" s="743"/>
      <c r="CK10" s="743"/>
      <c r="CL10" s="743"/>
      <c r="CM10" s="743"/>
      <c r="CN10" s="743"/>
      <c r="CO10" s="743"/>
      <c r="CP10" s="743"/>
      <c r="CQ10" s="743"/>
      <c r="CR10" s="743"/>
      <c r="CS10" s="743"/>
      <c r="CT10" s="743"/>
      <c r="CU10" s="743"/>
      <c r="CV10" s="743"/>
      <c r="CW10" s="743"/>
      <c r="CX10" s="743"/>
      <c r="CY10" s="743"/>
      <c r="CZ10" s="743"/>
      <c r="DA10" s="743"/>
      <c r="DB10" s="743"/>
      <c r="DC10" s="743"/>
      <c r="DD10" s="743"/>
      <c r="DE10" s="743"/>
      <c r="DF10" s="743"/>
      <c r="DG10" s="743"/>
      <c r="DH10" s="743"/>
      <c r="DI10" s="743"/>
      <c r="DJ10" s="743"/>
      <c r="DK10" s="743"/>
      <c r="DL10" s="743"/>
      <c r="DM10" s="743"/>
      <c r="DN10" s="743"/>
      <c r="DO10" s="743"/>
      <c r="DP10" s="743"/>
      <c r="DQ10" s="743"/>
      <c r="DR10" s="743"/>
      <c r="DS10" s="743"/>
      <c r="DT10" s="743"/>
      <c r="DU10" s="743"/>
      <c r="DV10" s="743"/>
      <c r="DW10" s="743"/>
      <c r="DX10" s="743"/>
      <c r="DY10" s="743"/>
      <c r="DZ10" s="743"/>
      <c r="EA10" s="743"/>
      <c r="EB10" s="743"/>
      <c r="EC10" s="743"/>
      <c r="ED10" s="743"/>
      <c r="EE10" s="743"/>
      <c r="EF10" s="743"/>
      <c r="EG10" s="743"/>
      <c r="EH10" s="743"/>
      <c r="EI10" s="743"/>
      <c r="EJ10" s="743"/>
      <c r="EK10" s="743"/>
      <c r="EL10" s="743"/>
      <c r="EM10" s="743"/>
      <c r="EN10" s="743"/>
      <c r="EO10" s="743"/>
      <c r="EP10" s="743"/>
      <c r="EQ10" s="743"/>
      <c r="ER10" s="743"/>
      <c r="ES10" s="743"/>
      <c r="ET10" s="743"/>
      <c r="EU10" s="743"/>
      <c r="EV10" s="743"/>
      <c r="EW10" s="743"/>
      <c r="EX10" s="743"/>
      <c r="EY10" s="743"/>
      <c r="EZ10" s="743"/>
      <c r="FA10" s="743"/>
      <c r="FB10" s="743"/>
      <c r="FC10" s="743"/>
      <c r="FD10" s="743"/>
      <c r="FE10" s="743"/>
      <c r="FF10" s="743"/>
      <c r="FG10" s="743"/>
      <c r="FH10" s="743"/>
      <c r="FI10" s="743"/>
      <c r="FJ10" s="743"/>
      <c r="FK10" s="743"/>
      <c r="FL10" s="743"/>
      <c r="FM10" s="743"/>
      <c r="FN10" s="743"/>
      <c r="FO10" s="743"/>
      <c r="FP10" s="743"/>
      <c r="FQ10" s="743"/>
      <c r="FR10" s="743"/>
      <c r="FS10" s="743"/>
      <c r="FT10" s="743"/>
      <c r="FU10" s="743"/>
      <c r="FV10" s="743"/>
      <c r="FW10" s="743"/>
      <c r="FX10" s="743"/>
      <c r="FY10" s="743"/>
      <c r="FZ10" s="743"/>
      <c r="GA10" s="743"/>
      <c r="GB10" s="743"/>
      <c r="GC10" s="743"/>
      <c r="GD10" s="743"/>
      <c r="GE10" s="743"/>
      <c r="GF10" s="743"/>
      <c r="GG10" s="743"/>
      <c r="GH10" s="743"/>
      <c r="GI10" s="743"/>
      <c r="GJ10" s="743"/>
      <c r="GK10" s="743"/>
      <c r="GL10" s="743"/>
      <c r="GM10" s="743"/>
      <c r="GN10" s="743"/>
      <c r="GO10" s="743"/>
      <c r="GP10" s="743"/>
      <c r="GQ10" s="743"/>
      <c r="GR10" s="743"/>
      <c r="GS10" s="743"/>
      <c r="GT10" s="743"/>
      <c r="GU10" s="743"/>
      <c r="GV10" s="743"/>
      <c r="GW10" s="743"/>
      <c r="GX10" s="743"/>
      <c r="GY10" s="743"/>
      <c r="GZ10" s="743"/>
      <c r="HA10" s="743"/>
      <c r="HB10" s="743"/>
      <c r="HC10" s="743"/>
      <c r="HD10" s="743"/>
      <c r="HE10" s="743"/>
      <c r="HF10" s="743"/>
      <c r="HG10" s="743"/>
      <c r="HH10" s="743"/>
      <c r="HI10" s="743"/>
      <c r="HJ10" s="743"/>
      <c r="HK10" s="743"/>
      <c r="HL10" s="743"/>
      <c r="HM10" s="743"/>
      <c r="HN10" s="743"/>
      <c r="HO10" s="743"/>
      <c r="HP10" s="743"/>
      <c r="HQ10" s="743"/>
      <c r="HR10" s="743"/>
      <c r="HS10" s="743"/>
      <c r="HT10" s="743"/>
      <c r="HU10" s="743"/>
      <c r="HV10" s="743"/>
      <c r="HW10" s="743"/>
      <c r="HX10" s="743"/>
      <c r="HY10" s="743"/>
      <c r="HZ10" s="743"/>
      <c r="IA10" s="743"/>
      <c r="IB10" s="743"/>
      <c r="IC10" s="743"/>
      <c r="ID10" s="743"/>
      <c r="IE10" s="743"/>
      <c r="IF10" s="743"/>
      <c r="IG10" s="743"/>
      <c r="IH10" s="743"/>
      <c r="II10" s="743"/>
      <c r="IJ10" s="743"/>
      <c r="IK10" s="743"/>
      <c r="IL10" s="743"/>
      <c r="IM10" s="743"/>
      <c r="IN10" s="743"/>
    </row>
    <row r="11" spans="1:248" x14ac:dyDescent="0.3">
      <c r="A11" s="1136" t="str">
        <f>ID!B17</f>
        <v>Metode kerja</v>
      </c>
      <c r="B11" s="1136"/>
      <c r="C11" s="1136"/>
      <c r="D11" s="375"/>
      <c r="E11" s="375" t="s">
        <v>7</v>
      </c>
      <c r="F11" s="1136" t="str">
        <f>ID!E17</f>
        <v>MK 014-18</v>
      </c>
      <c r="G11" s="377"/>
      <c r="H11" s="377"/>
      <c r="I11" s="377"/>
      <c r="J11" s="376"/>
      <c r="K11" s="376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  <c r="DD11" s="743"/>
      <c r="DE11" s="743"/>
      <c r="DF11" s="743"/>
      <c r="DG11" s="743"/>
      <c r="DH11" s="743"/>
      <c r="DI11" s="743"/>
      <c r="DJ11" s="743"/>
      <c r="DK11" s="743"/>
      <c r="DL11" s="743"/>
      <c r="DM11" s="743"/>
      <c r="DN11" s="743"/>
      <c r="DO11" s="743"/>
      <c r="DP11" s="743"/>
      <c r="DQ11" s="743"/>
      <c r="DR11" s="743"/>
      <c r="DS11" s="743"/>
      <c r="DT11" s="743"/>
      <c r="DU11" s="743"/>
      <c r="DV11" s="743"/>
      <c r="DW11" s="743"/>
      <c r="DX11" s="743"/>
      <c r="DY11" s="743"/>
      <c r="DZ11" s="743"/>
      <c r="EA11" s="743"/>
      <c r="EB11" s="743"/>
      <c r="EC11" s="743"/>
      <c r="ED11" s="743"/>
      <c r="EE11" s="743"/>
      <c r="EF11" s="743"/>
      <c r="EG11" s="743"/>
      <c r="EH11" s="743"/>
      <c r="EI11" s="743"/>
      <c r="EJ11" s="743"/>
      <c r="EK11" s="743"/>
      <c r="EL11" s="743"/>
      <c r="EM11" s="743"/>
      <c r="EN11" s="743"/>
      <c r="EO11" s="743"/>
      <c r="EP11" s="743"/>
      <c r="EQ11" s="743"/>
      <c r="ER11" s="743"/>
      <c r="ES11" s="743"/>
      <c r="ET11" s="743"/>
      <c r="EU11" s="743"/>
      <c r="EV11" s="743"/>
      <c r="EW11" s="743"/>
      <c r="EX11" s="743"/>
      <c r="EY11" s="743"/>
      <c r="EZ11" s="743"/>
      <c r="FA11" s="743"/>
      <c r="FB11" s="743"/>
      <c r="FC11" s="743"/>
      <c r="FD11" s="743"/>
      <c r="FE11" s="743"/>
      <c r="FF11" s="743"/>
      <c r="FG11" s="743"/>
      <c r="FH11" s="743"/>
      <c r="FI11" s="743"/>
      <c r="FJ11" s="743"/>
      <c r="FK11" s="743"/>
      <c r="FL11" s="743"/>
      <c r="FM11" s="743"/>
      <c r="FN11" s="743"/>
      <c r="FO11" s="743"/>
      <c r="FP11" s="743"/>
      <c r="FQ11" s="743"/>
      <c r="FR11" s="743"/>
      <c r="FS11" s="743"/>
      <c r="FT11" s="743"/>
      <c r="FU11" s="743"/>
      <c r="FV11" s="743"/>
      <c r="FW11" s="743"/>
      <c r="FX11" s="743"/>
      <c r="FY11" s="743"/>
      <c r="FZ11" s="743"/>
      <c r="GA11" s="743"/>
      <c r="GB11" s="743"/>
      <c r="GC11" s="743"/>
      <c r="GD11" s="743"/>
      <c r="GE11" s="743"/>
      <c r="GF11" s="743"/>
      <c r="GG11" s="743"/>
      <c r="GH11" s="743"/>
      <c r="GI11" s="743"/>
      <c r="GJ11" s="743"/>
      <c r="GK11" s="743"/>
      <c r="GL11" s="743"/>
      <c r="GM11" s="743"/>
      <c r="GN11" s="743"/>
      <c r="GO11" s="743"/>
      <c r="GP11" s="743"/>
      <c r="GQ11" s="743"/>
      <c r="GR11" s="743"/>
      <c r="GS11" s="743"/>
      <c r="GT11" s="743"/>
      <c r="GU11" s="743"/>
      <c r="GV11" s="743"/>
      <c r="GW11" s="743"/>
      <c r="GX11" s="743"/>
      <c r="GY11" s="743"/>
      <c r="GZ11" s="743"/>
      <c r="HA11" s="743"/>
      <c r="HB11" s="743"/>
      <c r="HC11" s="743"/>
      <c r="HD11" s="743"/>
      <c r="HE11" s="743"/>
      <c r="HF11" s="743"/>
      <c r="HG11" s="743"/>
      <c r="HH11" s="743"/>
      <c r="HI11" s="743"/>
      <c r="HJ11" s="743"/>
      <c r="HK11" s="743"/>
      <c r="HL11" s="743"/>
      <c r="HM11" s="743"/>
      <c r="HN11" s="743"/>
      <c r="HO11" s="743"/>
      <c r="HP11" s="743"/>
      <c r="HQ11" s="743"/>
      <c r="HR11" s="743"/>
      <c r="HS11" s="743"/>
      <c r="HT11" s="743"/>
      <c r="HU11" s="743"/>
      <c r="HV11" s="743"/>
      <c r="HW11" s="743"/>
      <c r="HX11" s="743"/>
      <c r="HY11" s="743"/>
      <c r="HZ11" s="743"/>
      <c r="IA11" s="743"/>
      <c r="IB11" s="743"/>
      <c r="IC11" s="743"/>
      <c r="ID11" s="743"/>
      <c r="IE11" s="743"/>
      <c r="IF11" s="743"/>
      <c r="IG11" s="743"/>
      <c r="IH11" s="743"/>
      <c r="II11" s="743"/>
      <c r="IJ11" s="743"/>
      <c r="IK11" s="743"/>
      <c r="IL11" s="743"/>
      <c r="IM11" s="743"/>
      <c r="IN11" s="743"/>
    </row>
    <row r="12" spans="1:248" ht="5.25" customHeight="1" x14ac:dyDescent="0.3">
      <c r="A12" s="745"/>
      <c r="B12" s="745"/>
      <c r="C12" s="745"/>
      <c r="D12" s="393"/>
      <c r="E12" s="393"/>
      <c r="F12" s="746"/>
      <c r="G12" s="747"/>
      <c r="H12" s="747"/>
      <c r="I12" s="747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  <c r="U12" s="743"/>
      <c r="V12" s="743"/>
      <c r="W12" s="743"/>
      <c r="X12" s="743"/>
      <c r="Y12" s="743"/>
      <c r="Z12" s="743"/>
      <c r="AA12" s="743"/>
      <c r="AB12" s="743"/>
      <c r="AC12" s="743"/>
      <c r="AD12" s="743"/>
      <c r="AE12" s="743"/>
      <c r="AF12" s="743"/>
      <c r="AG12" s="743"/>
      <c r="AH12" s="743"/>
      <c r="AI12" s="743"/>
      <c r="AJ12" s="743"/>
      <c r="AK12" s="743"/>
      <c r="AL12" s="743"/>
      <c r="AM12" s="743"/>
      <c r="AN12" s="743"/>
      <c r="AO12" s="743"/>
      <c r="AP12" s="743"/>
      <c r="AQ12" s="743"/>
      <c r="AR12" s="743"/>
      <c r="AS12" s="743"/>
      <c r="AT12" s="743"/>
      <c r="AU12" s="743"/>
      <c r="AV12" s="743"/>
      <c r="AW12" s="743"/>
      <c r="AX12" s="743"/>
      <c r="AY12" s="743"/>
      <c r="AZ12" s="743"/>
      <c r="BA12" s="743"/>
      <c r="BB12" s="743"/>
      <c r="BC12" s="743"/>
      <c r="BD12" s="743"/>
      <c r="BE12" s="743"/>
      <c r="BF12" s="743"/>
      <c r="BG12" s="743"/>
      <c r="BH12" s="743"/>
      <c r="BI12" s="743"/>
      <c r="BJ12" s="743"/>
      <c r="BK12" s="743"/>
      <c r="BL12" s="743"/>
      <c r="BM12" s="743"/>
      <c r="BN12" s="743"/>
      <c r="BO12" s="743"/>
      <c r="BP12" s="743"/>
      <c r="BQ12" s="743"/>
      <c r="BR12" s="743"/>
      <c r="BS12" s="743"/>
      <c r="BT12" s="743"/>
      <c r="BU12" s="743"/>
      <c r="BV12" s="743"/>
      <c r="BW12" s="743"/>
      <c r="BX12" s="743"/>
      <c r="BY12" s="743"/>
      <c r="BZ12" s="743"/>
      <c r="CA12" s="743"/>
      <c r="CB12" s="743"/>
      <c r="CC12" s="743"/>
      <c r="CD12" s="743"/>
      <c r="CE12" s="743"/>
      <c r="CF12" s="743"/>
      <c r="CG12" s="743"/>
      <c r="CH12" s="743"/>
      <c r="CI12" s="743"/>
      <c r="CJ12" s="743"/>
      <c r="CK12" s="743"/>
      <c r="CL12" s="743"/>
      <c r="CM12" s="743"/>
      <c r="CN12" s="743"/>
      <c r="CO12" s="743"/>
      <c r="CP12" s="743"/>
      <c r="CQ12" s="743"/>
      <c r="CR12" s="743"/>
      <c r="CS12" s="743"/>
      <c r="CT12" s="743"/>
      <c r="CU12" s="743"/>
      <c r="CV12" s="743"/>
      <c r="CW12" s="743"/>
      <c r="CX12" s="743"/>
      <c r="CY12" s="743"/>
      <c r="CZ12" s="743"/>
      <c r="DA12" s="743"/>
      <c r="DB12" s="743"/>
      <c r="DC12" s="743"/>
      <c r="DD12" s="743"/>
      <c r="DE12" s="743"/>
      <c r="DF12" s="743"/>
      <c r="DG12" s="743"/>
      <c r="DH12" s="743"/>
      <c r="DI12" s="743"/>
      <c r="DJ12" s="743"/>
      <c r="DK12" s="743"/>
      <c r="DL12" s="743"/>
      <c r="DM12" s="743"/>
      <c r="DN12" s="743"/>
      <c r="DO12" s="743"/>
      <c r="DP12" s="743"/>
      <c r="DQ12" s="743"/>
      <c r="DR12" s="743"/>
      <c r="DS12" s="743"/>
      <c r="DT12" s="743"/>
      <c r="DU12" s="743"/>
      <c r="DV12" s="743"/>
      <c r="DW12" s="743"/>
      <c r="DX12" s="743"/>
      <c r="DY12" s="743"/>
      <c r="DZ12" s="743"/>
      <c r="EA12" s="743"/>
      <c r="EB12" s="743"/>
      <c r="EC12" s="743"/>
      <c r="ED12" s="743"/>
      <c r="EE12" s="743"/>
      <c r="EF12" s="743"/>
      <c r="EG12" s="743"/>
      <c r="EH12" s="743"/>
      <c r="EI12" s="743"/>
      <c r="EJ12" s="743"/>
      <c r="EK12" s="743"/>
      <c r="EL12" s="743"/>
      <c r="EM12" s="743"/>
      <c r="EN12" s="743"/>
      <c r="EO12" s="743"/>
      <c r="EP12" s="743"/>
      <c r="EQ12" s="743"/>
      <c r="ER12" s="743"/>
      <c r="ES12" s="743"/>
      <c r="ET12" s="743"/>
      <c r="EU12" s="743"/>
      <c r="EV12" s="743"/>
      <c r="EW12" s="743"/>
      <c r="EX12" s="743"/>
      <c r="EY12" s="743"/>
      <c r="EZ12" s="743"/>
      <c r="FA12" s="743"/>
      <c r="FB12" s="743"/>
      <c r="FC12" s="743"/>
      <c r="FD12" s="743"/>
      <c r="FE12" s="743"/>
      <c r="FF12" s="743"/>
      <c r="FG12" s="743"/>
      <c r="FH12" s="743"/>
      <c r="FI12" s="743"/>
      <c r="FJ12" s="743"/>
      <c r="FK12" s="743"/>
      <c r="FL12" s="743"/>
      <c r="FM12" s="743"/>
      <c r="FN12" s="743"/>
      <c r="FO12" s="743"/>
      <c r="FP12" s="743"/>
      <c r="FQ12" s="743"/>
      <c r="FR12" s="743"/>
      <c r="FS12" s="743"/>
      <c r="FT12" s="743"/>
      <c r="FU12" s="743"/>
      <c r="FV12" s="743"/>
      <c r="FW12" s="743"/>
      <c r="FX12" s="743"/>
      <c r="FY12" s="743"/>
      <c r="FZ12" s="743"/>
      <c r="GA12" s="743"/>
      <c r="GB12" s="743"/>
      <c r="GC12" s="743"/>
      <c r="GD12" s="743"/>
      <c r="GE12" s="743"/>
      <c r="GF12" s="743"/>
      <c r="GG12" s="743"/>
      <c r="GH12" s="743"/>
      <c r="GI12" s="743"/>
      <c r="GJ12" s="743"/>
      <c r="GK12" s="743"/>
      <c r="GL12" s="743"/>
      <c r="GM12" s="743"/>
      <c r="GN12" s="743"/>
      <c r="GO12" s="743"/>
      <c r="GP12" s="743"/>
      <c r="GQ12" s="743"/>
      <c r="GR12" s="743"/>
      <c r="GS12" s="743"/>
      <c r="GT12" s="743"/>
      <c r="GU12" s="743"/>
      <c r="GV12" s="743"/>
      <c r="GW12" s="743"/>
      <c r="GX12" s="743"/>
      <c r="GY12" s="743"/>
      <c r="GZ12" s="743"/>
      <c r="HA12" s="743"/>
      <c r="HB12" s="743"/>
      <c r="HC12" s="743"/>
      <c r="HD12" s="743"/>
      <c r="HE12" s="743"/>
      <c r="HF12" s="743"/>
      <c r="HG12" s="743"/>
      <c r="HH12" s="743"/>
      <c r="HI12" s="743"/>
      <c r="HJ12" s="743"/>
      <c r="HK12" s="743"/>
      <c r="HL12" s="743"/>
      <c r="HM12" s="743"/>
      <c r="HN12" s="743"/>
      <c r="HO12" s="743"/>
      <c r="HP12" s="743"/>
      <c r="HQ12" s="743"/>
      <c r="HR12" s="743"/>
      <c r="HS12" s="743"/>
      <c r="HT12" s="743"/>
      <c r="HU12" s="743"/>
      <c r="HV12" s="743"/>
      <c r="HW12" s="743"/>
      <c r="HX12" s="743"/>
      <c r="HY12" s="743"/>
      <c r="HZ12" s="743"/>
      <c r="IA12" s="743"/>
      <c r="IB12" s="743"/>
      <c r="IC12" s="743"/>
      <c r="ID12" s="743"/>
      <c r="IE12" s="743"/>
      <c r="IF12" s="743"/>
      <c r="IG12" s="743"/>
      <c r="IH12" s="743"/>
      <c r="II12" s="743"/>
      <c r="IJ12" s="743"/>
      <c r="IK12" s="743"/>
      <c r="IL12" s="743"/>
      <c r="IM12" s="743"/>
      <c r="IN12" s="743"/>
    </row>
    <row r="13" spans="1:248" x14ac:dyDescent="0.3">
      <c r="A13" s="1135" t="s">
        <v>229</v>
      </c>
      <c r="B13" s="1457" t="s">
        <v>230</v>
      </c>
      <c r="C13" s="1457"/>
      <c r="D13" s="1457"/>
      <c r="E13" s="1457"/>
      <c r="F13" s="1457"/>
      <c r="G13" s="1457"/>
      <c r="H13" s="393"/>
      <c r="I13" s="393"/>
      <c r="J13" s="743"/>
      <c r="K13" s="743"/>
      <c r="L13" s="743"/>
      <c r="M13" s="743"/>
      <c r="N13" s="743"/>
      <c r="O13" s="743"/>
      <c r="P13" s="743"/>
      <c r="Q13" s="743"/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43"/>
      <c r="AS13" s="743"/>
      <c r="AT13" s="743"/>
      <c r="AU13" s="743"/>
      <c r="AV13" s="743"/>
      <c r="AW13" s="743"/>
      <c r="AX13" s="743"/>
      <c r="AY13" s="743"/>
      <c r="AZ13" s="743"/>
      <c r="BA13" s="743"/>
      <c r="BB13" s="743"/>
      <c r="BC13" s="743"/>
      <c r="BD13" s="743"/>
      <c r="BE13" s="743"/>
      <c r="BF13" s="743"/>
      <c r="BG13" s="743"/>
      <c r="BH13" s="743"/>
      <c r="BI13" s="743"/>
      <c r="BJ13" s="743"/>
      <c r="BK13" s="743"/>
      <c r="BL13" s="743"/>
      <c r="BM13" s="743"/>
      <c r="BN13" s="743"/>
      <c r="BO13" s="743"/>
      <c r="BP13" s="743"/>
      <c r="BQ13" s="743"/>
      <c r="BR13" s="743"/>
      <c r="BS13" s="743"/>
      <c r="BT13" s="743"/>
      <c r="BU13" s="743"/>
      <c r="BV13" s="743"/>
      <c r="BW13" s="743"/>
      <c r="BX13" s="743"/>
      <c r="BY13" s="743"/>
      <c r="BZ13" s="743"/>
      <c r="CA13" s="743"/>
      <c r="CB13" s="743"/>
      <c r="CC13" s="743"/>
      <c r="CD13" s="743"/>
      <c r="CE13" s="743"/>
      <c r="CF13" s="743"/>
      <c r="CG13" s="743"/>
      <c r="CH13" s="743"/>
      <c r="CI13" s="743"/>
      <c r="CJ13" s="743"/>
      <c r="CK13" s="743"/>
      <c r="CL13" s="743"/>
      <c r="CM13" s="743"/>
      <c r="CN13" s="743"/>
      <c r="CO13" s="743"/>
      <c r="CP13" s="743"/>
      <c r="CQ13" s="743"/>
      <c r="CR13" s="743"/>
      <c r="CS13" s="743"/>
      <c r="CT13" s="743"/>
      <c r="CU13" s="743"/>
      <c r="CV13" s="743"/>
      <c r="CW13" s="743"/>
      <c r="CX13" s="743"/>
      <c r="CY13" s="743"/>
      <c r="CZ13" s="743"/>
      <c r="DA13" s="743"/>
      <c r="DB13" s="743"/>
      <c r="DC13" s="743"/>
      <c r="DD13" s="743"/>
      <c r="DE13" s="743"/>
      <c r="DF13" s="743"/>
      <c r="DG13" s="743"/>
      <c r="DH13" s="743"/>
      <c r="DI13" s="743"/>
      <c r="DJ13" s="743"/>
      <c r="DK13" s="743"/>
      <c r="DL13" s="743"/>
      <c r="DM13" s="743"/>
      <c r="DN13" s="743"/>
      <c r="DO13" s="743"/>
      <c r="DP13" s="743"/>
      <c r="DQ13" s="743"/>
      <c r="DR13" s="743"/>
      <c r="DS13" s="743"/>
      <c r="DT13" s="743"/>
      <c r="DU13" s="743"/>
      <c r="DV13" s="743"/>
      <c r="DW13" s="743"/>
      <c r="DX13" s="743"/>
      <c r="DY13" s="743"/>
      <c r="DZ13" s="743"/>
      <c r="EA13" s="743"/>
      <c r="EB13" s="743"/>
      <c r="EC13" s="743"/>
      <c r="ED13" s="743"/>
      <c r="EE13" s="743"/>
      <c r="EF13" s="743"/>
      <c r="EG13" s="743"/>
      <c r="EH13" s="743"/>
      <c r="EI13" s="743"/>
      <c r="EJ13" s="743"/>
      <c r="EK13" s="743"/>
      <c r="EL13" s="743"/>
      <c r="EM13" s="743"/>
      <c r="EN13" s="743"/>
      <c r="EO13" s="743"/>
      <c r="EP13" s="743"/>
      <c r="EQ13" s="743"/>
      <c r="ER13" s="743"/>
      <c r="ES13" s="743"/>
      <c r="ET13" s="743"/>
      <c r="EU13" s="743"/>
      <c r="EV13" s="743"/>
      <c r="EW13" s="743"/>
      <c r="EX13" s="743"/>
      <c r="EY13" s="743"/>
      <c r="EZ13" s="743"/>
      <c r="FA13" s="743"/>
      <c r="FB13" s="743"/>
      <c r="FC13" s="743"/>
      <c r="FD13" s="743"/>
      <c r="FE13" s="743"/>
      <c r="FF13" s="743"/>
      <c r="FG13" s="743"/>
      <c r="FH13" s="743"/>
      <c r="FI13" s="743"/>
      <c r="FJ13" s="743"/>
      <c r="FK13" s="743"/>
      <c r="FL13" s="743"/>
      <c r="FM13" s="743"/>
      <c r="FN13" s="743"/>
      <c r="FO13" s="743"/>
      <c r="FP13" s="743"/>
      <c r="FQ13" s="743"/>
      <c r="FR13" s="743"/>
      <c r="FS13" s="743"/>
      <c r="FT13" s="743"/>
      <c r="FU13" s="743"/>
      <c r="FV13" s="743"/>
      <c r="FW13" s="743"/>
      <c r="FX13" s="743"/>
      <c r="FY13" s="743"/>
      <c r="FZ13" s="743"/>
      <c r="GA13" s="743"/>
      <c r="GB13" s="743"/>
      <c r="GC13" s="743"/>
      <c r="GD13" s="743"/>
      <c r="GE13" s="743"/>
      <c r="GF13" s="743"/>
      <c r="GG13" s="743"/>
      <c r="GH13" s="743"/>
      <c r="GI13" s="743"/>
      <c r="GJ13" s="743"/>
      <c r="GK13" s="743"/>
      <c r="GL13" s="743"/>
      <c r="GM13" s="743"/>
      <c r="GN13" s="743"/>
      <c r="GO13" s="743"/>
      <c r="GP13" s="743"/>
      <c r="GQ13" s="743"/>
      <c r="GR13" s="743"/>
      <c r="GS13" s="743"/>
      <c r="GT13" s="743"/>
      <c r="GU13" s="743"/>
      <c r="GV13" s="743"/>
      <c r="GW13" s="743"/>
      <c r="GX13" s="743"/>
      <c r="GY13" s="743"/>
      <c r="GZ13" s="743"/>
      <c r="HA13" s="743"/>
      <c r="HB13" s="743"/>
      <c r="HC13" s="743"/>
      <c r="HD13" s="743"/>
      <c r="HE13" s="743"/>
      <c r="HF13" s="743"/>
      <c r="HG13" s="743"/>
      <c r="HH13" s="743"/>
      <c r="HI13" s="743"/>
      <c r="HJ13" s="743"/>
      <c r="HK13" s="743"/>
      <c r="HL13" s="743"/>
      <c r="HM13" s="743"/>
      <c r="HN13" s="743"/>
      <c r="HO13" s="743"/>
      <c r="HP13" s="743"/>
      <c r="HQ13" s="743"/>
      <c r="HR13" s="743"/>
      <c r="HS13" s="743"/>
      <c r="HT13" s="743"/>
      <c r="HU13" s="743"/>
      <c r="HV13" s="743"/>
      <c r="HW13" s="743"/>
      <c r="HX13" s="743"/>
      <c r="HY13" s="743"/>
      <c r="HZ13" s="743"/>
      <c r="IA13" s="743"/>
      <c r="IB13" s="743"/>
      <c r="IC13" s="743"/>
      <c r="ID13" s="743"/>
      <c r="IE13" s="743"/>
      <c r="IF13" s="743"/>
      <c r="IG13" s="743"/>
      <c r="IH13" s="743"/>
      <c r="II13" s="743"/>
      <c r="IJ13" s="743"/>
      <c r="IK13" s="743"/>
      <c r="IL13" s="743"/>
      <c r="IM13" s="743"/>
      <c r="IN13" s="743"/>
    </row>
    <row r="14" spans="1:248" x14ac:dyDescent="0.3">
      <c r="A14" s="1136"/>
      <c r="B14" s="1455" t="s">
        <v>231</v>
      </c>
      <c r="C14" s="1455"/>
      <c r="D14" s="375" t="s">
        <v>7</v>
      </c>
      <c r="E14" s="375" t="s">
        <v>7</v>
      </c>
      <c r="F14" s="1118">
        <f>PENYELIA!F14</f>
        <v>22.86</v>
      </c>
      <c r="G14" s="1125" t="s">
        <v>810</v>
      </c>
      <c r="H14" s="1117">
        <f>PENYELIA!H14</f>
        <v>0.8</v>
      </c>
      <c r="I14" s="745" t="str">
        <f>PENYELIA!I14</f>
        <v xml:space="preserve"> °C</v>
      </c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  <c r="DD14" s="743"/>
      <c r="DE14" s="743"/>
      <c r="DF14" s="743"/>
      <c r="DG14" s="743"/>
      <c r="DH14" s="743"/>
      <c r="DI14" s="743"/>
      <c r="DJ14" s="743"/>
      <c r="DK14" s="743"/>
      <c r="DL14" s="743"/>
      <c r="DM14" s="743"/>
      <c r="DN14" s="743"/>
      <c r="DO14" s="743"/>
      <c r="DP14" s="743"/>
      <c r="DQ14" s="743"/>
      <c r="DR14" s="743"/>
      <c r="DS14" s="743"/>
      <c r="DT14" s="743"/>
      <c r="DU14" s="743"/>
      <c r="DV14" s="743"/>
      <c r="DW14" s="743"/>
      <c r="DX14" s="743"/>
      <c r="DY14" s="743"/>
      <c r="DZ14" s="743"/>
      <c r="EA14" s="743"/>
      <c r="EB14" s="743"/>
      <c r="EC14" s="743"/>
      <c r="ED14" s="743"/>
      <c r="EE14" s="743"/>
      <c r="EF14" s="743"/>
      <c r="EG14" s="743"/>
      <c r="EH14" s="743"/>
      <c r="EI14" s="743"/>
      <c r="EJ14" s="743"/>
      <c r="EK14" s="743"/>
      <c r="EL14" s="743"/>
      <c r="EM14" s="743"/>
      <c r="EN14" s="743"/>
      <c r="EO14" s="743"/>
      <c r="EP14" s="743"/>
      <c r="EQ14" s="743"/>
      <c r="ER14" s="743"/>
      <c r="ES14" s="743"/>
      <c r="ET14" s="743"/>
      <c r="EU14" s="743"/>
      <c r="EV14" s="743"/>
      <c r="EW14" s="743"/>
      <c r="EX14" s="743"/>
      <c r="EY14" s="743"/>
      <c r="EZ14" s="743"/>
      <c r="FA14" s="743"/>
      <c r="FB14" s="743"/>
      <c r="FC14" s="743"/>
      <c r="FD14" s="743"/>
      <c r="FE14" s="743"/>
      <c r="FF14" s="743"/>
      <c r="FG14" s="743"/>
      <c r="FH14" s="743"/>
      <c r="FI14" s="743"/>
      <c r="FJ14" s="743"/>
      <c r="FK14" s="743"/>
      <c r="FL14" s="743"/>
      <c r="FM14" s="743"/>
      <c r="FN14" s="743"/>
      <c r="FO14" s="743"/>
      <c r="FP14" s="743"/>
      <c r="FQ14" s="743"/>
      <c r="FR14" s="743"/>
      <c r="FS14" s="743"/>
      <c r="FT14" s="743"/>
      <c r="FU14" s="743"/>
      <c r="FV14" s="743"/>
      <c r="FW14" s="743"/>
      <c r="FX14" s="743"/>
      <c r="FY14" s="743"/>
      <c r="FZ14" s="743"/>
      <c r="GA14" s="743"/>
      <c r="GB14" s="743"/>
      <c r="GC14" s="743"/>
      <c r="GD14" s="743"/>
      <c r="GE14" s="743"/>
      <c r="GF14" s="743"/>
      <c r="GG14" s="743"/>
      <c r="GH14" s="743"/>
      <c r="GI14" s="743"/>
      <c r="GJ14" s="743"/>
      <c r="GK14" s="743"/>
      <c r="GL14" s="743"/>
      <c r="GM14" s="743"/>
      <c r="GN14" s="743"/>
      <c r="GO14" s="743"/>
      <c r="GP14" s="743"/>
      <c r="GQ14" s="743"/>
      <c r="GR14" s="743"/>
      <c r="GS14" s="743"/>
      <c r="GT14" s="743"/>
      <c r="GU14" s="743"/>
      <c r="GV14" s="743"/>
      <c r="GW14" s="743"/>
      <c r="GX14" s="743"/>
      <c r="GY14" s="743"/>
      <c r="GZ14" s="743"/>
      <c r="HA14" s="743"/>
      <c r="HB14" s="743"/>
      <c r="HC14" s="743"/>
      <c r="HD14" s="743"/>
      <c r="HE14" s="743"/>
      <c r="HF14" s="743"/>
      <c r="HG14" s="743"/>
      <c r="HH14" s="743"/>
      <c r="HI14" s="743"/>
      <c r="HJ14" s="743"/>
      <c r="HK14" s="743"/>
      <c r="HL14" s="743"/>
      <c r="HM14" s="743"/>
      <c r="HN14" s="743"/>
      <c r="HO14" s="743"/>
      <c r="HP14" s="743"/>
      <c r="HQ14" s="743"/>
      <c r="HR14" s="743"/>
      <c r="HS14" s="743"/>
      <c r="HT14" s="743"/>
      <c r="HU14" s="743"/>
      <c r="HV14" s="743"/>
      <c r="HW14" s="743"/>
      <c r="HX14" s="743"/>
      <c r="HY14" s="743"/>
      <c r="HZ14" s="743"/>
      <c r="IA14" s="743"/>
      <c r="IB14" s="743"/>
      <c r="IC14" s="743"/>
      <c r="ID14" s="743"/>
      <c r="IE14" s="743"/>
      <c r="IF14" s="743"/>
      <c r="IG14" s="743"/>
      <c r="IH14" s="743"/>
      <c r="II14" s="743"/>
      <c r="IJ14" s="743"/>
      <c r="IK14" s="743"/>
      <c r="IL14" s="743"/>
      <c r="IM14" s="743"/>
      <c r="IN14" s="743"/>
    </row>
    <row r="15" spans="1:248" x14ac:dyDescent="0.3">
      <c r="A15" s="1136"/>
      <c r="B15" s="1455" t="s">
        <v>232</v>
      </c>
      <c r="C15" s="1455"/>
      <c r="D15" s="375" t="s">
        <v>7</v>
      </c>
      <c r="E15" s="375" t="s">
        <v>7</v>
      </c>
      <c r="F15" s="1118">
        <f>PENYELIA!F15</f>
        <v>55.265500000000003</v>
      </c>
      <c r="G15" s="1125" t="s">
        <v>810</v>
      </c>
      <c r="H15" s="1117">
        <f>PENYELIA!H15</f>
        <v>2.2000000000000002</v>
      </c>
      <c r="I15" s="745" t="str">
        <f>PENYELIA!I15</f>
        <v xml:space="preserve"> %RH</v>
      </c>
      <c r="J15" s="743"/>
      <c r="K15" s="743"/>
      <c r="L15" s="743"/>
      <c r="M15" s="743"/>
      <c r="N15" s="743"/>
      <c r="O15" s="743"/>
      <c r="P15" s="743"/>
      <c r="Q15" s="743"/>
      <c r="R15" s="743"/>
      <c r="S15" s="743"/>
      <c r="T15" s="743"/>
      <c r="U15" s="743"/>
      <c r="V15" s="743"/>
      <c r="W15" s="743"/>
      <c r="X15" s="743"/>
      <c r="Y15" s="743"/>
      <c r="Z15" s="743"/>
      <c r="AA15" s="743"/>
      <c r="AB15" s="743"/>
      <c r="AC15" s="743"/>
      <c r="AD15" s="743"/>
      <c r="AE15" s="743"/>
      <c r="AF15" s="743"/>
      <c r="AG15" s="743"/>
      <c r="AH15" s="743"/>
      <c r="AI15" s="743"/>
      <c r="AJ15" s="743"/>
      <c r="AK15" s="743"/>
      <c r="AL15" s="743"/>
      <c r="AM15" s="743"/>
      <c r="AN15" s="743"/>
      <c r="AO15" s="743"/>
      <c r="AP15" s="743"/>
      <c r="AQ15" s="743"/>
      <c r="AR15" s="743"/>
      <c r="AS15" s="743"/>
      <c r="AT15" s="743"/>
      <c r="AU15" s="743"/>
      <c r="AV15" s="743"/>
      <c r="AW15" s="743"/>
      <c r="AX15" s="743"/>
      <c r="AY15" s="743"/>
      <c r="AZ15" s="743"/>
      <c r="BA15" s="743"/>
      <c r="BB15" s="743"/>
      <c r="BC15" s="743"/>
      <c r="BD15" s="743"/>
      <c r="BE15" s="743"/>
      <c r="BF15" s="743"/>
      <c r="BG15" s="743"/>
      <c r="BH15" s="743"/>
      <c r="BI15" s="743"/>
      <c r="BJ15" s="743"/>
      <c r="BK15" s="743"/>
      <c r="BL15" s="743"/>
      <c r="BM15" s="743"/>
      <c r="BN15" s="743"/>
      <c r="BO15" s="743"/>
      <c r="BP15" s="743"/>
      <c r="BQ15" s="743"/>
      <c r="BR15" s="743"/>
      <c r="BS15" s="743"/>
      <c r="BT15" s="743"/>
      <c r="BU15" s="743"/>
      <c r="BV15" s="743"/>
      <c r="BW15" s="743"/>
      <c r="BX15" s="743"/>
      <c r="BY15" s="743"/>
      <c r="BZ15" s="743"/>
      <c r="CA15" s="743"/>
      <c r="CB15" s="743"/>
      <c r="CC15" s="743"/>
      <c r="CD15" s="743"/>
      <c r="CE15" s="743"/>
      <c r="CF15" s="743"/>
      <c r="CG15" s="743"/>
      <c r="CH15" s="743"/>
      <c r="CI15" s="743"/>
      <c r="CJ15" s="743"/>
      <c r="CK15" s="743"/>
      <c r="CL15" s="743"/>
      <c r="CM15" s="743"/>
      <c r="CN15" s="743"/>
      <c r="CO15" s="743"/>
      <c r="CP15" s="743"/>
      <c r="CQ15" s="743"/>
      <c r="CR15" s="743"/>
      <c r="CS15" s="743"/>
      <c r="CT15" s="743"/>
      <c r="CU15" s="743"/>
      <c r="CV15" s="743"/>
      <c r="CW15" s="743"/>
      <c r="CX15" s="743"/>
      <c r="CY15" s="743"/>
      <c r="CZ15" s="743"/>
      <c r="DA15" s="743"/>
      <c r="DB15" s="743"/>
      <c r="DC15" s="743"/>
      <c r="DD15" s="743"/>
      <c r="DE15" s="743"/>
      <c r="DF15" s="743"/>
      <c r="DG15" s="743"/>
      <c r="DH15" s="743"/>
      <c r="DI15" s="743"/>
      <c r="DJ15" s="743"/>
      <c r="DK15" s="743"/>
      <c r="DL15" s="743"/>
      <c r="DM15" s="743"/>
      <c r="DN15" s="743"/>
      <c r="DO15" s="743"/>
      <c r="DP15" s="743"/>
      <c r="DQ15" s="743"/>
      <c r="DR15" s="743"/>
      <c r="DS15" s="743"/>
      <c r="DT15" s="743"/>
      <c r="DU15" s="743"/>
      <c r="DV15" s="743"/>
      <c r="DW15" s="743"/>
      <c r="DX15" s="743"/>
      <c r="DY15" s="743"/>
      <c r="DZ15" s="743"/>
      <c r="EA15" s="743"/>
      <c r="EB15" s="743"/>
      <c r="EC15" s="743"/>
      <c r="ED15" s="743"/>
      <c r="EE15" s="743"/>
      <c r="EF15" s="743"/>
      <c r="EG15" s="743"/>
      <c r="EH15" s="743"/>
      <c r="EI15" s="743"/>
      <c r="EJ15" s="743"/>
      <c r="EK15" s="743"/>
      <c r="EL15" s="743"/>
      <c r="EM15" s="743"/>
      <c r="EN15" s="743"/>
      <c r="EO15" s="743"/>
      <c r="EP15" s="743"/>
      <c r="EQ15" s="743"/>
      <c r="ER15" s="743"/>
      <c r="ES15" s="743"/>
      <c r="ET15" s="743"/>
      <c r="EU15" s="743"/>
      <c r="EV15" s="743"/>
      <c r="EW15" s="743"/>
      <c r="EX15" s="743"/>
      <c r="EY15" s="743"/>
      <c r="EZ15" s="743"/>
      <c r="FA15" s="743"/>
      <c r="FB15" s="743"/>
      <c r="FC15" s="743"/>
      <c r="FD15" s="743"/>
      <c r="FE15" s="743"/>
      <c r="FF15" s="743"/>
      <c r="FG15" s="743"/>
      <c r="FH15" s="743"/>
      <c r="FI15" s="743"/>
      <c r="FJ15" s="743"/>
      <c r="FK15" s="743"/>
      <c r="FL15" s="743"/>
      <c r="FM15" s="743"/>
      <c r="FN15" s="743"/>
      <c r="FO15" s="743"/>
      <c r="FP15" s="743"/>
      <c r="FQ15" s="743"/>
      <c r="FR15" s="743"/>
      <c r="FS15" s="743"/>
      <c r="FT15" s="743"/>
      <c r="FU15" s="743"/>
      <c r="FV15" s="743"/>
      <c r="FW15" s="743"/>
      <c r="FX15" s="743"/>
      <c r="FY15" s="743"/>
      <c r="FZ15" s="743"/>
      <c r="GA15" s="743"/>
      <c r="GB15" s="743"/>
      <c r="GC15" s="743"/>
      <c r="GD15" s="743"/>
      <c r="GE15" s="743"/>
      <c r="GF15" s="743"/>
      <c r="GG15" s="743"/>
      <c r="GH15" s="743"/>
      <c r="GI15" s="743"/>
      <c r="GJ15" s="743"/>
      <c r="GK15" s="743"/>
      <c r="GL15" s="743"/>
      <c r="GM15" s="743"/>
      <c r="GN15" s="743"/>
      <c r="GO15" s="743"/>
      <c r="GP15" s="743"/>
      <c r="GQ15" s="743"/>
      <c r="GR15" s="743"/>
      <c r="GS15" s="743"/>
      <c r="GT15" s="743"/>
      <c r="GU15" s="743"/>
      <c r="GV15" s="743"/>
      <c r="GW15" s="743"/>
      <c r="GX15" s="743"/>
      <c r="GY15" s="743"/>
      <c r="GZ15" s="743"/>
      <c r="HA15" s="743"/>
      <c r="HB15" s="743"/>
      <c r="HC15" s="743"/>
      <c r="HD15" s="743"/>
      <c r="HE15" s="743"/>
      <c r="HF15" s="743"/>
      <c r="HG15" s="743"/>
      <c r="HH15" s="743"/>
      <c r="HI15" s="743"/>
      <c r="HJ15" s="743"/>
      <c r="HK15" s="743"/>
      <c r="HL15" s="743"/>
      <c r="HM15" s="743"/>
      <c r="HN15" s="743"/>
      <c r="HO15" s="743"/>
      <c r="HP15" s="743"/>
      <c r="HQ15" s="743"/>
      <c r="HR15" s="743"/>
      <c r="HS15" s="743"/>
      <c r="HT15" s="743"/>
      <c r="HU15" s="743"/>
      <c r="HV15" s="743"/>
      <c r="HW15" s="743"/>
      <c r="HX15" s="743"/>
      <c r="HY15" s="743"/>
      <c r="HZ15" s="743"/>
      <c r="IA15" s="743"/>
      <c r="IB15" s="743"/>
      <c r="IC15" s="743"/>
      <c r="ID15" s="743"/>
      <c r="IE15" s="743"/>
      <c r="IF15" s="743"/>
      <c r="IG15" s="743"/>
      <c r="IH15" s="743"/>
      <c r="II15" s="743"/>
      <c r="IJ15" s="743"/>
      <c r="IK15" s="743"/>
      <c r="IL15" s="743"/>
      <c r="IM15" s="743"/>
      <c r="IN15" s="743"/>
    </row>
    <row r="16" spans="1:248" ht="16.5" customHeight="1" x14ac:dyDescent="0.3">
      <c r="A16" s="1136"/>
      <c r="B16" s="1136" t="str">
        <f>PENYELIA!B16</f>
        <v>3. Tegangan jala jala</v>
      </c>
      <c r="C16" s="1136"/>
      <c r="D16" s="375"/>
      <c r="E16" s="375" t="s">
        <v>7</v>
      </c>
      <c r="F16" s="1118" t="str">
        <f>PENYELIA!F16</f>
        <v>-</v>
      </c>
      <c r="G16" s="1125" t="str">
        <f>IF(F16="-","","±")</f>
        <v/>
      </c>
      <c r="H16" s="1119" t="str">
        <f>PENYELIA!H16</f>
        <v/>
      </c>
      <c r="I16" s="1187" t="str">
        <f>IF(F16="-","","Volt")</f>
        <v/>
      </c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  <c r="U16" s="743"/>
      <c r="V16" s="743"/>
      <c r="W16" s="743"/>
      <c r="X16" s="743"/>
      <c r="Y16" s="743"/>
      <c r="Z16" s="743"/>
      <c r="AA16" s="743"/>
      <c r="AB16" s="743"/>
      <c r="AC16" s="743"/>
      <c r="AD16" s="743"/>
      <c r="AE16" s="743"/>
      <c r="AF16" s="743"/>
      <c r="AG16" s="743"/>
      <c r="AH16" s="743"/>
      <c r="AI16" s="743"/>
      <c r="AJ16" s="743"/>
      <c r="AK16" s="743"/>
      <c r="AL16" s="743"/>
      <c r="AM16" s="743"/>
      <c r="AN16" s="743"/>
      <c r="AO16" s="743"/>
      <c r="AP16" s="743"/>
      <c r="AQ16" s="743"/>
      <c r="AR16" s="743"/>
      <c r="AS16" s="743"/>
      <c r="AT16" s="743"/>
      <c r="AU16" s="743"/>
      <c r="AV16" s="743"/>
      <c r="AW16" s="743"/>
      <c r="AX16" s="743"/>
      <c r="AY16" s="743"/>
      <c r="AZ16" s="743"/>
      <c r="BA16" s="743"/>
      <c r="BB16" s="743"/>
      <c r="BC16" s="743"/>
      <c r="BD16" s="743"/>
      <c r="BE16" s="743"/>
      <c r="BF16" s="743"/>
      <c r="BG16" s="743"/>
      <c r="BH16" s="743"/>
      <c r="BI16" s="743"/>
      <c r="BJ16" s="743"/>
      <c r="BK16" s="743"/>
      <c r="BL16" s="743"/>
      <c r="BM16" s="743"/>
      <c r="BN16" s="743"/>
      <c r="BO16" s="743"/>
      <c r="BP16" s="743"/>
      <c r="BQ16" s="743"/>
      <c r="BR16" s="743"/>
      <c r="BS16" s="743"/>
      <c r="BT16" s="743"/>
      <c r="BU16" s="743"/>
      <c r="BV16" s="743"/>
      <c r="BW16" s="743"/>
      <c r="BX16" s="743"/>
      <c r="BY16" s="743"/>
      <c r="BZ16" s="743"/>
      <c r="CA16" s="743"/>
      <c r="CB16" s="743"/>
      <c r="CC16" s="743"/>
      <c r="CD16" s="743"/>
      <c r="CE16" s="743"/>
      <c r="CF16" s="743"/>
      <c r="CG16" s="743"/>
      <c r="CH16" s="743"/>
      <c r="CI16" s="743"/>
      <c r="CJ16" s="743"/>
      <c r="CK16" s="743"/>
      <c r="CL16" s="743"/>
      <c r="CM16" s="743"/>
      <c r="CN16" s="743"/>
      <c r="CO16" s="743"/>
      <c r="CP16" s="743"/>
      <c r="CQ16" s="743"/>
      <c r="CR16" s="743"/>
      <c r="CS16" s="743"/>
      <c r="CT16" s="743"/>
      <c r="CU16" s="743"/>
      <c r="CV16" s="743"/>
      <c r="CW16" s="743"/>
      <c r="CX16" s="743"/>
      <c r="CY16" s="743"/>
      <c r="CZ16" s="743"/>
      <c r="DA16" s="743"/>
      <c r="DB16" s="743"/>
      <c r="DC16" s="743"/>
      <c r="DD16" s="743"/>
      <c r="DE16" s="743"/>
      <c r="DF16" s="743"/>
      <c r="DG16" s="743"/>
      <c r="DH16" s="743"/>
      <c r="DI16" s="743"/>
      <c r="DJ16" s="743"/>
      <c r="DK16" s="743"/>
      <c r="DL16" s="743"/>
      <c r="DM16" s="743"/>
      <c r="DN16" s="743"/>
      <c r="DO16" s="743"/>
      <c r="DP16" s="743"/>
      <c r="DQ16" s="743"/>
      <c r="DR16" s="743"/>
      <c r="DS16" s="743"/>
      <c r="DT16" s="743"/>
      <c r="DU16" s="743"/>
      <c r="DV16" s="743"/>
      <c r="DW16" s="743"/>
      <c r="DX16" s="743"/>
      <c r="DY16" s="743"/>
      <c r="DZ16" s="743"/>
      <c r="EA16" s="743"/>
      <c r="EB16" s="743"/>
      <c r="EC16" s="743"/>
      <c r="ED16" s="743"/>
      <c r="EE16" s="743"/>
      <c r="EF16" s="743"/>
      <c r="EG16" s="743"/>
      <c r="EH16" s="743"/>
      <c r="EI16" s="743"/>
      <c r="EJ16" s="743"/>
      <c r="EK16" s="743"/>
      <c r="EL16" s="743"/>
      <c r="EM16" s="743"/>
      <c r="EN16" s="743"/>
      <c r="EO16" s="743"/>
      <c r="EP16" s="743"/>
      <c r="EQ16" s="743"/>
      <c r="ER16" s="743"/>
      <c r="ES16" s="743"/>
      <c r="ET16" s="743"/>
      <c r="EU16" s="743"/>
      <c r="EV16" s="743"/>
      <c r="EW16" s="743"/>
      <c r="EX16" s="743"/>
      <c r="EY16" s="743"/>
      <c r="EZ16" s="743"/>
      <c r="FA16" s="743"/>
      <c r="FB16" s="743"/>
      <c r="FC16" s="743"/>
      <c r="FD16" s="743"/>
      <c r="FE16" s="743"/>
      <c r="FF16" s="743"/>
      <c r="FG16" s="743"/>
      <c r="FH16" s="743"/>
      <c r="FI16" s="743"/>
      <c r="FJ16" s="743"/>
      <c r="FK16" s="743"/>
      <c r="FL16" s="743"/>
      <c r="FM16" s="743"/>
      <c r="FN16" s="743"/>
      <c r="FO16" s="743"/>
      <c r="FP16" s="743"/>
      <c r="FQ16" s="743"/>
      <c r="FR16" s="743"/>
      <c r="FS16" s="743"/>
      <c r="FT16" s="743"/>
      <c r="FU16" s="743"/>
      <c r="FV16" s="743"/>
      <c r="FW16" s="743"/>
      <c r="FX16" s="743"/>
      <c r="FY16" s="743"/>
      <c r="FZ16" s="743"/>
      <c r="GA16" s="743"/>
      <c r="GB16" s="743"/>
      <c r="GC16" s="743"/>
      <c r="GD16" s="743"/>
      <c r="GE16" s="743"/>
      <c r="GF16" s="743"/>
      <c r="GG16" s="743"/>
      <c r="GH16" s="743"/>
      <c r="GI16" s="743"/>
      <c r="GJ16" s="743"/>
      <c r="GK16" s="743"/>
      <c r="GL16" s="743"/>
      <c r="GM16" s="743"/>
      <c r="GN16" s="743"/>
      <c r="GO16" s="743"/>
      <c r="GP16" s="743"/>
      <c r="GQ16" s="743"/>
      <c r="GR16" s="743"/>
      <c r="GS16" s="743"/>
      <c r="GT16" s="743"/>
      <c r="GU16" s="743"/>
      <c r="GV16" s="743"/>
      <c r="GW16" s="743"/>
      <c r="GX16" s="743"/>
      <c r="GY16" s="743"/>
      <c r="GZ16" s="743"/>
      <c r="HA16" s="743"/>
      <c r="HB16" s="743"/>
      <c r="HC16" s="743"/>
      <c r="HD16" s="743"/>
      <c r="HE16" s="743"/>
      <c r="HF16" s="743"/>
      <c r="HG16" s="743"/>
      <c r="HH16" s="743"/>
      <c r="HI16" s="743"/>
      <c r="HJ16" s="743"/>
      <c r="HK16" s="743"/>
      <c r="HL16" s="743"/>
      <c r="HM16" s="743"/>
      <c r="HN16" s="743"/>
      <c r="HO16" s="743"/>
      <c r="HP16" s="743"/>
      <c r="HQ16" s="743"/>
      <c r="HR16" s="743"/>
      <c r="HS16" s="743"/>
      <c r="HT16" s="743"/>
      <c r="HU16" s="743"/>
      <c r="HV16" s="743"/>
      <c r="HW16" s="743"/>
      <c r="HX16" s="743"/>
      <c r="HY16" s="743"/>
      <c r="HZ16" s="743"/>
      <c r="IA16" s="743"/>
      <c r="IB16" s="743"/>
      <c r="IC16" s="743"/>
      <c r="ID16" s="743"/>
      <c r="IE16" s="743"/>
      <c r="IF16" s="743"/>
      <c r="IG16" s="743"/>
      <c r="IH16" s="743"/>
      <c r="II16" s="743"/>
      <c r="IJ16" s="743"/>
      <c r="IK16" s="743"/>
      <c r="IL16" s="743"/>
      <c r="IM16" s="743"/>
      <c r="IN16" s="743"/>
    </row>
    <row r="17" spans="1:248" x14ac:dyDescent="0.3">
      <c r="A17" s="379" t="s">
        <v>33</v>
      </c>
      <c r="B17" s="380" t="s">
        <v>34</v>
      </c>
      <c r="C17" s="380"/>
      <c r="D17" s="380"/>
      <c r="E17" s="380"/>
      <c r="F17" s="380"/>
      <c r="G17" s="380"/>
      <c r="H17" s="381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743"/>
      <c r="AK17" s="743"/>
      <c r="AL17" s="743"/>
      <c r="AM17" s="743"/>
      <c r="AN17" s="743"/>
      <c r="AO17" s="743"/>
      <c r="AP17" s="743"/>
      <c r="AQ17" s="743"/>
      <c r="AR17" s="743"/>
      <c r="AS17" s="743"/>
      <c r="AT17" s="743"/>
      <c r="AU17" s="743"/>
      <c r="AV17" s="743"/>
      <c r="AW17" s="743"/>
      <c r="AX17" s="743"/>
      <c r="AY17" s="743"/>
      <c r="AZ17" s="743"/>
      <c r="BA17" s="743"/>
      <c r="BB17" s="743"/>
      <c r="BC17" s="743"/>
      <c r="BD17" s="743"/>
      <c r="BE17" s="743"/>
      <c r="BF17" s="743"/>
      <c r="BG17" s="743"/>
      <c r="BH17" s="743"/>
      <c r="BI17" s="743"/>
      <c r="BJ17" s="743"/>
      <c r="BK17" s="743"/>
      <c r="BL17" s="743"/>
      <c r="BM17" s="743"/>
      <c r="BN17" s="743"/>
      <c r="BO17" s="743"/>
      <c r="BP17" s="743"/>
      <c r="BQ17" s="743"/>
      <c r="BR17" s="743"/>
      <c r="BS17" s="743"/>
      <c r="BT17" s="743"/>
      <c r="BU17" s="743"/>
      <c r="BV17" s="743"/>
      <c r="BW17" s="743"/>
      <c r="BX17" s="743"/>
      <c r="BY17" s="743"/>
      <c r="BZ17" s="743"/>
      <c r="CA17" s="743"/>
      <c r="CB17" s="743"/>
      <c r="CC17" s="743"/>
      <c r="CD17" s="743"/>
      <c r="CE17" s="743"/>
      <c r="CF17" s="743"/>
      <c r="CG17" s="743"/>
      <c r="CH17" s="743"/>
      <c r="CI17" s="743"/>
      <c r="CJ17" s="743"/>
      <c r="CK17" s="743"/>
      <c r="CL17" s="743"/>
      <c r="CM17" s="743"/>
      <c r="CN17" s="743"/>
      <c r="CO17" s="743"/>
      <c r="CP17" s="743"/>
      <c r="CQ17" s="743"/>
      <c r="CR17" s="743"/>
      <c r="CS17" s="743"/>
      <c r="CT17" s="743"/>
      <c r="CU17" s="743"/>
      <c r="CV17" s="743"/>
      <c r="CW17" s="743"/>
      <c r="CX17" s="743"/>
      <c r="CY17" s="743"/>
      <c r="CZ17" s="743"/>
      <c r="DA17" s="743"/>
      <c r="DB17" s="743"/>
      <c r="DC17" s="743"/>
      <c r="DD17" s="743"/>
      <c r="DE17" s="743"/>
      <c r="DF17" s="743"/>
      <c r="DG17" s="743"/>
      <c r="DH17" s="743"/>
      <c r="DI17" s="743"/>
      <c r="DJ17" s="743"/>
      <c r="DK17" s="743"/>
      <c r="DL17" s="743"/>
      <c r="DM17" s="743"/>
      <c r="DN17" s="743"/>
      <c r="DO17" s="743"/>
      <c r="DP17" s="743"/>
      <c r="DQ17" s="743"/>
      <c r="DR17" s="743"/>
      <c r="DS17" s="743"/>
      <c r="DT17" s="743"/>
      <c r="DU17" s="743"/>
      <c r="DV17" s="743"/>
      <c r="DW17" s="743"/>
      <c r="DX17" s="743"/>
      <c r="DY17" s="743"/>
      <c r="DZ17" s="743"/>
      <c r="EA17" s="743"/>
      <c r="EB17" s="743"/>
      <c r="EC17" s="743"/>
      <c r="ED17" s="743"/>
      <c r="EE17" s="743"/>
      <c r="EF17" s="743"/>
      <c r="EG17" s="743"/>
      <c r="EH17" s="743"/>
      <c r="EI17" s="743"/>
      <c r="EJ17" s="743"/>
      <c r="EK17" s="743"/>
      <c r="EL17" s="743"/>
      <c r="EM17" s="743"/>
      <c r="EN17" s="743"/>
      <c r="EO17" s="743"/>
      <c r="EP17" s="743"/>
      <c r="EQ17" s="743"/>
      <c r="ER17" s="743"/>
      <c r="ES17" s="743"/>
      <c r="ET17" s="743"/>
      <c r="EU17" s="743"/>
      <c r="EV17" s="743"/>
      <c r="EW17" s="743"/>
      <c r="EX17" s="743"/>
      <c r="EY17" s="743"/>
      <c r="EZ17" s="743"/>
      <c r="FA17" s="743"/>
      <c r="FB17" s="743"/>
      <c r="FC17" s="743"/>
      <c r="FD17" s="743"/>
      <c r="FE17" s="743"/>
      <c r="FF17" s="743"/>
      <c r="FG17" s="743"/>
      <c r="FH17" s="743"/>
      <c r="FI17" s="743"/>
      <c r="FJ17" s="743"/>
      <c r="FK17" s="743"/>
      <c r="FL17" s="743"/>
      <c r="FM17" s="743"/>
      <c r="FN17" s="743"/>
      <c r="FO17" s="743"/>
      <c r="FP17" s="743"/>
      <c r="FQ17" s="743"/>
      <c r="FR17" s="743"/>
      <c r="FS17" s="743"/>
      <c r="FT17" s="743"/>
      <c r="FU17" s="743"/>
      <c r="FV17" s="743"/>
      <c r="FW17" s="743"/>
      <c r="FX17" s="743"/>
      <c r="FY17" s="743"/>
      <c r="FZ17" s="743"/>
      <c r="GA17" s="743"/>
      <c r="GB17" s="743"/>
      <c r="GC17" s="743"/>
      <c r="GD17" s="743"/>
      <c r="GE17" s="743"/>
      <c r="GF17" s="743"/>
      <c r="GG17" s="743"/>
      <c r="GH17" s="743"/>
      <c r="GI17" s="743"/>
      <c r="GJ17" s="743"/>
      <c r="GK17" s="743"/>
      <c r="GL17" s="743"/>
      <c r="GM17" s="743"/>
      <c r="GN17" s="743"/>
      <c r="GO17" s="743"/>
      <c r="GP17" s="743"/>
      <c r="GQ17" s="743"/>
      <c r="GR17" s="743"/>
      <c r="GS17" s="743"/>
      <c r="GT17" s="743"/>
      <c r="GU17" s="743"/>
      <c r="GV17" s="743"/>
      <c r="GW17" s="743"/>
      <c r="GX17" s="743"/>
      <c r="GY17" s="743"/>
      <c r="GZ17" s="743"/>
      <c r="HA17" s="743"/>
      <c r="HB17" s="743"/>
      <c r="HC17" s="743"/>
      <c r="HD17" s="743"/>
      <c r="HE17" s="743"/>
      <c r="HF17" s="743"/>
      <c r="HG17" s="743"/>
      <c r="HH17" s="743"/>
      <c r="HI17" s="743"/>
      <c r="HJ17" s="743"/>
      <c r="HK17" s="743"/>
      <c r="HL17" s="743"/>
      <c r="HM17" s="743"/>
      <c r="HN17" s="743"/>
      <c r="HO17" s="743"/>
      <c r="HP17" s="743"/>
      <c r="HQ17" s="743"/>
      <c r="HR17" s="743"/>
      <c r="HS17" s="743"/>
      <c r="HT17" s="743"/>
      <c r="HU17" s="743"/>
      <c r="HV17" s="743"/>
      <c r="HW17" s="743"/>
      <c r="HX17" s="743"/>
      <c r="HY17" s="743"/>
      <c r="HZ17" s="743"/>
      <c r="IA17" s="743"/>
      <c r="IB17" s="743"/>
      <c r="IC17" s="743"/>
      <c r="ID17" s="743"/>
      <c r="IE17" s="743"/>
      <c r="IF17" s="743"/>
      <c r="IG17" s="743"/>
      <c r="IH17" s="743"/>
      <c r="II17" s="743"/>
      <c r="IJ17" s="743"/>
      <c r="IK17" s="743"/>
      <c r="IL17" s="743"/>
      <c r="IM17" s="743"/>
      <c r="IN17" s="743"/>
    </row>
    <row r="18" spans="1:248" x14ac:dyDescent="0.3">
      <c r="A18" s="382"/>
      <c r="B18" s="376" t="str">
        <f>PENYELIA!B18</f>
        <v>1. Pemeriksaan fisik</v>
      </c>
      <c r="C18" s="376"/>
      <c r="D18" s="376" t="s">
        <v>236</v>
      </c>
      <c r="E18" s="376" t="s">
        <v>7</v>
      </c>
      <c r="F18" s="382" t="str">
        <f>ID!D37</f>
        <v>Baik</v>
      </c>
      <c r="G18" s="376"/>
      <c r="H18" s="743"/>
      <c r="I18" s="743"/>
      <c r="J18" s="743"/>
      <c r="K18" s="743"/>
      <c r="L18" s="743"/>
      <c r="M18" s="743"/>
      <c r="N18" s="743"/>
      <c r="O18" s="743"/>
      <c r="P18" s="743"/>
      <c r="Q18" s="743"/>
    </row>
    <row r="19" spans="1:248" x14ac:dyDescent="0.3">
      <c r="A19" s="382"/>
      <c r="B19" s="376" t="str">
        <f>PENYELIA!B19</f>
        <v>2. Pengujian fungsi</v>
      </c>
      <c r="C19" s="376"/>
      <c r="D19" s="376" t="s">
        <v>236</v>
      </c>
      <c r="E19" s="376" t="s">
        <v>7</v>
      </c>
      <c r="F19" s="382" t="str">
        <f>ID!D38</f>
        <v>Baik</v>
      </c>
      <c r="G19" s="376"/>
      <c r="H19" s="743"/>
      <c r="I19" s="743"/>
      <c r="J19" s="743"/>
      <c r="K19" s="743"/>
      <c r="L19" s="743"/>
      <c r="M19" s="743"/>
      <c r="N19" s="743"/>
      <c r="O19" s="743"/>
      <c r="P19" s="743"/>
      <c r="Q19" s="743"/>
    </row>
    <row r="20" spans="1:248" ht="5.25" customHeight="1" x14ac:dyDescent="0.3">
      <c r="A20" s="1458"/>
      <c r="B20" s="1458"/>
      <c r="C20" s="1458"/>
      <c r="D20" s="1458"/>
      <c r="E20" s="1458"/>
      <c r="F20" s="1458"/>
      <c r="G20" s="1458"/>
      <c r="H20" s="393"/>
      <c r="I20" s="393"/>
      <c r="J20" s="743"/>
      <c r="K20" s="743"/>
      <c r="L20" s="743"/>
      <c r="M20" s="743"/>
      <c r="N20" s="743"/>
      <c r="O20" s="743"/>
      <c r="P20" s="743"/>
      <c r="Q20" s="743"/>
    </row>
    <row r="21" spans="1:248" s="123" customFormat="1" x14ac:dyDescent="0.25">
      <c r="A21" s="383" t="s">
        <v>239</v>
      </c>
      <c r="B21" s="383" t="s">
        <v>240</v>
      </c>
      <c r="C21" s="236"/>
      <c r="D21" s="236"/>
      <c r="E21" s="236"/>
      <c r="F21" s="236"/>
      <c r="G21" s="236"/>
      <c r="H21" s="211"/>
      <c r="I21" s="1134"/>
      <c r="J21" s="1129"/>
      <c r="K21" s="231"/>
      <c r="L21" s="350"/>
      <c r="M21" s="350"/>
      <c r="N21" s="350"/>
      <c r="O21" s="346"/>
      <c r="P21" s="293"/>
      <c r="Q21" s="293"/>
    </row>
    <row r="22" spans="1:248" s="167" customFormat="1" ht="33" customHeight="1" x14ac:dyDescent="0.25">
      <c r="A22" s="202"/>
      <c r="B22" s="1300" t="s">
        <v>23</v>
      </c>
      <c r="C22" s="1301"/>
      <c r="D22" s="1301"/>
      <c r="E22" s="1301"/>
      <c r="F22" s="1301"/>
      <c r="G22" s="1301"/>
      <c r="H22" s="1302"/>
      <c r="I22" s="1299" t="s">
        <v>40</v>
      </c>
      <c r="J22" s="1299"/>
      <c r="K22" s="1128" t="s">
        <v>41</v>
      </c>
      <c r="L22" s="274"/>
    </row>
    <row r="23" spans="1:248" s="167" customFormat="1" ht="15" x14ac:dyDescent="0.25">
      <c r="A23" s="202"/>
      <c r="B23" s="203" t="str">
        <f>PENYELIA!B23</f>
        <v>Resistansi isolasi</v>
      </c>
      <c r="C23" s="204"/>
      <c r="D23" s="204"/>
      <c r="E23" s="204"/>
      <c r="F23" s="204"/>
      <c r="G23" s="205"/>
      <c r="H23" s="206"/>
      <c r="I23" s="1069" t="str">
        <f>PENYELIA!I23</f>
        <v>-</v>
      </c>
      <c r="J23" s="1072" t="str">
        <f>IF(I23="-","","MΩ")</f>
        <v/>
      </c>
      <c r="K23" s="1067" t="str">
        <f>PENYELIA!J23</f>
        <v>&gt; 2 MΩ</v>
      </c>
      <c r="L23" s="1098"/>
    </row>
    <row r="24" spans="1:248" s="167" customFormat="1" ht="15" x14ac:dyDescent="0.25">
      <c r="A24" s="202"/>
      <c r="B24" s="203" t="str">
        <f>PENYELIA!B24</f>
        <v>Resistansi pembumian protektif (kabel dapat dilepas)</v>
      </c>
      <c r="C24" s="204"/>
      <c r="D24" s="204"/>
      <c r="E24" s="204"/>
      <c r="F24" s="204"/>
      <c r="G24" s="207"/>
      <c r="H24" s="206"/>
      <c r="I24" s="1070" t="str">
        <f>PENYELIA!I24</f>
        <v>-</v>
      </c>
      <c r="J24" s="1072" t="str">
        <f>IF(I24="-","","Ω")</f>
        <v/>
      </c>
      <c r="K24" s="1067" t="str">
        <f>PENYELIA!J24</f>
        <v>≤ 0.2 Ω</v>
      </c>
      <c r="L24" s="1098"/>
    </row>
    <row r="25" spans="1:248" s="167" customFormat="1" ht="15" x14ac:dyDescent="0.25">
      <c r="A25" s="202"/>
      <c r="B25" s="203" t="str">
        <f>PENYELIA!B25</f>
        <v xml:space="preserve">Arus bocor peralatan untuk peralatan elektromedik kelas II </v>
      </c>
      <c r="C25" s="204"/>
      <c r="D25" s="204"/>
      <c r="E25" s="204"/>
      <c r="F25" s="204"/>
      <c r="G25" s="205"/>
      <c r="H25" s="208"/>
      <c r="I25" s="1071" t="str">
        <f>PENYELIA!I25</f>
        <v>-</v>
      </c>
      <c r="J25" s="1072" t="str">
        <f>IF(I25="-",""," µa")</f>
        <v/>
      </c>
      <c r="K25" s="1067" t="str">
        <f>PENYELIA!J25</f>
        <v>≤ 100 μA</v>
      </c>
      <c r="L25" s="1098"/>
    </row>
    <row r="26" spans="1:248" s="123" customFormat="1" ht="6.75" customHeight="1" x14ac:dyDescent="0.25">
      <c r="A26" s="124"/>
      <c r="B26" s="124"/>
      <c r="C26" s="384"/>
      <c r="D26" s="384"/>
      <c r="E26" s="384"/>
      <c r="F26" s="384"/>
      <c r="G26" s="384"/>
      <c r="H26" s="384"/>
      <c r="I26" s="384"/>
      <c r="J26" s="691"/>
      <c r="K26" s="350"/>
      <c r="L26" s="350"/>
      <c r="M26" s="350"/>
      <c r="N26" s="350"/>
      <c r="O26" s="346"/>
      <c r="P26" s="293"/>
      <c r="Q26" s="293"/>
    </row>
    <row r="27" spans="1:248" s="123" customFormat="1" x14ac:dyDescent="0.25">
      <c r="A27" s="385" t="s">
        <v>241</v>
      </c>
      <c r="B27" s="385" t="s">
        <v>271</v>
      </c>
      <c r="C27" s="385"/>
      <c r="D27" s="385"/>
      <c r="E27" s="385"/>
      <c r="F27" s="385"/>
      <c r="G27" s="385"/>
      <c r="H27" s="385"/>
      <c r="I27" s="217"/>
      <c r="J27" s="217"/>
      <c r="K27" s="217"/>
      <c r="L27" s="217"/>
      <c r="M27" s="174"/>
      <c r="N27" s="174"/>
      <c r="O27" s="684"/>
      <c r="P27" s="293"/>
      <c r="Q27" s="293"/>
    </row>
    <row r="28" spans="1:248" s="123" customFormat="1" x14ac:dyDescent="0.25">
      <c r="A28" s="385"/>
      <c r="B28" s="386" t="str">
        <f>PENYELIA!B28</f>
        <v xml:space="preserve">A. Blood pressure monitor </v>
      </c>
      <c r="C28" s="386"/>
      <c r="D28" s="386"/>
      <c r="E28" s="386"/>
      <c r="F28" s="386"/>
      <c r="G28" s="386"/>
      <c r="H28" s="386"/>
      <c r="I28" s="217"/>
      <c r="J28" s="217"/>
      <c r="K28" s="217"/>
      <c r="L28" s="217"/>
      <c r="M28" s="174"/>
      <c r="N28" s="174"/>
      <c r="O28" s="684"/>
      <c r="P28" s="293"/>
      <c r="Q28" s="293"/>
    </row>
    <row r="29" spans="1:248" s="123" customFormat="1" ht="9" customHeight="1" x14ac:dyDescent="0.25">
      <c r="A29" s="1432"/>
      <c r="B29" s="1433" t="s">
        <v>39</v>
      </c>
      <c r="C29" s="1436" t="str">
        <f>PENYELIA!C29</f>
        <v>Parameter</v>
      </c>
      <c r="D29" s="1439"/>
      <c r="E29" s="1459"/>
      <c r="F29" s="1433" t="str">
        <f>PENYELIA!F29</f>
        <v>Setting standar (mmHg)</v>
      </c>
      <c r="G29" s="1268" t="str">
        <f>PENYELIA!G29</f>
        <v>Setting heart rate (bpm)</v>
      </c>
      <c r="H29" s="1433" t="str">
        <f>PENYELIA!H29</f>
        <v xml:space="preserve">Penunjukan alat                           (mmHg)                     </v>
      </c>
      <c r="I29" s="1433" t="str">
        <f>PENYELIA!I29</f>
        <v xml:space="preserve">Koreksi    (mmHg)                          </v>
      </c>
      <c r="J29" s="1297" t="str">
        <f>PENYELIA!J29</f>
        <v>Toleransi (mmHg)</v>
      </c>
      <c r="K29" s="1433" t="str">
        <f>PENYELIA!K29</f>
        <v xml:space="preserve">Ketidakpastian pengukuran    ±(mmHg)                       </v>
      </c>
      <c r="L29" s="217"/>
      <c r="M29" s="124"/>
      <c r="N29" s="124"/>
      <c r="O29" s="124"/>
      <c r="P29" s="124"/>
      <c r="Q29" s="124"/>
    </row>
    <row r="30" spans="1:248" s="123" customFormat="1" ht="12" customHeight="1" x14ac:dyDescent="0.25">
      <c r="A30" s="1432"/>
      <c r="B30" s="1434"/>
      <c r="C30" s="1437"/>
      <c r="D30" s="1440"/>
      <c r="E30" s="1460"/>
      <c r="F30" s="1434"/>
      <c r="G30" s="1268"/>
      <c r="H30" s="1434"/>
      <c r="I30" s="1434"/>
      <c r="J30" s="1311"/>
      <c r="K30" s="1434"/>
      <c r="L30" s="217"/>
      <c r="M30" s="124"/>
      <c r="N30" s="124"/>
      <c r="O30" s="124"/>
      <c r="P30" s="124"/>
      <c r="Q30" s="124"/>
    </row>
    <row r="31" spans="1:248" s="123" customFormat="1" ht="24" customHeight="1" x14ac:dyDescent="0.25">
      <c r="A31" s="1432"/>
      <c r="B31" s="1435"/>
      <c r="C31" s="1438"/>
      <c r="D31" s="1441"/>
      <c r="E31" s="1461"/>
      <c r="F31" s="1435"/>
      <c r="G31" s="1268"/>
      <c r="H31" s="1435"/>
      <c r="I31" s="1435"/>
      <c r="J31" s="1444"/>
      <c r="K31" s="1435"/>
      <c r="L31" s="217"/>
      <c r="M31" s="124"/>
      <c r="N31" s="124"/>
      <c r="O31" s="124"/>
      <c r="P31" s="124"/>
      <c r="Q31" s="124"/>
    </row>
    <row r="32" spans="1:248" s="123" customFormat="1" x14ac:dyDescent="0.25">
      <c r="A32" s="1431"/>
      <c r="B32" s="1442">
        <v>1</v>
      </c>
      <c r="C32" s="387" t="str">
        <f>PENYELIA!C32</f>
        <v xml:space="preserve">Sistole </v>
      </c>
      <c r="D32" s="388"/>
      <c r="E32" s="389"/>
      <c r="F32" s="390">
        <f>PENYELIA!F32</f>
        <v>80</v>
      </c>
      <c r="G32" s="1266">
        <f>PENYELIA!G32</f>
        <v>70</v>
      </c>
      <c r="H32" s="464">
        <f>ID!L51</f>
        <v>81.972799999999992</v>
      </c>
      <c r="I32" s="391">
        <f>ID!O51</f>
        <v>-1.9727999999999923</v>
      </c>
      <c r="J32" s="1316" t="s">
        <v>62</v>
      </c>
      <c r="K32" s="1130">
        <f>ID!P51</f>
        <v>0.72657111540404895</v>
      </c>
      <c r="L32" s="217"/>
      <c r="M32" s="124"/>
      <c r="N32" s="124" t="s">
        <v>149</v>
      </c>
      <c r="O32" s="124"/>
      <c r="P32" s="124"/>
      <c r="Q32" s="124"/>
    </row>
    <row r="33" spans="1:17" s="123" customFormat="1" x14ac:dyDescent="0.25">
      <c r="A33" s="1431"/>
      <c r="B33" s="1443"/>
      <c r="C33" s="387" t="str">
        <f>PENYELIA!C33</f>
        <v>Diastole</v>
      </c>
      <c r="D33" s="388"/>
      <c r="E33" s="389"/>
      <c r="F33" s="390">
        <f>PENYELIA!F33</f>
        <v>50</v>
      </c>
      <c r="G33" s="1267"/>
      <c r="H33" s="464">
        <f>ID!L52</f>
        <v>50.3</v>
      </c>
      <c r="I33" s="391">
        <f>ID!O52</f>
        <v>-0.29999999999999716</v>
      </c>
      <c r="J33" s="1317"/>
      <c r="K33" s="1130">
        <f>ID!P52</f>
        <v>0.58889639603889332</v>
      </c>
      <c r="L33" s="217"/>
      <c r="M33" s="124"/>
      <c r="N33" s="355"/>
      <c r="O33" s="714"/>
      <c r="P33" s="124"/>
      <c r="Q33" s="124"/>
    </row>
    <row r="34" spans="1:17" s="123" customFormat="1" x14ac:dyDescent="0.25">
      <c r="A34" s="1431"/>
      <c r="B34" s="1442">
        <v>2</v>
      </c>
      <c r="C34" s="387" t="str">
        <f>PENYELIA!C34</f>
        <v xml:space="preserve">Sistole </v>
      </c>
      <c r="D34" s="388"/>
      <c r="E34" s="389"/>
      <c r="F34" s="390">
        <f>PENYELIA!F34</f>
        <v>100</v>
      </c>
      <c r="G34" s="1266">
        <f>PENYELIA!G34</f>
        <v>70</v>
      </c>
      <c r="H34" s="464">
        <f>ID!L54</f>
        <v>103.49320006800001</v>
      </c>
      <c r="I34" s="391">
        <f>ID!O54</f>
        <v>-3.4932000680000073</v>
      </c>
      <c r="J34" s="1317"/>
      <c r="K34" s="1130">
        <f>ID!P54</f>
        <v>0.79760135149297562</v>
      </c>
      <c r="L34" s="1129"/>
      <c r="M34" s="124"/>
      <c r="N34" s="1133"/>
      <c r="O34" s="715"/>
      <c r="P34" s="1451"/>
      <c r="Q34" s="1451"/>
    </row>
    <row r="35" spans="1:17" s="123" customFormat="1" x14ac:dyDescent="0.25">
      <c r="A35" s="1431"/>
      <c r="B35" s="1443"/>
      <c r="C35" s="387" t="str">
        <f>PENYELIA!C35</f>
        <v>Diastole</v>
      </c>
      <c r="D35" s="388"/>
      <c r="E35" s="389"/>
      <c r="F35" s="390">
        <f>PENYELIA!F35</f>
        <v>65</v>
      </c>
      <c r="G35" s="1267"/>
      <c r="H35" s="464">
        <f>ID!L55</f>
        <v>65.239999999999995</v>
      </c>
      <c r="I35" s="391">
        <f>ID!O55</f>
        <v>-0.23999999999999488</v>
      </c>
      <c r="J35" s="1317"/>
      <c r="K35" s="1130">
        <f>ID!P55</f>
        <v>0.58889639603889332</v>
      </c>
      <c r="L35" s="392"/>
      <c r="M35" s="124"/>
      <c r="N35" s="1133"/>
      <c r="O35" s="715"/>
      <c r="P35" s="1138"/>
      <c r="Q35" s="1138"/>
    </row>
    <row r="36" spans="1:17" s="123" customFormat="1" x14ac:dyDescent="0.3">
      <c r="A36" s="1431"/>
      <c r="B36" s="1442">
        <v>3</v>
      </c>
      <c r="C36" s="387" t="str">
        <f>PENYELIA!C36</f>
        <v xml:space="preserve">Sistole </v>
      </c>
      <c r="D36" s="388"/>
      <c r="E36" s="389"/>
      <c r="F36" s="390">
        <f>PENYELIA!F36</f>
        <v>120</v>
      </c>
      <c r="G36" s="1266">
        <f>PENYELIA!G36</f>
        <v>80</v>
      </c>
      <c r="H36" s="464">
        <f>ID!L57</f>
        <v>120.06000040000001</v>
      </c>
      <c r="I36" s="391">
        <f>ID!O57</f>
        <v>-6.0000400000006948E-2</v>
      </c>
      <c r="J36" s="1317"/>
      <c r="K36" s="1130">
        <f>ID!P57</f>
        <v>0.58889639603889332</v>
      </c>
      <c r="L36" s="211"/>
      <c r="M36" s="124"/>
      <c r="N36" s="713"/>
      <c r="O36" s="715"/>
      <c r="P36" s="393" t="s">
        <v>149</v>
      </c>
      <c r="Q36" s="743" t="s">
        <v>149</v>
      </c>
    </row>
    <row r="37" spans="1:17" s="123" customFormat="1" x14ac:dyDescent="0.3">
      <c r="A37" s="1431"/>
      <c r="B37" s="1443"/>
      <c r="C37" s="387" t="str">
        <f>PENYELIA!C37</f>
        <v>Diastole</v>
      </c>
      <c r="D37" s="388"/>
      <c r="E37" s="389"/>
      <c r="F37" s="390">
        <f>PENYELIA!F37</f>
        <v>80</v>
      </c>
      <c r="G37" s="1267"/>
      <c r="H37" s="464">
        <f>ID!L58</f>
        <v>83.168000000000006</v>
      </c>
      <c r="I37" s="391">
        <f>ID!O58</f>
        <v>-3.1680000000000064</v>
      </c>
      <c r="J37" s="1317"/>
      <c r="K37" s="1130">
        <f>ID!P58</f>
        <v>0.58889639603889332</v>
      </c>
      <c r="L37" s="211"/>
      <c r="M37" s="124"/>
      <c r="N37" s="716" t="s">
        <v>816</v>
      </c>
      <c r="O37" s="717"/>
      <c r="P37" s="159" t="s">
        <v>817</v>
      </c>
      <c r="Q37" s="1103" t="s">
        <v>818</v>
      </c>
    </row>
    <row r="38" spans="1:17" s="123" customFormat="1" x14ac:dyDescent="0.25">
      <c r="A38" s="1431"/>
      <c r="B38" s="1442">
        <v>4</v>
      </c>
      <c r="C38" s="387" t="str">
        <f>PENYELIA!C38</f>
        <v xml:space="preserve">Sistole </v>
      </c>
      <c r="D38" s="388"/>
      <c r="E38" s="389"/>
      <c r="F38" s="390">
        <f>PENYELIA!F38</f>
        <v>150</v>
      </c>
      <c r="G38" s="1266">
        <f>PENYELIA!G38</f>
        <v>80</v>
      </c>
      <c r="H38" s="464">
        <f>ID!L60</f>
        <v>147.60480095200001</v>
      </c>
      <c r="I38" s="391">
        <f>ID!O60</f>
        <v>2.3951990479999949</v>
      </c>
      <c r="J38" s="1317"/>
      <c r="K38" s="1130">
        <f>ID!P60</f>
        <v>0.79760135149297562</v>
      </c>
      <c r="L38" s="211"/>
      <c r="M38" s="124"/>
      <c r="N38" s="124"/>
      <c r="O38" s="124"/>
      <c r="P38" s="124"/>
      <c r="Q38" s="124"/>
    </row>
    <row r="39" spans="1:17" s="123" customFormat="1" x14ac:dyDescent="0.25">
      <c r="A39" s="1431"/>
      <c r="B39" s="1443"/>
      <c r="C39" s="1143" t="str">
        <f>PENYELIA!C39</f>
        <v>Diastole</v>
      </c>
      <c r="D39" s="1144"/>
      <c r="E39" s="1145"/>
      <c r="F39" s="1146">
        <f>PENYELIA!F39</f>
        <v>100</v>
      </c>
      <c r="G39" s="1278"/>
      <c r="H39" s="1147">
        <f>ID!L61</f>
        <v>100.1</v>
      </c>
      <c r="I39" s="1148">
        <f>ID!O61</f>
        <v>-9.9999999999994316E-2</v>
      </c>
      <c r="J39" s="1317"/>
      <c r="K39" s="1149">
        <f>ID!P61</f>
        <v>0.58889639603889332</v>
      </c>
      <c r="L39" s="211"/>
      <c r="M39" s="124"/>
      <c r="N39" s="749"/>
      <c r="O39" s="124"/>
      <c r="P39" s="124"/>
      <c r="Q39" s="124"/>
    </row>
    <row r="40" spans="1:17" s="123" customFormat="1" ht="6" customHeight="1" x14ac:dyDescent="0.25">
      <c r="A40" s="1472"/>
      <c r="B40" s="1479"/>
      <c r="C40" s="1150"/>
      <c r="D40" s="1144"/>
      <c r="E40" s="1144"/>
      <c r="F40" s="1151"/>
      <c r="G40" s="1463"/>
      <c r="H40" s="1152"/>
      <c r="I40" s="1153"/>
      <c r="J40" s="1154"/>
      <c r="K40" s="1155"/>
      <c r="L40" s="211"/>
      <c r="M40" s="124"/>
      <c r="N40" s="160" t="s">
        <v>249</v>
      </c>
      <c r="O40" s="124"/>
      <c r="P40" s="124"/>
      <c r="Q40" s="124"/>
    </row>
    <row r="41" spans="1:17" s="123" customFormat="1" ht="6" customHeight="1" x14ac:dyDescent="0.25">
      <c r="A41" s="1472"/>
      <c r="B41" s="1480"/>
      <c r="C41" s="1156"/>
      <c r="D41" s="1157"/>
      <c r="E41" s="1157"/>
      <c r="F41" s="1158"/>
      <c r="G41" s="1465"/>
      <c r="H41" s="1159"/>
      <c r="I41" s="1160"/>
      <c r="J41" s="1161"/>
      <c r="K41" s="231"/>
      <c r="L41" s="211"/>
      <c r="M41" s="124"/>
      <c r="N41" s="160" t="s">
        <v>249</v>
      </c>
      <c r="O41" s="124"/>
      <c r="P41" s="124"/>
      <c r="Q41" s="124"/>
    </row>
    <row r="42" spans="1:17" ht="6" customHeight="1" x14ac:dyDescent="0.3">
      <c r="A42" s="750"/>
      <c r="B42" s="750"/>
      <c r="C42" s="750"/>
      <c r="D42" s="750"/>
      <c r="E42" s="750"/>
      <c r="F42" s="750"/>
      <c r="G42" s="750"/>
      <c r="H42" s="754"/>
      <c r="I42" s="754"/>
      <c r="J42" s="755"/>
      <c r="K42" s="755"/>
      <c r="L42" s="743"/>
      <c r="M42" s="743"/>
      <c r="N42" s="743"/>
      <c r="O42" s="743"/>
      <c r="P42" s="743"/>
      <c r="Q42" s="743"/>
    </row>
    <row r="43" spans="1:17" ht="17.25" customHeight="1" x14ac:dyDescent="0.3">
      <c r="A43" s="750"/>
      <c r="B43" s="249" t="s">
        <v>70</v>
      </c>
      <c r="C43" s="184"/>
      <c r="D43" s="185"/>
      <c r="E43" s="185"/>
      <c r="F43" s="186"/>
      <c r="G43" s="1131"/>
      <c r="H43" s="187"/>
      <c r="I43" s="754"/>
      <c r="J43" s="755"/>
      <c r="K43" s="755"/>
      <c r="L43" s="743"/>
      <c r="M43" s="743"/>
      <c r="N43" s="743"/>
      <c r="O43" s="743"/>
      <c r="P43" s="743"/>
      <c r="Q43" s="743"/>
    </row>
    <row r="44" spans="1:17" ht="9" customHeight="1" x14ac:dyDescent="0.3">
      <c r="A44" s="750"/>
      <c r="B44" s="1131"/>
      <c r="C44" s="184"/>
      <c r="D44" s="185"/>
      <c r="E44" s="185"/>
      <c r="F44" s="186"/>
      <c r="G44" s="1131"/>
      <c r="H44" s="187"/>
      <c r="I44" s="754"/>
      <c r="J44" s="755"/>
      <c r="K44" s="755"/>
      <c r="L44" s="743"/>
      <c r="M44" s="743"/>
      <c r="N44" s="743"/>
      <c r="O44" s="743"/>
      <c r="P44" s="743"/>
      <c r="Q44" s="743"/>
    </row>
    <row r="45" spans="1:17" ht="15.75" customHeight="1" x14ac:dyDescent="0.3">
      <c r="A45" s="750"/>
      <c r="B45" s="1266" t="s">
        <v>39</v>
      </c>
      <c r="C45" s="1462" t="s">
        <v>23</v>
      </c>
      <c r="D45" s="1463"/>
      <c r="E45" s="394"/>
      <c r="F45" s="1268" t="str">
        <f>PENYELIA!F45</f>
        <v>Setting standar (bpm)</v>
      </c>
      <c r="G45" s="1268" t="s">
        <v>155</v>
      </c>
      <c r="H45" s="1268" t="s">
        <v>156</v>
      </c>
      <c r="I45" s="1445" t="str">
        <f>PENYELIA!I45</f>
        <v>Penunjukan alat               (bpm)</v>
      </c>
      <c r="J45" s="1446" t="str">
        <f>PENYELIA!J45</f>
        <v>Koreksi relatif (%)</v>
      </c>
      <c r="K45" s="1297" t="str">
        <f>PENYELIA!K45</f>
        <v>Toleransi                         (%)</v>
      </c>
      <c r="L45" s="1433" t="str">
        <f>PENYELIA!L45</f>
        <v xml:space="preserve">Ketidakpastian pengukuran                         (%)                          </v>
      </c>
      <c r="M45" s="743"/>
      <c r="N45" s="743"/>
      <c r="O45" s="743"/>
      <c r="P45" s="743"/>
      <c r="Q45" s="743"/>
    </row>
    <row r="46" spans="1:17" ht="15.75" customHeight="1" x14ac:dyDescent="0.3">
      <c r="A46" s="750"/>
      <c r="B46" s="1278"/>
      <c r="C46" s="1464"/>
      <c r="D46" s="1465"/>
      <c r="E46" s="395"/>
      <c r="F46" s="1268"/>
      <c r="G46" s="1268"/>
      <c r="H46" s="1268"/>
      <c r="I46" s="1445"/>
      <c r="J46" s="1446"/>
      <c r="K46" s="1311"/>
      <c r="L46" s="1434"/>
      <c r="M46" s="743"/>
      <c r="N46" s="743"/>
      <c r="O46" s="743"/>
      <c r="P46" s="743"/>
      <c r="Q46" s="743"/>
    </row>
    <row r="47" spans="1:17" ht="15.75" customHeight="1" x14ac:dyDescent="0.3">
      <c r="A47" s="750"/>
      <c r="B47" s="1267"/>
      <c r="C47" s="1466"/>
      <c r="D47" s="1467"/>
      <c r="E47" s="395"/>
      <c r="F47" s="1268"/>
      <c r="G47" s="1268"/>
      <c r="H47" s="1268"/>
      <c r="I47" s="1445"/>
      <c r="J47" s="1446"/>
      <c r="K47" s="1444"/>
      <c r="L47" s="1435"/>
      <c r="M47" s="743"/>
      <c r="N47" s="743"/>
      <c r="O47" s="743"/>
      <c r="P47" s="743"/>
      <c r="Q47" s="743"/>
    </row>
    <row r="48" spans="1:17" ht="17.25" customHeight="1" x14ac:dyDescent="0.3">
      <c r="A48" s="750"/>
      <c r="B48" s="1266">
        <v>1</v>
      </c>
      <c r="C48" s="1468" t="s">
        <v>80</v>
      </c>
      <c r="D48" s="1469"/>
      <c r="E48" s="1470"/>
      <c r="F48" s="1127">
        <f>ID!D73</f>
        <v>60</v>
      </c>
      <c r="G48" s="1476">
        <f>ID!E73</f>
        <v>120</v>
      </c>
      <c r="H48" s="1476">
        <f>ID!F73</f>
        <v>80</v>
      </c>
      <c r="I48" s="624">
        <f>PENYELIA!I48</f>
        <v>60</v>
      </c>
      <c r="J48" s="396">
        <f>PENYELIA!J48</f>
        <v>0</v>
      </c>
      <c r="K48" s="1447" t="s">
        <v>272</v>
      </c>
      <c r="L48" s="396">
        <f>PENYELIA!L48</f>
        <v>0.96636845337887511</v>
      </c>
      <c r="M48" s="743"/>
      <c r="N48" s="743"/>
      <c r="O48" s="743"/>
      <c r="P48" s="743"/>
      <c r="Q48" s="743"/>
    </row>
    <row r="49" spans="1:26" ht="17.25" customHeight="1" x14ac:dyDescent="0.3">
      <c r="A49" s="750"/>
      <c r="B49" s="1278"/>
      <c r="C49" s="1471"/>
      <c r="D49" s="1472"/>
      <c r="E49" s="1431"/>
      <c r="F49" s="1127">
        <f>ID!D74</f>
        <v>120</v>
      </c>
      <c r="G49" s="1477"/>
      <c r="H49" s="1477"/>
      <c r="I49" s="624">
        <f>PENYELIA!I49</f>
        <v>121</v>
      </c>
      <c r="J49" s="396">
        <f>PENYELIA!J49</f>
        <v>-0.83333333333333337</v>
      </c>
      <c r="K49" s="1448"/>
      <c r="L49" s="396">
        <f>PENYELIA!L49</f>
        <v>0.47919096861762406</v>
      </c>
      <c r="M49" s="743"/>
      <c r="N49" s="743"/>
      <c r="O49" s="743"/>
      <c r="P49" s="743"/>
      <c r="Q49" s="743"/>
    </row>
    <row r="50" spans="1:26" ht="17.25" customHeight="1" x14ac:dyDescent="0.3">
      <c r="A50" s="750"/>
      <c r="B50" s="1267"/>
      <c r="C50" s="1473"/>
      <c r="D50" s="1474"/>
      <c r="E50" s="1475"/>
      <c r="F50" s="1127">
        <f>ID!D75</f>
        <v>180</v>
      </c>
      <c r="G50" s="1478"/>
      <c r="H50" s="1478"/>
      <c r="I50" s="624">
        <f>PENYELIA!I50</f>
        <v>179</v>
      </c>
      <c r="J50" s="396">
        <f>PENYELIA!J50</f>
        <v>0.55555555555555558</v>
      </c>
      <c r="K50" s="1449"/>
      <c r="L50" s="396">
        <f>PENYELIA!L50</f>
        <v>0.32392238660744421</v>
      </c>
      <c r="M50" s="743"/>
      <c r="O50" s="743"/>
      <c r="P50" s="743"/>
      <c r="Q50" s="743"/>
      <c r="R50" s="743"/>
      <c r="S50" s="743"/>
      <c r="T50" s="743"/>
      <c r="U50" s="743"/>
      <c r="V50" s="743"/>
      <c r="W50" s="743"/>
      <c r="X50" s="743"/>
      <c r="Y50" s="743"/>
      <c r="Z50" s="743"/>
    </row>
    <row r="51" spans="1:26" ht="6.75" customHeight="1" x14ac:dyDescent="0.3">
      <c r="A51" s="750"/>
      <c r="B51" s="750"/>
      <c r="C51" s="750"/>
      <c r="D51" s="750"/>
      <c r="E51" s="750"/>
      <c r="F51" s="750"/>
      <c r="G51" s="750"/>
      <c r="H51" s="754"/>
      <c r="I51" s="754"/>
      <c r="J51" s="755"/>
      <c r="K51" s="755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</row>
    <row r="52" spans="1:26" x14ac:dyDescent="0.3">
      <c r="A52" s="1139" t="s">
        <v>256</v>
      </c>
      <c r="B52" s="1139" t="s">
        <v>257</v>
      </c>
      <c r="C52" s="609"/>
      <c r="D52" s="1140"/>
      <c r="E52" s="1140"/>
      <c r="F52" s="1140"/>
      <c r="G52" s="1140"/>
      <c r="H52" s="610"/>
      <c r="I52" s="610"/>
      <c r="J52" s="611"/>
      <c r="K52" s="611"/>
      <c r="L52" s="756"/>
      <c r="M52" s="743"/>
      <c r="O52" s="743"/>
      <c r="P52" s="743"/>
      <c r="Q52" s="743"/>
      <c r="R52" s="743"/>
      <c r="S52" s="743"/>
      <c r="T52" s="743"/>
      <c r="U52" s="743"/>
      <c r="V52" s="743"/>
      <c r="W52" s="743"/>
      <c r="X52" s="743"/>
      <c r="Y52" s="743"/>
      <c r="Z52" s="743"/>
    </row>
    <row r="53" spans="1:26" x14ac:dyDescent="0.3">
      <c r="A53" s="143"/>
      <c r="B53" s="612" t="s">
        <v>273</v>
      </c>
      <c r="C53" s="1140"/>
      <c r="D53" s="1140"/>
      <c r="E53" s="1140"/>
      <c r="F53" s="1140"/>
      <c r="G53" s="1140"/>
      <c r="H53" s="610"/>
      <c r="I53" s="610"/>
      <c r="J53" s="611"/>
      <c r="K53" s="611"/>
      <c r="L53" s="756"/>
      <c r="M53" s="743"/>
      <c r="O53" s="743"/>
      <c r="P53" s="743"/>
      <c r="Q53" s="743"/>
      <c r="R53" s="743"/>
      <c r="S53" s="743"/>
      <c r="T53" s="743"/>
      <c r="U53" s="743"/>
      <c r="V53" s="743"/>
      <c r="W53" s="743"/>
      <c r="X53" s="743"/>
      <c r="Y53" s="743"/>
      <c r="Z53" s="743"/>
    </row>
    <row r="54" spans="1:26" x14ac:dyDescent="0.3">
      <c r="A54" s="143"/>
      <c r="B54" s="612" t="s">
        <v>274</v>
      </c>
      <c r="C54" s="1140"/>
      <c r="D54" s="1140"/>
      <c r="E54" s="1140"/>
      <c r="F54" s="1140"/>
      <c r="G54" s="1140"/>
      <c r="H54" s="610"/>
      <c r="I54" s="610"/>
      <c r="J54" s="611"/>
      <c r="K54" s="611"/>
      <c r="L54" s="756"/>
      <c r="M54" s="743"/>
      <c r="N54" s="743"/>
      <c r="O54" s="743"/>
      <c r="P54" s="743"/>
      <c r="Q54" s="743"/>
      <c r="R54" s="743"/>
      <c r="S54" s="743"/>
      <c r="T54" s="743"/>
      <c r="U54" s="743"/>
      <c r="V54" s="743"/>
      <c r="W54" s="743"/>
      <c r="X54" s="743"/>
      <c r="Y54" s="743"/>
      <c r="Z54" s="743"/>
    </row>
    <row r="55" spans="1:26" s="378" customFormat="1" x14ac:dyDescent="0.3">
      <c r="A55" s="138"/>
      <c r="B55" s="141" t="str">
        <f>PENYELIA!B55</f>
        <v>Hasil pengujian kinerja blood pressure monitor tertelusur ke satuan SI melalui PT. KALIMAN</v>
      </c>
      <c r="C55" s="139"/>
      <c r="D55" s="139"/>
      <c r="E55" s="139"/>
      <c r="F55" s="139"/>
      <c r="G55" s="139"/>
      <c r="H55" s="140"/>
      <c r="I55" s="140"/>
      <c r="J55" s="137"/>
      <c r="K55" s="137"/>
      <c r="L55" s="757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</row>
    <row r="56" spans="1:26" s="378" customFormat="1" x14ac:dyDescent="0.3">
      <c r="A56" s="138"/>
      <c r="B56" s="1104" t="str">
        <f>PENYELIA!B56</f>
        <v/>
      </c>
      <c r="C56" s="1100"/>
      <c r="D56" s="1100"/>
      <c r="E56" s="1100"/>
      <c r="F56" s="1100"/>
      <c r="G56" s="1100"/>
      <c r="H56" s="1101"/>
      <c r="I56" s="1101"/>
      <c r="J56" s="137"/>
      <c r="K56" s="137"/>
      <c r="L56" s="757"/>
      <c r="M56" s="746"/>
      <c r="N56" s="746"/>
      <c r="O56" s="746"/>
      <c r="P56" s="746"/>
      <c r="Q56" s="746"/>
      <c r="R56" s="746"/>
      <c r="S56" s="746"/>
      <c r="T56" s="746"/>
      <c r="U56" s="746"/>
      <c r="V56" s="746"/>
      <c r="W56" s="746"/>
      <c r="X56" s="746"/>
      <c r="Y56" s="746"/>
      <c r="Z56" s="746"/>
    </row>
    <row r="57" spans="1:26" s="378" customFormat="1" x14ac:dyDescent="0.3">
      <c r="A57" s="138"/>
      <c r="B57" s="1099" t="str">
        <f>PENYELIA!B57</f>
        <v>Catu daya menggunakan baterai</v>
      </c>
      <c r="C57" s="1100"/>
      <c r="D57" s="1100"/>
      <c r="E57" s="1100"/>
      <c r="F57" s="1100"/>
      <c r="G57" s="1100"/>
      <c r="H57" s="1101"/>
      <c r="I57" s="1101"/>
      <c r="J57" s="137"/>
      <c r="K57" s="137"/>
      <c r="L57" s="757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</row>
    <row r="58" spans="1:26" s="378" customFormat="1" ht="15" customHeight="1" x14ac:dyDescent="0.3">
      <c r="A58" s="138"/>
      <c r="B58" s="1102" t="str">
        <f>PENYELIA!B58</f>
        <v/>
      </c>
      <c r="C58" s="1100"/>
      <c r="D58" s="1100"/>
      <c r="E58" s="1100"/>
      <c r="F58" s="1100"/>
      <c r="G58" s="1100"/>
      <c r="H58" s="1101"/>
      <c r="I58" s="1101"/>
      <c r="J58" s="137"/>
      <c r="K58" s="137"/>
      <c r="L58" s="757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</row>
    <row r="59" spans="1:26" s="378" customFormat="1" ht="15" customHeight="1" x14ac:dyDescent="0.3">
      <c r="A59" s="138"/>
      <c r="B59" s="141"/>
      <c r="C59" s="139"/>
      <c r="D59" s="139"/>
      <c r="E59" s="139"/>
      <c r="F59" s="139"/>
      <c r="G59" s="139"/>
      <c r="H59" s="140"/>
      <c r="I59" s="140"/>
      <c r="J59" s="137"/>
      <c r="K59" s="137"/>
      <c r="L59" s="757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</row>
    <row r="60" spans="1:26" x14ac:dyDescent="0.3">
      <c r="A60" s="613" t="s">
        <v>260</v>
      </c>
      <c r="B60" s="1452" t="s">
        <v>161</v>
      </c>
      <c r="C60" s="1452"/>
      <c r="D60" s="1452"/>
      <c r="E60" s="1452"/>
      <c r="F60" s="1452"/>
      <c r="G60" s="1452"/>
      <c r="H60" s="142"/>
      <c r="I60" s="142"/>
      <c r="J60" s="611"/>
      <c r="K60" s="611"/>
      <c r="L60" s="756"/>
      <c r="M60" s="743"/>
      <c r="N60" s="743"/>
      <c r="O60" s="743"/>
      <c r="P60" s="743"/>
      <c r="Q60" s="743"/>
      <c r="R60" s="743"/>
      <c r="S60" s="743"/>
      <c r="T60" s="743"/>
      <c r="U60" s="743"/>
      <c r="V60" s="743"/>
      <c r="W60" s="743"/>
      <c r="X60" s="743"/>
      <c r="Y60" s="743"/>
      <c r="Z60" s="743"/>
    </row>
    <row r="61" spans="1:26" x14ac:dyDescent="0.3">
      <c r="A61" s="143"/>
      <c r="B61" s="614" t="str">
        <f>ID!B88</f>
        <v>Vital Signs Simulator, Merek : Rigel, Model : UNI-SIM, SN : 05J-0804</v>
      </c>
      <c r="C61" s="142"/>
      <c r="D61" s="614"/>
      <c r="E61" s="142"/>
      <c r="F61" s="1140"/>
      <c r="G61" s="1140"/>
      <c r="H61" s="610"/>
      <c r="I61" s="610"/>
      <c r="J61" s="611"/>
      <c r="K61" s="611"/>
      <c r="L61" s="756"/>
      <c r="M61" s="743"/>
      <c r="N61" s="743"/>
      <c r="O61" s="743"/>
      <c r="P61" s="743"/>
      <c r="Q61" s="758"/>
      <c r="R61" s="758"/>
      <c r="S61" s="758"/>
      <c r="T61" s="758"/>
      <c r="U61" s="758"/>
      <c r="V61" s="758"/>
      <c r="W61" s="758"/>
      <c r="X61" s="758"/>
      <c r="Y61" s="758"/>
      <c r="Z61" s="758"/>
    </row>
    <row r="62" spans="1:26" ht="10.5" customHeight="1" x14ac:dyDescent="0.3">
      <c r="A62" s="1137"/>
      <c r="B62" s="615" t="str">
        <f>PENYELIA!B62</f>
        <v>Electrical Safety Analyzer, Merek : FLUKE, Model : ESA615, SN : 2853078</v>
      </c>
      <c r="C62" s="142"/>
      <c r="D62" s="614"/>
      <c r="E62" s="142"/>
      <c r="F62" s="142"/>
      <c r="G62" s="142"/>
      <c r="H62" s="142"/>
      <c r="I62" s="142"/>
      <c r="J62" s="611"/>
      <c r="K62" s="611"/>
      <c r="L62" s="756"/>
      <c r="M62" s="743"/>
      <c r="N62" s="743"/>
      <c r="O62" s="743"/>
      <c r="P62" s="743"/>
      <c r="Q62" s="758"/>
      <c r="R62" s="758"/>
      <c r="S62" s="758"/>
      <c r="T62" s="758"/>
      <c r="U62" s="758"/>
      <c r="V62" s="758"/>
      <c r="W62" s="758"/>
      <c r="X62" s="758"/>
      <c r="Y62" s="758"/>
      <c r="Z62" s="758"/>
    </row>
    <row r="63" spans="1:26" x14ac:dyDescent="0.3">
      <c r="A63" s="613" t="s">
        <v>262</v>
      </c>
      <c r="B63" s="616" t="s">
        <v>263</v>
      </c>
      <c r="C63" s="617"/>
      <c r="D63" s="614"/>
      <c r="E63" s="142"/>
      <c r="F63" s="142"/>
      <c r="G63" s="142"/>
      <c r="H63" s="142"/>
      <c r="I63" s="142"/>
      <c r="J63" s="611"/>
      <c r="K63" s="611"/>
      <c r="L63" s="756"/>
      <c r="M63" s="743"/>
      <c r="N63" s="743"/>
      <c r="O63" s="743"/>
      <c r="P63" s="743"/>
      <c r="Q63" s="743"/>
      <c r="R63" s="743"/>
      <c r="S63" s="743"/>
      <c r="T63" s="743"/>
      <c r="U63" s="743"/>
      <c r="V63" s="743"/>
      <c r="W63" s="743"/>
      <c r="X63" s="743"/>
      <c r="Y63" s="743"/>
      <c r="Z63" s="743"/>
    </row>
    <row r="64" spans="1:26" s="399" customFormat="1" ht="30.75" customHeight="1" x14ac:dyDescent="0.3">
      <c r="A64" s="618"/>
      <c r="B64" s="1430" t="str">
        <f>PENYELIA!B64</f>
        <v>Alat yang dikalibrasi dalam batas toleransi dan dinyatakan LAIK PAKAI, dimana hasil atau skor akhir sama dengan atau melampaui 70% berdasarkan Keputusan Direktur Jenderal Pelayanan Kesehatan No : HK.02.02/V/0412/2020</v>
      </c>
      <c r="C64" s="1430"/>
      <c r="D64" s="1430"/>
      <c r="E64" s="1430"/>
      <c r="F64" s="1430"/>
      <c r="G64" s="1430"/>
      <c r="H64" s="1430"/>
      <c r="I64" s="1430"/>
      <c r="J64" s="1430"/>
      <c r="K64" s="1430"/>
      <c r="L64" s="1430"/>
      <c r="M64" s="759"/>
      <c r="N64" s="759"/>
      <c r="O64" s="759"/>
      <c r="P64" s="759"/>
      <c r="Q64" s="759"/>
      <c r="R64" s="759"/>
      <c r="S64" s="759"/>
      <c r="T64" s="759"/>
      <c r="U64" s="759"/>
      <c r="V64" s="759"/>
      <c r="W64" s="759"/>
      <c r="X64" s="759"/>
      <c r="Y64" s="759"/>
      <c r="Z64" s="759"/>
    </row>
    <row r="65" spans="1:26" ht="6" customHeight="1" x14ac:dyDescent="0.3">
      <c r="A65" s="1453"/>
      <c r="B65" s="1453"/>
      <c r="C65" s="1453"/>
      <c r="D65" s="1453"/>
      <c r="E65" s="1453"/>
      <c r="F65" s="1453"/>
      <c r="G65" s="1453"/>
      <c r="H65" s="142"/>
      <c r="I65" s="142"/>
      <c r="J65" s="611"/>
      <c r="K65" s="611"/>
      <c r="L65" s="756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</row>
    <row r="66" spans="1:26" x14ac:dyDescent="0.3">
      <c r="A66" s="613" t="s">
        <v>264</v>
      </c>
      <c r="B66" s="1452" t="str">
        <f>PENYELIA!B66</f>
        <v>Petugas kalibrasi</v>
      </c>
      <c r="C66" s="1452"/>
      <c r="D66" s="1452"/>
      <c r="E66" s="1452"/>
      <c r="F66" s="1452"/>
      <c r="G66" s="1452"/>
      <c r="H66" s="142"/>
      <c r="I66" s="142"/>
      <c r="J66" s="611"/>
      <c r="K66" s="611"/>
      <c r="L66" s="756"/>
      <c r="M66" s="743"/>
      <c r="N66" s="39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</row>
    <row r="67" spans="1:26" x14ac:dyDescent="0.3">
      <c r="A67" s="143"/>
      <c r="B67" s="1450" t="str">
        <f>ID!E15</f>
        <v>Wardimanul Abrar</v>
      </c>
      <c r="C67" s="1450"/>
      <c r="D67" s="1450"/>
      <c r="E67" s="1450"/>
      <c r="F67" s="1450"/>
      <c r="G67" s="1450"/>
      <c r="H67" s="142"/>
      <c r="I67" s="142"/>
      <c r="J67" s="611"/>
      <c r="K67" s="611"/>
      <c r="L67" s="756"/>
      <c r="M67" s="743"/>
      <c r="N67" s="393"/>
      <c r="O67" s="743"/>
      <c r="P67" s="743"/>
      <c r="Q67" s="743"/>
      <c r="R67" s="743"/>
    </row>
    <row r="68" spans="1:26" ht="7.5" customHeight="1" x14ac:dyDescent="0.3">
      <c r="A68" s="143"/>
      <c r="B68" s="1137"/>
      <c r="C68" s="1137"/>
      <c r="D68" s="1137"/>
      <c r="E68" s="1137"/>
      <c r="F68" s="1137"/>
      <c r="G68" s="1137"/>
      <c r="H68" s="142"/>
      <c r="I68" s="142"/>
      <c r="J68" s="611"/>
      <c r="K68" s="611"/>
      <c r="L68" s="756"/>
      <c r="M68" s="743"/>
      <c r="N68" s="393"/>
      <c r="O68" s="743"/>
      <c r="P68" s="743"/>
      <c r="Q68" s="743"/>
      <c r="R68" s="743"/>
    </row>
    <row r="69" spans="1:26" x14ac:dyDescent="0.3">
      <c r="A69" s="143"/>
      <c r="B69" s="1137"/>
      <c r="C69" s="1137"/>
      <c r="D69" s="1137"/>
      <c r="E69" s="1137"/>
      <c r="F69" s="1137"/>
      <c r="G69" s="1137"/>
      <c r="H69" s="142"/>
      <c r="I69" s="112" t="s">
        <v>275</v>
      </c>
      <c r="J69" s="611"/>
      <c r="K69" s="611"/>
      <c r="L69" s="756"/>
      <c r="M69" s="743"/>
      <c r="N69" s="393"/>
      <c r="O69" s="743"/>
      <c r="P69" s="743"/>
      <c r="Q69" s="743"/>
      <c r="R69" s="743"/>
    </row>
    <row r="70" spans="1:26" x14ac:dyDescent="0.3">
      <c r="A70" s="143"/>
      <c r="B70" s="1137"/>
      <c r="C70" s="1137"/>
      <c r="D70" s="1137"/>
      <c r="E70" s="1137"/>
      <c r="F70" s="1137"/>
      <c r="G70" s="1137"/>
      <c r="H70" s="142"/>
      <c r="I70" s="112" t="s">
        <v>276</v>
      </c>
      <c r="J70" s="112"/>
      <c r="K70" s="611"/>
      <c r="L70" s="756"/>
      <c r="M70" s="743"/>
      <c r="N70" s="393"/>
      <c r="O70" s="743"/>
      <c r="P70" s="743"/>
      <c r="Q70" s="743"/>
      <c r="R70" s="743"/>
    </row>
    <row r="71" spans="1:26" x14ac:dyDescent="0.3">
      <c r="A71" s="143"/>
      <c r="B71" s="1137"/>
      <c r="C71" s="1137"/>
      <c r="D71" s="1137"/>
      <c r="E71" s="1137"/>
      <c r="F71" s="1137"/>
      <c r="G71" s="1137"/>
      <c r="H71" s="142"/>
      <c r="I71" s="112" t="s">
        <v>277</v>
      </c>
      <c r="J71" s="112"/>
      <c r="K71" s="611"/>
      <c r="L71" s="756"/>
      <c r="M71" s="743"/>
      <c r="N71" s="393"/>
      <c r="O71" s="743"/>
      <c r="P71" s="743"/>
      <c r="Q71" s="743"/>
      <c r="R71" s="743"/>
    </row>
    <row r="72" spans="1:26" x14ac:dyDescent="0.3">
      <c r="A72" s="143"/>
      <c r="B72" s="1137"/>
      <c r="C72" s="1137"/>
      <c r="D72" s="1137"/>
      <c r="E72" s="1137"/>
      <c r="F72" s="1137"/>
      <c r="G72" s="1137"/>
      <c r="H72" s="142"/>
      <c r="I72" s="112"/>
      <c r="J72" s="112"/>
      <c r="K72" s="611"/>
      <c r="L72" s="756"/>
      <c r="M72" s="743"/>
      <c r="N72" s="393"/>
      <c r="O72" s="743"/>
      <c r="P72" s="743"/>
      <c r="Q72" s="743"/>
      <c r="R72" s="743"/>
    </row>
    <row r="73" spans="1:26" x14ac:dyDescent="0.3">
      <c r="A73" s="143"/>
      <c r="B73" s="1137"/>
      <c r="C73" s="1137"/>
      <c r="D73" s="1137"/>
      <c r="E73" s="1137"/>
      <c r="F73" s="1137"/>
      <c r="G73" s="1137"/>
      <c r="H73" s="142"/>
      <c r="I73" s="112"/>
      <c r="J73" s="112"/>
      <c r="K73" s="611"/>
      <c r="L73" s="756"/>
      <c r="M73" s="743"/>
      <c r="N73" s="393"/>
      <c r="O73" s="743"/>
      <c r="P73" s="743"/>
      <c r="Q73" s="743"/>
      <c r="R73" s="743"/>
    </row>
    <row r="74" spans="1:26" x14ac:dyDescent="0.3">
      <c r="A74" s="143"/>
      <c r="B74" s="1137"/>
      <c r="C74" s="1137"/>
      <c r="D74" s="1137"/>
      <c r="E74" s="1137"/>
      <c r="F74" s="1137"/>
      <c r="G74" s="1137"/>
      <c r="H74" s="142"/>
      <c r="I74" s="112"/>
      <c r="J74" s="112"/>
      <c r="K74" s="611"/>
      <c r="L74" s="756"/>
      <c r="M74" s="743"/>
      <c r="N74" s="393"/>
      <c r="O74" s="743"/>
      <c r="P74" s="743"/>
      <c r="Q74" s="743"/>
      <c r="R74" s="743"/>
    </row>
    <row r="75" spans="1:26" x14ac:dyDescent="0.3">
      <c r="A75" s="143"/>
      <c r="B75" s="1137"/>
      <c r="C75" s="1137"/>
      <c r="D75" s="1137"/>
      <c r="E75" s="1137"/>
      <c r="F75" s="1137"/>
      <c r="G75" s="1137"/>
      <c r="H75" s="142"/>
      <c r="I75" s="619"/>
      <c r="J75" s="112"/>
      <c r="K75" s="611"/>
      <c r="L75" s="756"/>
      <c r="M75" s="743"/>
      <c r="N75" s="393"/>
      <c r="O75" s="743"/>
      <c r="P75" s="743"/>
      <c r="Q75" s="381"/>
      <c r="R75" s="400"/>
    </row>
    <row r="76" spans="1:26" x14ac:dyDescent="0.3">
      <c r="A76" s="143"/>
      <c r="B76" s="1137"/>
      <c r="C76" s="1137"/>
      <c r="D76" s="1137"/>
      <c r="E76" s="1137"/>
      <c r="F76" s="1137"/>
      <c r="G76" s="1137"/>
      <c r="H76" s="142"/>
      <c r="I76" s="620" t="s">
        <v>455</v>
      </c>
      <c r="J76" s="112"/>
      <c r="K76" s="611"/>
      <c r="L76" s="756"/>
      <c r="M76" s="743"/>
      <c r="N76" s="743"/>
      <c r="O76" s="743"/>
      <c r="P76" s="743"/>
      <c r="Q76" s="401"/>
      <c r="R76" s="400"/>
    </row>
    <row r="77" spans="1:26" x14ac:dyDescent="0.3">
      <c r="A77" s="143"/>
      <c r="B77" s="1137"/>
      <c r="C77" s="1137"/>
      <c r="D77" s="1137"/>
      <c r="E77" s="1137"/>
      <c r="F77" s="1137"/>
      <c r="G77" s="1137"/>
      <c r="H77" s="142"/>
      <c r="I77" s="621" t="s">
        <v>278</v>
      </c>
      <c r="J77" s="144"/>
      <c r="K77" s="144"/>
      <c r="L77" s="756"/>
      <c r="M77" s="743"/>
      <c r="N77" s="743"/>
      <c r="O77" s="743"/>
      <c r="P77" s="743"/>
      <c r="Q77" s="743"/>
      <c r="R77" s="743"/>
    </row>
    <row r="78" spans="1:26" ht="18" x14ac:dyDescent="0.35">
      <c r="A78" s="143"/>
      <c r="B78" s="1137"/>
      <c r="C78" s="1137"/>
      <c r="D78" s="1137"/>
      <c r="E78" s="1137"/>
      <c r="F78" s="756"/>
      <c r="G78" s="1137"/>
      <c r="H78" s="142"/>
      <c r="I78" s="756"/>
      <c r="J78" s="144"/>
      <c r="K78" s="144"/>
      <c r="L78" s="191"/>
      <c r="M78" s="743"/>
      <c r="N78" s="161"/>
      <c r="O78" s="743"/>
      <c r="P78" s="743"/>
      <c r="Q78" s="743"/>
      <c r="R78" s="743"/>
    </row>
    <row r="79" spans="1:26" x14ac:dyDescent="0.3">
      <c r="A79" s="143"/>
      <c r="B79" s="1137"/>
      <c r="C79" s="1137"/>
      <c r="D79" s="1137"/>
      <c r="E79" s="1137"/>
      <c r="F79" s="410"/>
      <c r="G79" s="1137"/>
      <c r="H79" s="142"/>
      <c r="I79" s="756"/>
      <c r="J79" s="144"/>
      <c r="K79" s="144"/>
      <c r="L79" s="756"/>
      <c r="M79" s="743"/>
      <c r="N79" s="160"/>
      <c r="O79" s="743"/>
      <c r="P79" s="743"/>
      <c r="Q79" s="743"/>
      <c r="R79" s="743"/>
    </row>
    <row r="80" spans="1:26" x14ac:dyDescent="0.3">
      <c r="A80" s="143"/>
      <c r="B80" s="1137"/>
      <c r="C80" s="1137"/>
      <c r="D80" s="1137"/>
      <c r="E80" s="1137"/>
      <c r="F80" s="411"/>
      <c r="G80" s="1137"/>
      <c r="H80" s="142"/>
      <c r="I80" s="756"/>
      <c r="J80" s="144"/>
      <c r="K80" s="144"/>
      <c r="L80" s="756"/>
      <c r="M80" s="743"/>
      <c r="N80" s="160"/>
      <c r="O80" s="743"/>
      <c r="P80" s="743"/>
      <c r="Q80" s="743"/>
      <c r="R80" s="743"/>
    </row>
    <row r="81" spans="1:18" x14ac:dyDescent="0.3">
      <c r="A81" s="143"/>
      <c r="B81" s="1137"/>
      <c r="C81" s="1137"/>
      <c r="D81" s="1137"/>
      <c r="E81" s="1137"/>
      <c r="F81" s="410"/>
      <c r="G81" s="1137"/>
      <c r="H81" s="142"/>
      <c r="I81" s="756"/>
      <c r="J81" s="144"/>
      <c r="K81" s="144"/>
      <c r="L81" s="756"/>
      <c r="M81" s="743"/>
      <c r="N81" s="160"/>
      <c r="O81" s="743"/>
      <c r="P81" s="743"/>
      <c r="Q81" s="743"/>
      <c r="R81" s="743"/>
    </row>
    <row r="82" spans="1:18" ht="18" x14ac:dyDescent="0.35">
      <c r="A82" s="397"/>
      <c r="B82" s="1136"/>
      <c r="C82" s="1136"/>
      <c r="D82" s="1136"/>
      <c r="E82" s="1136"/>
      <c r="F82" s="405"/>
      <c r="G82" s="1136"/>
      <c r="H82" s="398"/>
      <c r="I82" s="402"/>
      <c r="J82" s="403"/>
      <c r="K82" s="153"/>
      <c r="L82" s="743"/>
      <c r="M82" s="743"/>
      <c r="N82" s="161"/>
      <c r="O82" s="743"/>
      <c r="P82" s="743"/>
      <c r="Q82" s="743"/>
      <c r="R82" s="743"/>
    </row>
    <row r="83" spans="1:18" x14ac:dyDescent="0.3">
      <c r="A83" s="397"/>
      <c r="B83" s="1136"/>
      <c r="C83" s="1136"/>
      <c r="D83" s="1136"/>
      <c r="E83" s="1136"/>
      <c r="F83" s="406"/>
      <c r="G83" s="1136"/>
      <c r="H83" s="398"/>
      <c r="I83" s="402"/>
      <c r="J83" s="403"/>
      <c r="K83" s="743"/>
      <c r="L83" s="404"/>
      <c r="M83" s="154"/>
      <c r="N83" s="154"/>
    </row>
    <row r="84" spans="1:18" x14ac:dyDescent="0.3">
      <c r="A84" s="760"/>
      <c r="B84" s="745"/>
      <c r="C84" s="745"/>
      <c r="D84" s="745"/>
      <c r="E84" s="745"/>
      <c r="F84" s="407"/>
      <c r="G84" s="745"/>
      <c r="H84" s="761"/>
      <c r="I84" s="400"/>
      <c r="J84" s="408"/>
      <c r="K84" s="743"/>
      <c r="L84" s="743"/>
      <c r="M84" s="743"/>
      <c r="N84" s="393"/>
    </row>
    <row r="85" spans="1:18" x14ac:dyDescent="0.3">
      <c r="A85" s="760"/>
      <c r="B85" s="745"/>
      <c r="C85" s="745"/>
      <c r="D85" s="745"/>
      <c r="E85" s="745"/>
      <c r="F85" s="745"/>
      <c r="G85" s="745"/>
      <c r="H85" s="761"/>
      <c r="I85" s="761"/>
      <c r="J85" s="743"/>
      <c r="K85" s="154"/>
      <c r="L85" s="743"/>
      <c r="M85" s="743"/>
      <c r="N85" s="393"/>
    </row>
    <row r="86" spans="1:18" x14ac:dyDescent="0.3">
      <c r="A86" s="743"/>
      <c r="B86" s="743"/>
      <c r="C86" s="743"/>
      <c r="D86" s="743"/>
      <c r="E86" s="743"/>
      <c r="F86" s="743"/>
      <c r="G86" s="743"/>
      <c r="H86" s="743"/>
      <c r="I86" s="743"/>
      <c r="J86" s="743"/>
      <c r="K86" s="154"/>
      <c r="L86" s="743"/>
      <c r="M86" s="743"/>
      <c r="N86" s="743"/>
    </row>
    <row r="87" spans="1:18" x14ac:dyDescent="0.3">
      <c r="A87" s="373"/>
      <c r="B87" s="743"/>
      <c r="C87" s="743"/>
      <c r="D87" s="743"/>
      <c r="E87" s="743"/>
      <c r="F87" s="743"/>
      <c r="G87" s="743"/>
      <c r="H87" s="743"/>
      <c r="I87" s="743"/>
      <c r="J87" s="743"/>
      <c r="K87" s="755"/>
      <c r="L87" s="743"/>
      <c r="M87" s="743"/>
      <c r="N87" s="743"/>
    </row>
    <row r="88" spans="1:18" x14ac:dyDescent="0.3">
      <c r="A88" s="373"/>
      <c r="B88" s="743"/>
      <c r="C88" s="743"/>
      <c r="D88" s="743"/>
      <c r="E88" s="743"/>
      <c r="F88" s="743"/>
      <c r="G88" s="743"/>
      <c r="H88" s="743"/>
      <c r="I88" s="743"/>
      <c r="J88" s="743"/>
      <c r="K88" s="154"/>
      <c r="L88" s="743"/>
      <c r="M88" s="743"/>
      <c r="N88" s="743"/>
    </row>
    <row r="89" spans="1:18" x14ac:dyDescent="0.3">
      <c r="A89" s="373"/>
      <c r="B89" s="743"/>
      <c r="C89" s="743"/>
      <c r="D89" s="743"/>
      <c r="E89" s="743"/>
      <c r="F89" s="743"/>
      <c r="G89" s="743"/>
      <c r="H89" s="743"/>
      <c r="I89" s="743"/>
      <c r="J89" s="743"/>
      <c r="K89" s="154"/>
      <c r="L89" s="743"/>
      <c r="M89" s="743"/>
      <c r="N89" s="743"/>
    </row>
    <row r="216" spans="1:6" x14ac:dyDescent="0.3">
      <c r="A216" s="743"/>
      <c r="B216" s="743"/>
      <c r="C216" s="743"/>
      <c r="D216" s="743"/>
      <c r="E216" s="743"/>
      <c r="F216" s="762"/>
    </row>
  </sheetData>
  <sheetProtection formatCells="0" formatColumns="0" formatRows="0" insertColumns="0" insertRows="0" deleteColumns="0" deleteRows="0"/>
  <mergeCells count="59">
    <mergeCell ref="B60:G60"/>
    <mergeCell ref="B64:L64"/>
    <mergeCell ref="A65:G65"/>
    <mergeCell ref="B66:G66"/>
    <mergeCell ref="B67:G67"/>
    <mergeCell ref="L45:L47"/>
    <mergeCell ref="B48:B50"/>
    <mergeCell ref="C48:E50"/>
    <mergeCell ref="G48:G50"/>
    <mergeCell ref="H48:H50"/>
    <mergeCell ref="K48:K50"/>
    <mergeCell ref="B45:B47"/>
    <mergeCell ref="C45:D47"/>
    <mergeCell ref="F45:F47"/>
    <mergeCell ref="G45:G47"/>
    <mergeCell ref="H45:H47"/>
    <mergeCell ref="I45:I47"/>
    <mergeCell ref="J45:J47"/>
    <mergeCell ref="B34:B35"/>
    <mergeCell ref="A32:A33"/>
    <mergeCell ref="B32:B33"/>
    <mergeCell ref="K45:K47"/>
    <mergeCell ref="A34:A35"/>
    <mergeCell ref="A40:A41"/>
    <mergeCell ref="B40:B41"/>
    <mergeCell ref="G40:G41"/>
    <mergeCell ref="J32:J39"/>
    <mergeCell ref="A36:A37"/>
    <mergeCell ref="B36:B37"/>
    <mergeCell ref="G36:G37"/>
    <mergeCell ref="A38:A39"/>
    <mergeCell ref="B38:B39"/>
    <mergeCell ref="G38:G39"/>
    <mergeCell ref="J29:J31"/>
    <mergeCell ref="K29:K31"/>
    <mergeCell ref="G34:G35"/>
    <mergeCell ref="G32:G33"/>
    <mergeCell ref="P34:Q34"/>
    <mergeCell ref="E29:E31"/>
    <mergeCell ref="H29:H31"/>
    <mergeCell ref="I29:I31"/>
    <mergeCell ref="F29:F31"/>
    <mergeCell ref="G29:G31"/>
    <mergeCell ref="A29:A31"/>
    <mergeCell ref="B29:B31"/>
    <mergeCell ref="I22:J22"/>
    <mergeCell ref="A1:L1"/>
    <mergeCell ref="A2:L2"/>
    <mergeCell ref="A4:C4"/>
    <mergeCell ref="A5:C5"/>
    <mergeCell ref="A6:C6"/>
    <mergeCell ref="A9:C9"/>
    <mergeCell ref="B13:G13"/>
    <mergeCell ref="B14:C14"/>
    <mergeCell ref="B15:C15"/>
    <mergeCell ref="A20:G20"/>
    <mergeCell ref="B22:H22"/>
    <mergeCell ref="C29:C31"/>
    <mergeCell ref="D29:D31"/>
  </mergeCells>
  <printOptions horizontalCentered="1"/>
  <pageMargins left="0.511811023622047" right="0.23622047244094499" top="0.511811023622047" bottom="0.39370078740157499" header="0.23622047244094499" footer="0.23622047244094499"/>
  <pageSetup paperSize="9" scale="64" orientation="portrait" horizontalDpi="4294967293" r:id="rId1"/>
  <headerFooter scaleWithDoc="0" alignWithMargins="0">
    <oddHeader>&amp;R&amp;6T.014-18</oddHeader>
    <oddFooter xml:space="preserve">&amp;C&amp;6Dilarang keras mengutip/memperbanyak dan atau mempublikasikan isi sertifikat ini tanpa seijin LPFK Banjarbaru
Sertifikat ini sah apabila dibubuhi cap LPFK Banjarbaru dan ditandatangani pejabat yang berwenang&amp;R&amp;6Halaman 2 dari 2 halaman&amp;10
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BD95-6181-40C7-8385-E1AD8696F0C8}">
  <sheetPr codeName="Sheet23">
    <tabColor rgb="FF00FF00"/>
  </sheetPr>
  <dimension ref="A1:IN216"/>
  <sheetViews>
    <sheetView showGridLines="0" view="pageBreakPreview" zoomScaleNormal="100" zoomScaleSheetLayoutView="100" workbookViewId="0">
      <pane ySplit="2" topLeftCell="A3" activePane="bottomLeft" state="frozen"/>
      <selection pane="bottomLeft" activeCell="G15" sqref="G15"/>
    </sheetView>
  </sheetViews>
  <sheetFormatPr defaultColWidth="9.109375" defaultRowHeight="15.6" x14ac:dyDescent="0.3"/>
  <cols>
    <col min="1" max="1" width="5.44140625" style="409" customWidth="1"/>
    <col min="2" max="2" width="4" style="372" customWidth="1"/>
    <col min="3" max="3" width="18.88671875" style="372" customWidth="1"/>
    <col min="4" max="4" width="0.5546875" style="372" hidden="1" customWidth="1"/>
    <col min="5" max="5" width="1.44140625" style="372" customWidth="1"/>
    <col min="6" max="6" width="17.33203125" style="372" customWidth="1"/>
    <col min="7" max="7" width="13.6640625" style="372" customWidth="1"/>
    <col min="8" max="8" width="13.88671875" style="372" customWidth="1"/>
    <col min="9" max="9" width="13.33203125" style="372" customWidth="1"/>
    <col min="10" max="10" width="16.109375" style="372" customWidth="1"/>
    <col min="11" max="12" width="16" style="372" customWidth="1"/>
    <col min="13" max="223" width="9.109375" style="372" customWidth="1"/>
    <col min="224" max="247" width="10.33203125" style="372" customWidth="1"/>
    <col min="248" max="248" width="7.5546875" style="372" customWidth="1"/>
    <col min="249" max="249" width="8.6640625" style="372" customWidth="1"/>
    <col min="250" max="255" width="8.88671875" style="372" customWidth="1"/>
    <col min="256" max="16384" width="9.109375" style="372"/>
  </cols>
  <sheetData>
    <row r="1" spans="1:248" ht="17.399999999999999" x14ac:dyDescent="0.3">
      <c r="A1" s="1454" t="s">
        <v>226</v>
      </c>
      <c r="B1" s="1454"/>
      <c r="C1" s="1454"/>
      <c r="D1" s="1454"/>
      <c r="E1" s="1454"/>
      <c r="F1" s="1454"/>
      <c r="G1" s="1454"/>
      <c r="H1" s="1454"/>
      <c r="I1" s="1454"/>
      <c r="J1" s="1454"/>
      <c r="K1" s="1454"/>
      <c r="L1" s="1454"/>
      <c r="M1" s="371"/>
      <c r="N1" s="371"/>
      <c r="O1" s="371"/>
      <c r="P1" s="743"/>
      <c r="Q1" s="743"/>
      <c r="R1" s="743"/>
      <c r="S1" s="743"/>
      <c r="T1" s="743"/>
      <c r="U1" s="743"/>
      <c r="V1" s="743"/>
      <c r="W1" s="743"/>
      <c r="X1" s="743"/>
      <c r="Y1" s="743"/>
      <c r="Z1" s="743"/>
      <c r="AA1" s="743"/>
      <c r="AB1" s="743"/>
      <c r="AC1" s="743"/>
      <c r="AD1" s="743"/>
      <c r="AE1" s="743"/>
      <c r="AF1" s="743"/>
      <c r="AG1" s="743"/>
      <c r="AH1" s="743"/>
      <c r="AI1" s="743"/>
      <c r="AJ1" s="743"/>
      <c r="AK1" s="743"/>
      <c r="AL1" s="743"/>
      <c r="AM1" s="743"/>
      <c r="AN1" s="743"/>
      <c r="AO1" s="743"/>
      <c r="AP1" s="743"/>
      <c r="AQ1" s="743"/>
      <c r="AR1" s="743"/>
      <c r="AS1" s="743"/>
      <c r="AT1" s="743"/>
      <c r="AU1" s="743"/>
      <c r="AV1" s="743"/>
      <c r="AW1" s="743"/>
      <c r="AX1" s="743"/>
      <c r="AY1" s="743"/>
      <c r="AZ1" s="743"/>
      <c r="BA1" s="743"/>
      <c r="BB1" s="743"/>
      <c r="BC1" s="743"/>
      <c r="BD1" s="743"/>
      <c r="BE1" s="743"/>
      <c r="BF1" s="743"/>
      <c r="BG1" s="743"/>
      <c r="BH1" s="743"/>
      <c r="BI1" s="743"/>
      <c r="BJ1" s="743"/>
      <c r="BK1" s="743"/>
      <c r="BL1" s="743"/>
      <c r="BM1" s="743"/>
      <c r="BN1" s="743"/>
      <c r="BO1" s="743"/>
      <c r="BP1" s="743"/>
      <c r="BQ1" s="743"/>
      <c r="BR1" s="743"/>
      <c r="BS1" s="743"/>
      <c r="BT1" s="743"/>
      <c r="BU1" s="743"/>
      <c r="BV1" s="743"/>
      <c r="BW1" s="743"/>
      <c r="BX1" s="743"/>
      <c r="BY1" s="743"/>
      <c r="BZ1" s="743"/>
      <c r="CA1" s="743"/>
      <c r="CB1" s="743"/>
      <c r="CC1" s="743"/>
      <c r="CD1" s="743"/>
      <c r="CE1" s="743"/>
      <c r="CF1" s="743"/>
      <c r="CG1" s="743"/>
      <c r="CH1" s="743"/>
      <c r="CI1" s="743"/>
      <c r="CJ1" s="743"/>
      <c r="CK1" s="743"/>
      <c r="CL1" s="743"/>
      <c r="CM1" s="743"/>
      <c r="CN1" s="743"/>
      <c r="CO1" s="743"/>
      <c r="CP1" s="743"/>
      <c r="CQ1" s="743"/>
      <c r="CR1" s="743"/>
      <c r="CS1" s="743"/>
      <c r="CT1" s="743"/>
      <c r="CU1" s="743"/>
      <c r="CV1" s="743"/>
      <c r="CW1" s="743"/>
      <c r="CX1" s="743"/>
      <c r="CY1" s="743"/>
      <c r="CZ1" s="743"/>
      <c r="DA1" s="743"/>
      <c r="DB1" s="743"/>
      <c r="DC1" s="743"/>
      <c r="DD1" s="743"/>
      <c r="DE1" s="743"/>
      <c r="DF1" s="743"/>
      <c r="DG1" s="743"/>
      <c r="DH1" s="743"/>
      <c r="DI1" s="743"/>
      <c r="DJ1" s="743"/>
      <c r="DK1" s="743"/>
      <c r="DL1" s="743"/>
      <c r="DM1" s="743"/>
      <c r="DN1" s="743"/>
      <c r="DO1" s="743"/>
      <c r="DP1" s="743"/>
      <c r="DQ1" s="743"/>
      <c r="DR1" s="743"/>
      <c r="DS1" s="743"/>
      <c r="DT1" s="743"/>
      <c r="DU1" s="743"/>
      <c r="DV1" s="743"/>
      <c r="DW1" s="743"/>
      <c r="DX1" s="743"/>
      <c r="DY1" s="743"/>
      <c r="DZ1" s="743"/>
      <c r="EA1" s="743"/>
      <c r="EB1" s="743"/>
      <c r="EC1" s="743"/>
      <c r="ED1" s="743"/>
      <c r="EE1" s="743"/>
      <c r="EF1" s="743"/>
      <c r="EG1" s="743"/>
      <c r="EH1" s="743"/>
      <c r="EI1" s="743"/>
      <c r="EJ1" s="743"/>
      <c r="EK1" s="743"/>
      <c r="EL1" s="743"/>
      <c r="EM1" s="743"/>
      <c r="EN1" s="743"/>
      <c r="EO1" s="743"/>
      <c r="EP1" s="743"/>
      <c r="EQ1" s="743"/>
      <c r="ER1" s="743"/>
      <c r="ES1" s="743"/>
      <c r="ET1" s="743"/>
      <c r="EU1" s="743"/>
      <c r="EV1" s="743"/>
      <c r="EW1" s="743"/>
      <c r="EX1" s="743"/>
      <c r="EY1" s="743"/>
      <c r="EZ1" s="743"/>
      <c r="FA1" s="743"/>
      <c r="FB1" s="743"/>
      <c r="FC1" s="743"/>
      <c r="FD1" s="743"/>
      <c r="FE1" s="743"/>
      <c r="FF1" s="743"/>
      <c r="FG1" s="743"/>
      <c r="FH1" s="743"/>
      <c r="FI1" s="743"/>
      <c r="FJ1" s="743"/>
      <c r="FK1" s="743"/>
      <c r="FL1" s="743"/>
      <c r="FM1" s="743"/>
      <c r="FN1" s="743"/>
      <c r="FO1" s="743"/>
      <c r="FP1" s="743"/>
      <c r="FQ1" s="743"/>
      <c r="FR1" s="743"/>
      <c r="FS1" s="743"/>
      <c r="FT1" s="743"/>
      <c r="FU1" s="743"/>
      <c r="FV1" s="743"/>
      <c r="FW1" s="743"/>
      <c r="FX1" s="743"/>
      <c r="FY1" s="743"/>
      <c r="FZ1" s="743"/>
      <c r="GA1" s="743"/>
      <c r="GB1" s="743"/>
      <c r="GC1" s="743"/>
      <c r="GD1" s="743"/>
      <c r="GE1" s="743"/>
      <c r="GF1" s="743"/>
      <c r="GG1" s="743"/>
      <c r="GH1" s="743"/>
      <c r="GI1" s="743"/>
      <c r="GJ1" s="743"/>
      <c r="GK1" s="743"/>
      <c r="GL1" s="743"/>
      <c r="GM1" s="743"/>
      <c r="GN1" s="743"/>
      <c r="GO1" s="743"/>
      <c r="GP1" s="743"/>
      <c r="GQ1" s="743"/>
      <c r="GR1" s="743"/>
      <c r="GS1" s="743"/>
      <c r="GT1" s="743"/>
      <c r="GU1" s="743"/>
      <c r="GV1" s="743"/>
      <c r="GW1" s="743"/>
      <c r="GX1" s="743"/>
      <c r="GY1" s="743"/>
      <c r="GZ1" s="743"/>
      <c r="HA1" s="743"/>
      <c r="HB1" s="743"/>
      <c r="HC1" s="743"/>
      <c r="HD1" s="743"/>
      <c r="HE1" s="743"/>
      <c r="HF1" s="743"/>
      <c r="HG1" s="743"/>
      <c r="HH1" s="743"/>
      <c r="HI1" s="743"/>
      <c r="HJ1" s="743"/>
      <c r="HK1" s="743"/>
      <c r="HL1" s="743"/>
      <c r="HM1" s="743"/>
      <c r="HN1" s="743"/>
      <c r="HO1" s="743"/>
      <c r="HP1" s="743"/>
      <c r="HQ1" s="743"/>
      <c r="HR1" s="743"/>
      <c r="HS1" s="743"/>
      <c r="HT1" s="743"/>
      <c r="HU1" s="743"/>
      <c r="HV1" s="743"/>
      <c r="HW1" s="743"/>
      <c r="HX1" s="743"/>
      <c r="HY1" s="743"/>
      <c r="HZ1" s="743"/>
      <c r="IA1" s="743"/>
      <c r="IB1" s="743"/>
      <c r="IC1" s="743"/>
      <c r="ID1" s="743"/>
      <c r="IE1" s="743"/>
      <c r="IF1" s="743"/>
      <c r="IG1" s="743"/>
      <c r="IH1" s="743"/>
      <c r="II1" s="743"/>
      <c r="IJ1" s="743"/>
      <c r="IK1" s="743"/>
      <c r="IL1" s="743"/>
      <c r="IM1" s="743"/>
      <c r="IN1" s="744"/>
    </row>
    <row r="2" spans="1:248" ht="16.8" x14ac:dyDescent="0.3">
      <c r="A2" s="1456" t="str">
        <f>PENYELIA!A2</f>
        <v>Nomor sertifikat : 9 /2 / II - 20 / E - 015.38 DL</v>
      </c>
      <c r="B2" s="1456"/>
      <c r="C2" s="1456"/>
      <c r="D2" s="1456"/>
      <c r="E2" s="1456"/>
      <c r="F2" s="1456"/>
      <c r="G2" s="1456"/>
      <c r="H2" s="1456"/>
      <c r="I2" s="1456"/>
      <c r="J2" s="1456"/>
      <c r="K2" s="1456"/>
      <c r="L2" s="1456"/>
      <c r="M2" s="743"/>
      <c r="N2" s="743"/>
      <c r="O2" s="743"/>
      <c r="P2" s="743"/>
      <c r="Q2" s="743"/>
      <c r="R2" s="743"/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  <c r="AP2" s="743"/>
      <c r="AQ2" s="743"/>
      <c r="AR2" s="743"/>
      <c r="AS2" s="743"/>
      <c r="AT2" s="743"/>
      <c r="AU2" s="743"/>
      <c r="AV2" s="743"/>
      <c r="AW2" s="743"/>
      <c r="AX2" s="743"/>
      <c r="AY2" s="743"/>
      <c r="AZ2" s="743"/>
      <c r="BA2" s="743"/>
      <c r="BB2" s="743"/>
      <c r="BC2" s="743"/>
      <c r="BD2" s="743"/>
      <c r="BE2" s="743"/>
      <c r="BF2" s="743"/>
      <c r="BG2" s="743"/>
      <c r="BH2" s="743"/>
      <c r="BI2" s="743"/>
      <c r="BJ2" s="743"/>
      <c r="BK2" s="743"/>
      <c r="BL2" s="743"/>
      <c r="BM2" s="743"/>
      <c r="BN2" s="743"/>
      <c r="BO2" s="743"/>
      <c r="BP2" s="743"/>
      <c r="BQ2" s="743"/>
      <c r="BR2" s="743"/>
      <c r="BS2" s="743"/>
      <c r="BT2" s="743"/>
      <c r="BU2" s="743"/>
      <c r="BV2" s="743"/>
      <c r="BW2" s="743"/>
      <c r="BX2" s="743"/>
      <c r="BY2" s="743"/>
      <c r="BZ2" s="743"/>
      <c r="CA2" s="743"/>
      <c r="CB2" s="743"/>
      <c r="CC2" s="743"/>
      <c r="CD2" s="743"/>
      <c r="CE2" s="743"/>
      <c r="CF2" s="743"/>
      <c r="CG2" s="743"/>
      <c r="CH2" s="743"/>
      <c r="CI2" s="743"/>
      <c r="CJ2" s="743"/>
      <c r="CK2" s="743"/>
      <c r="CL2" s="743"/>
      <c r="CM2" s="743"/>
      <c r="CN2" s="743"/>
      <c r="CO2" s="743"/>
      <c r="CP2" s="743"/>
      <c r="CQ2" s="743"/>
      <c r="CR2" s="743"/>
      <c r="CS2" s="743"/>
      <c r="CT2" s="743"/>
      <c r="CU2" s="743"/>
      <c r="CV2" s="743"/>
      <c r="CW2" s="743"/>
      <c r="CX2" s="743"/>
      <c r="CY2" s="743"/>
      <c r="CZ2" s="743"/>
      <c r="DA2" s="743"/>
      <c r="DB2" s="743"/>
      <c r="DC2" s="743"/>
      <c r="DD2" s="743"/>
      <c r="DE2" s="743"/>
      <c r="DF2" s="743"/>
      <c r="DG2" s="743"/>
      <c r="DH2" s="743"/>
      <c r="DI2" s="743"/>
      <c r="DJ2" s="743"/>
      <c r="DK2" s="743"/>
      <c r="DL2" s="743"/>
      <c r="DM2" s="743"/>
      <c r="DN2" s="743"/>
      <c r="DO2" s="743"/>
      <c r="DP2" s="743"/>
      <c r="DQ2" s="743"/>
      <c r="DR2" s="743"/>
      <c r="DS2" s="743"/>
      <c r="DT2" s="743"/>
      <c r="DU2" s="743"/>
      <c r="DV2" s="743"/>
      <c r="DW2" s="743"/>
      <c r="DX2" s="743"/>
      <c r="DY2" s="743"/>
      <c r="DZ2" s="743"/>
      <c r="EA2" s="743"/>
      <c r="EB2" s="743"/>
      <c r="EC2" s="743"/>
      <c r="ED2" s="743"/>
      <c r="EE2" s="743"/>
      <c r="EF2" s="743"/>
      <c r="EG2" s="743"/>
      <c r="EH2" s="743"/>
      <c r="EI2" s="743"/>
      <c r="EJ2" s="743"/>
      <c r="EK2" s="743"/>
      <c r="EL2" s="743"/>
      <c r="EM2" s="743"/>
      <c r="EN2" s="743"/>
      <c r="EO2" s="743"/>
      <c r="EP2" s="743"/>
      <c r="EQ2" s="743"/>
      <c r="ER2" s="743"/>
      <c r="ES2" s="743"/>
      <c r="ET2" s="743"/>
      <c r="EU2" s="743"/>
      <c r="EV2" s="743"/>
      <c r="EW2" s="743"/>
      <c r="EX2" s="743"/>
      <c r="EY2" s="743"/>
      <c r="EZ2" s="743"/>
      <c r="FA2" s="743"/>
      <c r="FB2" s="743"/>
      <c r="FC2" s="743"/>
      <c r="FD2" s="743"/>
      <c r="FE2" s="743"/>
      <c r="FF2" s="743"/>
      <c r="FG2" s="743"/>
      <c r="FH2" s="743"/>
      <c r="FI2" s="743"/>
      <c r="FJ2" s="743"/>
      <c r="FK2" s="743"/>
      <c r="FL2" s="743"/>
      <c r="FM2" s="743"/>
      <c r="FN2" s="743"/>
      <c r="FO2" s="743"/>
      <c r="FP2" s="743"/>
      <c r="FQ2" s="743"/>
      <c r="FR2" s="743"/>
      <c r="FS2" s="743"/>
      <c r="FT2" s="743"/>
      <c r="FU2" s="743"/>
      <c r="FV2" s="743"/>
      <c r="FW2" s="743"/>
      <c r="FX2" s="743"/>
      <c r="FY2" s="743"/>
      <c r="FZ2" s="743"/>
      <c r="GA2" s="743"/>
      <c r="GB2" s="743"/>
      <c r="GC2" s="743"/>
      <c r="GD2" s="743"/>
      <c r="GE2" s="743"/>
      <c r="GF2" s="743"/>
      <c r="GG2" s="743"/>
      <c r="GH2" s="743"/>
      <c r="GI2" s="743"/>
      <c r="GJ2" s="743"/>
      <c r="GK2" s="743"/>
      <c r="GL2" s="743"/>
      <c r="GM2" s="743"/>
      <c r="GN2" s="743"/>
      <c r="GO2" s="743"/>
      <c r="GP2" s="743"/>
      <c r="GQ2" s="743"/>
      <c r="GR2" s="743"/>
      <c r="GS2" s="743"/>
      <c r="GT2" s="743"/>
      <c r="GU2" s="743"/>
      <c r="GV2" s="743"/>
      <c r="GW2" s="743"/>
      <c r="GX2" s="743"/>
      <c r="GY2" s="743"/>
      <c r="GZ2" s="743"/>
      <c r="HA2" s="743"/>
      <c r="HB2" s="743"/>
      <c r="HC2" s="743"/>
      <c r="HD2" s="743"/>
      <c r="HE2" s="743"/>
      <c r="HF2" s="743"/>
      <c r="HG2" s="743"/>
      <c r="HH2" s="743"/>
      <c r="HI2" s="743"/>
      <c r="HJ2" s="743"/>
      <c r="HK2" s="743"/>
      <c r="HL2" s="743"/>
      <c r="HM2" s="743"/>
      <c r="HN2" s="743"/>
      <c r="HO2" s="743"/>
      <c r="HP2" s="743"/>
      <c r="HQ2" s="743"/>
      <c r="HR2" s="743"/>
      <c r="HS2" s="743"/>
      <c r="HT2" s="743"/>
      <c r="HU2" s="743"/>
      <c r="HV2" s="743"/>
      <c r="HW2" s="743"/>
      <c r="HX2" s="743"/>
      <c r="HY2" s="743"/>
      <c r="HZ2" s="743"/>
      <c r="IA2" s="743"/>
      <c r="IB2" s="743"/>
      <c r="IC2" s="743"/>
      <c r="ID2" s="743"/>
      <c r="IE2" s="743"/>
      <c r="IF2" s="743"/>
      <c r="IG2" s="743"/>
      <c r="IH2" s="743"/>
      <c r="II2" s="743"/>
      <c r="IJ2" s="743"/>
      <c r="IK2" s="743"/>
      <c r="IL2" s="743"/>
      <c r="IM2" s="743"/>
      <c r="IN2" s="744" t="s">
        <v>227</v>
      </c>
    </row>
    <row r="3" spans="1:248" s="373" customFormat="1" ht="9" customHeight="1" x14ac:dyDescent="0.3">
      <c r="A3" s="1136"/>
      <c r="B3" s="1136"/>
      <c r="C3" s="1136"/>
      <c r="D3" s="1136"/>
      <c r="E3" s="1136"/>
      <c r="F3" s="1136"/>
      <c r="G3" s="1136"/>
      <c r="H3" s="1136"/>
      <c r="I3" s="1136"/>
      <c r="J3" s="1136"/>
      <c r="K3" s="1136"/>
      <c r="IN3" s="374"/>
    </row>
    <row r="4" spans="1:248" x14ac:dyDescent="0.3">
      <c r="A4" s="1455" t="str">
        <f>ID!B4</f>
        <v>Merek</v>
      </c>
      <c r="B4" s="1455"/>
      <c r="C4" s="1455"/>
      <c r="D4" s="375" t="s">
        <v>7</v>
      </c>
      <c r="E4" s="375" t="s">
        <v>7</v>
      </c>
      <c r="F4" s="1136" t="str">
        <f>ID!E4</f>
        <v>OMRON</v>
      </c>
      <c r="G4" s="1136"/>
      <c r="H4" s="1136"/>
      <c r="I4" s="1136"/>
      <c r="J4" s="376"/>
      <c r="K4" s="376"/>
      <c r="L4" s="743"/>
      <c r="M4" s="743"/>
      <c r="N4" s="743"/>
      <c r="O4" s="743"/>
      <c r="P4" s="743"/>
      <c r="Q4" s="743"/>
      <c r="R4" s="743"/>
      <c r="S4" s="743"/>
      <c r="T4" s="743"/>
      <c r="U4" s="743"/>
      <c r="V4" s="743"/>
      <c r="W4" s="743"/>
      <c r="X4" s="743"/>
      <c r="Y4" s="743"/>
      <c r="Z4" s="743"/>
      <c r="AA4" s="743"/>
      <c r="AB4" s="743"/>
      <c r="AC4" s="743"/>
      <c r="AD4" s="743"/>
      <c r="AE4" s="743"/>
      <c r="AF4" s="743"/>
      <c r="AG4" s="743"/>
      <c r="AH4" s="743"/>
      <c r="AI4" s="743"/>
      <c r="AJ4" s="743"/>
      <c r="AK4" s="743"/>
      <c r="AL4" s="743"/>
      <c r="AM4" s="743"/>
      <c r="AN4" s="743"/>
      <c r="AO4" s="743"/>
      <c r="AP4" s="743"/>
      <c r="AQ4" s="743"/>
      <c r="AR4" s="743"/>
      <c r="AS4" s="743"/>
      <c r="AT4" s="743"/>
      <c r="AU4" s="743"/>
      <c r="AV4" s="743"/>
      <c r="AW4" s="743"/>
      <c r="AX4" s="743"/>
      <c r="AY4" s="743"/>
      <c r="AZ4" s="743"/>
      <c r="BA4" s="743"/>
      <c r="BB4" s="743"/>
      <c r="BC4" s="743"/>
      <c r="BD4" s="743"/>
      <c r="BE4" s="743"/>
      <c r="BF4" s="743"/>
      <c r="BG4" s="743"/>
      <c r="BH4" s="743"/>
      <c r="BI4" s="743"/>
      <c r="BJ4" s="743"/>
      <c r="BK4" s="743"/>
      <c r="BL4" s="743"/>
      <c r="BM4" s="743"/>
      <c r="BN4" s="743"/>
      <c r="BO4" s="743"/>
      <c r="BP4" s="743"/>
      <c r="BQ4" s="743"/>
      <c r="BR4" s="743"/>
      <c r="BS4" s="743"/>
      <c r="BT4" s="743"/>
      <c r="BU4" s="743"/>
      <c r="BV4" s="743"/>
      <c r="BW4" s="743"/>
      <c r="BX4" s="743"/>
      <c r="BY4" s="743"/>
      <c r="BZ4" s="743"/>
      <c r="CA4" s="743"/>
      <c r="CB4" s="743"/>
      <c r="CC4" s="743"/>
      <c r="CD4" s="743"/>
      <c r="CE4" s="743"/>
      <c r="CF4" s="743"/>
      <c r="CG4" s="743"/>
      <c r="CH4" s="743"/>
      <c r="CI4" s="743"/>
      <c r="CJ4" s="743"/>
      <c r="CK4" s="743"/>
      <c r="CL4" s="743"/>
      <c r="CM4" s="743"/>
      <c r="CN4" s="743"/>
      <c r="CO4" s="743"/>
      <c r="CP4" s="743"/>
      <c r="CQ4" s="743"/>
      <c r="CR4" s="743"/>
      <c r="CS4" s="743"/>
      <c r="CT4" s="743"/>
      <c r="CU4" s="743"/>
      <c r="CV4" s="743"/>
      <c r="CW4" s="743"/>
      <c r="CX4" s="743"/>
      <c r="CY4" s="743"/>
      <c r="CZ4" s="743"/>
      <c r="DA4" s="743"/>
      <c r="DB4" s="743"/>
      <c r="DC4" s="743"/>
      <c r="DD4" s="743"/>
      <c r="DE4" s="743"/>
      <c r="DF4" s="743"/>
      <c r="DG4" s="743"/>
      <c r="DH4" s="743"/>
      <c r="DI4" s="743"/>
      <c r="DJ4" s="743"/>
      <c r="DK4" s="743"/>
      <c r="DL4" s="743"/>
      <c r="DM4" s="743"/>
      <c r="DN4" s="743"/>
      <c r="DO4" s="743"/>
      <c r="DP4" s="743"/>
      <c r="DQ4" s="743"/>
      <c r="DR4" s="743"/>
      <c r="DS4" s="743"/>
      <c r="DT4" s="743"/>
      <c r="DU4" s="743"/>
      <c r="DV4" s="743"/>
      <c r="DW4" s="743"/>
      <c r="DX4" s="743"/>
      <c r="DY4" s="743"/>
      <c r="DZ4" s="743"/>
      <c r="EA4" s="743"/>
      <c r="EB4" s="743"/>
      <c r="EC4" s="743"/>
      <c r="ED4" s="743"/>
      <c r="EE4" s="743"/>
      <c r="EF4" s="743"/>
      <c r="EG4" s="743"/>
      <c r="EH4" s="743"/>
      <c r="EI4" s="743"/>
      <c r="EJ4" s="743"/>
      <c r="EK4" s="743"/>
      <c r="EL4" s="743"/>
      <c r="EM4" s="743"/>
      <c r="EN4" s="743"/>
      <c r="EO4" s="743"/>
      <c r="EP4" s="743"/>
      <c r="EQ4" s="743"/>
      <c r="ER4" s="743"/>
      <c r="ES4" s="743"/>
      <c r="ET4" s="743"/>
      <c r="EU4" s="743"/>
      <c r="EV4" s="743"/>
      <c r="EW4" s="743"/>
      <c r="EX4" s="743"/>
      <c r="EY4" s="743"/>
      <c r="EZ4" s="743"/>
      <c r="FA4" s="743"/>
      <c r="FB4" s="743"/>
      <c r="FC4" s="743"/>
      <c r="FD4" s="743"/>
      <c r="FE4" s="743"/>
      <c r="FF4" s="743"/>
      <c r="FG4" s="743"/>
      <c r="FH4" s="743"/>
      <c r="FI4" s="743"/>
      <c r="FJ4" s="743"/>
      <c r="FK4" s="743"/>
      <c r="FL4" s="743"/>
      <c r="FM4" s="743"/>
      <c r="FN4" s="743"/>
      <c r="FO4" s="743"/>
      <c r="FP4" s="743"/>
      <c r="FQ4" s="743"/>
      <c r="FR4" s="743"/>
      <c r="FS4" s="743"/>
      <c r="FT4" s="743"/>
      <c r="FU4" s="743"/>
      <c r="FV4" s="743"/>
      <c r="FW4" s="743"/>
      <c r="FX4" s="743"/>
      <c r="FY4" s="743"/>
      <c r="FZ4" s="743"/>
      <c r="GA4" s="743"/>
      <c r="GB4" s="743"/>
      <c r="GC4" s="743"/>
      <c r="GD4" s="743"/>
      <c r="GE4" s="743"/>
      <c r="GF4" s="743"/>
      <c r="GG4" s="743"/>
      <c r="GH4" s="743"/>
      <c r="GI4" s="743"/>
      <c r="GJ4" s="743"/>
      <c r="GK4" s="743"/>
      <c r="GL4" s="743"/>
      <c r="GM4" s="743"/>
      <c r="GN4" s="743"/>
      <c r="GO4" s="743"/>
      <c r="GP4" s="743"/>
      <c r="GQ4" s="743"/>
      <c r="GR4" s="743"/>
      <c r="GS4" s="743"/>
      <c r="GT4" s="743"/>
      <c r="GU4" s="743"/>
      <c r="GV4" s="743"/>
      <c r="GW4" s="743"/>
      <c r="GX4" s="743"/>
      <c r="GY4" s="743"/>
      <c r="GZ4" s="743"/>
      <c r="HA4" s="743"/>
      <c r="HB4" s="743"/>
      <c r="HC4" s="743"/>
      <c r="HD4" s="743"/>
      <c r="HE4" s="743"/>
      <c r="HF4" s="743"/>
      <c r="HG4" s="743"/>
      <c r="HH4" s="743"/>
      <c r="HI4" s="743"/>
      <c r="HJ4" s="743"/>
      <c r="HK4" s="743"/>
      <c r="HL4" s="743"/>
      <c r="HM4" s="743"/>
      <c r="HN4" s="743"/>
      <c r="HO4" s="743"/>
      <c r="HP4" s="743"/>
      <c r="HQ4" s="743"/>
      <c r="HR4" s="743"/>
      <c r="HS4" s="743"/>
      <c r="HT4" s="743"/>
      <c r="HU4" s="743"/>
      <c r="HV4" s="743"/>
      <c r="HW4" s="743"/>
      <c r="HX4" s="743"/>
      <c r="HY4" s="743"/>
      <c r="HZ4" s="743"/>
      <c r="IA4" s="743"/>
      <c r="IB4" s="743"/>
      <c r="IC4" s="743"/>
      <c r="ID4" s="743"/>
      <c r="IE4" s="743"/>
      <c r="IF4" s="743"/>
      <c r="IG4" s="743"/>
      <c r="IH4" s="743"/>
      <c r="II4" s="743"/>
      <c r="IJ4" s="743"/>
      <c r="IK4" s="743"/>
      <c r="IL4" s="743"/>
      <c r="IM4" s="743"/>
      <c r="IN4" s="744" t="s">
        <v>228</v>
      </c>
    </row>
    <row r="5" spans="1:248" x14ac:dyDescent="0.3">
      <c r="A5" s="1455" t="str">
        <f>ID!B5</f>
        <v>Model/ tipe</v>
      </c>
      <c r="B5" s="1455"/>
      <c r="C5" s="1455"/>
      <c r="D5" s="375" t="s">
        <v>7</v>
      </c>
      <c r="E5" s="375" t="s">
        <v>7</v>
      </c>
      <c r="F5" s="1136" t="str">
        <f>ID!E5</f>
        <v>HEM-8712</v>
      </c>
      <c r="G5" s="1136"/>
      <c r="H5" s="1136"/>
      <c r="I5" s="1136"/>
      <c r="J5" s="376"/>
      <c r="K5" s="376"/>
      <c r="L5" s="743"/>
      <c r="M5" s="743"/>
      <c r="N5" s="743"/>
      <c r="O5" s="743"/>
      <c r="P5" s="743"/>
      <c r="Q5" s="743"/>
      <c r="R5" s="743"/>
      <c r="S5" s="743"/>
      <c r="T5" s="743"/>
      <c r="U5" s="743"/>
      <c r="V5" s="743"/>
      <c r="W5" s="743"/>
      <c r="X5" s="743"/>
      <c r="Y5" s="743"/>
      <c r="Z5" s="743"/>
      <c r="AA5" s="743"/>
      <c r="AB5" s="743"/>
      <c r="AC5" s="743"/>
      <c r="AD5" s="743"/>
      <c r="AE5" s="743"/>
      <c r="AF5" s="743"/>
      <c r="AG5" s="743"/>
      <c r="AH5" s="743"/>
      <c r="AI5" s="743"/>
      <c r="AJ5" s="743"/>
      <c r="AK5" s="743"/>
      <c r="AL5" s="743"/>
      <c r="AM5" s="743"/>
      <c r="AN5" s="743"/>
      <c r="AO5" s="743"/>
      <c r="AP5" s="743"/>
      <c r="AQ5" s="743"/>
      <c r="AR5" s="743"/>
      <c r="AS5" s="743"/>
      <c r="AT5" s="743"/>
      <c r="AU5" s="743"/>
      <c r="AV5" s="743"/>
      <c r="AW5" s="743"/>
      <c r="AX5" s="743"/>
      <c r="AY5" s="743"/>
      <c r="AZ5" s="743"/>
      <c r="BA5" s="743"/>
      <c r="BB5" s="743"/>
      <c r="BC5" s="743"/>
      <c r="BD5" s="743"/>
      <c r="BE5" s="743"/>
      <c r="BF5" s="743"/>
      <c r="BG5" s="743"/>
      <c r="BH5" s="743"/>
      <c r="BI5" s="743"/>
      <c r="BJ5" s="743"/>
      <c r="BK5" s="743"/>
      <c r="BL5" s="743"/>
      <c r="BM5" s="743"/>
      <c r="BN5" s="743"/>
      <c r="BO5" s="743"/>
      <c r="BP5" s="743"/>
      <c r="BQ5" s="743"/>
      <c r="BR5" s="743"/>
      <c r="BS5" s="743"/>
      <c r="BT5" s="743"/>
      <c r="BU5" s="743"/>
      <c r="BV5" s="743"/>
      <c r="BW5" s="743"/>
      <c r="BX5" s="743"/>
      <c r="BY5" s="743"/>
      <c r="BZ5" s="743"/>
      <c r="CA5" s="743"/>
      <c r="CB5" s="743"/>
      <c r="CC5" s="743"/>
      <c r="CD5" s="743"/>
      <c r="CE5" s="743"/>
      <c r="CF5" s="743"/>
      <c r="CG5" s="743"/>
      <c r="CH5" s="743"/>
      <c r="CI5" s="743"/>
      <c r="CJ5" s="743"/>
      <c r="CK5" s="743"/>
      <c r="CL5" s="743"/>
      <c r="CM5" s="743"/>
      <c r="CN5" s="743"/>
      <c r="CO5" s="743"/>
      <c r="CP5" s="743"/>
      <c r="CQ5" s="743"/>
      <c r="CR5" s="743"/>
      <c r="CS5" s="743"/>
      <c r="CT5" s="743"/>
      <c r="CU5" s="743"/>
      <c r="CV5" s="743"/>
      <c r="CW5" s="743"/>
      <c r="CX5" s="743"/>
      <c r="CY5" s="743"/>
      <c r="CZ5" s="743"/>
      <c r="DA5" s="743"/>
      <c r="DB5" s="743"/>
      <c r="DC5" s="743"/>
      <c r="DD5" s="743"/>
      <c r="DE5" s="743"/>
      <c r="DF5" s="743"/>
      <c r="DG5" s="743"/>
      <c r="DH5" s="743"/>
      <c r="DI5" s="743"/>
      <c r="DJ5" s="743"/>
      <c r="DK5" s="743"/>
      <c r="DL5" s="743"/>
      <c r="DM5" s="743"/>
      <c r="DN5" s="743"/>
      <c r="DO5" s="743"/>
      <c r="DP5" s="743"/>
      <c r="DQ5" s="743"/>
      <c r="DR5" s="743"/>
      <c r="DS5" s="743"/>
      <c r="DT5" s="743"/>
      <c r="DU5" s="743"/>
      <c r="DV5" s="743"/>
      <c r="DW5" s="743"/>
      <c r="DX5" s="743"/>
      <c r="DY5" s="743"/>
      <c r="DZ5" s="743"/>
      <c r="EA5" s="743"/>
      <c r="EB5" s="743"/>
      <c r="EC5" s="743"/>
      <c r="ED5" s="743"/>
      <c r="EE5" s="743"/>
      <c r="EF5" s="743"/>
      <c r="EG5" s="743"/>
      <c r="EH5" s="743"/>
      <c r="EI5" s="743"/>
      <c r="EJ5" s="743"/>
      <c r="EK5" s="743"/>
      <c r="EL5" s="743"/>
      <c r="EM5" s="743"/>
      <c r="EN5" s="743"/>
      <c r="EO5" s="743"/>
      <c r="EP5" s="743"/>
      <c r="EQ5" s="743"/>
      <c r="ER5" s="743"/>
      <c r="ES5" s="743"/>
      <c r="ET5" s="743"/>
      <c r="EU5" s="743"/>
      <c r="EV5" s="743"/>
      <c r="EW5" s="743"/>
      <c r="EX5" s="743"/>
      <c r="EY5" s="743"/>
      <c r="EZ5" s="743"/>
      <c r="FA5" s="743"/>
      <c r="FB5" s="743"/>
      <c r="FC5" s="743"/>
      <c r="FD5" s="743"/>
      <c r="FE5" s="743"/>
      <c r="FF5" s="743"/>
      <c r="FG5" s="743"/>
      <c r="FH5" s="743"/>
      <c r="FI5" s="743"/>
      <c r="FJ5" s="743"/>
      <c r="FK5" s="743"/>
      <c r="FL5" s="743"/>
      <c r="FM5" s="743"/>
      <c r="FN5" s="743"/>
      <c r="FO5" s="743"/>
      <c r="FP5" s="743"/>
      <c r="FQ5" s="743"/>
      <c r="FR5" s="743"/>
      <c r="FS5" s="743"/>
      <c r="FT5" s="743"/>
      <c r="FU5" s="743"/>
      <c r="FV5" s="743"/>
      <c r="FW5" s="743"/>
      <c r="FX5" s="743"/>
      <c r="FY5" s="743"/>
      <c r="FZ5" s="743"/>
      <c r="GA5" s="743"/>
      <c r="GB5" s="743"/>
      <c r="GC5" s="743"/>
      <c r="GD5" s="743"/>
      <c r="GE5" s="743"/>
      <c r="GF5" s="743"/>
      <c r="GG5" s="743"/>
      <c r="GH5" s="743"/>
      <c r="GI5" s="743"/>
      <c r="GJ5" s="743"/>
      <c r="GK5" s="743"/>
      <c r="GL5" s="743"/>
      <c r="GM5" s="743"/>
      <c r="GN5" s="743"/>
      <c r="GO5" s="743"/>
      <c r="GP5" s="743"/>
      <c r="GQ5" s="743"/>
      <c r="GR5" s="743"/>
      <c r="GS5" s="743"/>
      <c r="GT5" s="743"/>
      <c r="GU5" s="743"/>
      <c r="GV5" s="743"/>
      <c r="GW5" s="743"/>
      <c r="GX5" s="743"/>
      <c r="GY5" s="743"/>
      <c r="GZ5" s="743"/>
      <c r="HA5" s="743"/>
      <c r="HB5" s="743"/>
      <c r="HC5" s="743"/>
      <c r="HD5" s="743"/>
      <c r="HE5" s="743"/>
      <c r="HF5" s="743"/>
      <c r="HG5" s="743"/>
      <c r="HH5" s="743"/>
      <c r="HI5" s="743"/>
      <c r="HJ5" s="743"/>
      <c r="HK5" s="743"/>
      <c r="HL5" s="743"/>
      <c r="HM5" s="743"/>
      <c r="HN5" s="743"/>
      <c r="HO5" s="743"/>
      <c r="HP5" s="743"/>
      <c r="HQ5" s="743"/>
      <c r="HR5" s="743"/>
      <c r="HS5" s="743"/>
      <c r="HT5" s="743"/>
      <c r="HU5" s="743"/>
      <c r="HV5" s="743"/>
      <c r="HW5" s="743"/>
      <c r="HX5" s="743"/>
      <c r="HY5" s="743"/>
      <c r="HZ5" s="743"/>
      <c r="IA5" s="743"/>
      <c r="IB5" s="743"/>
      <c r="IC5" s="743"/>
      <c r="ID5" s="743"/>
      <c r="IE5" s="743"/>
      <c r="IF5" s="743"/>
      <c r="IG5" s="743"/>
      <c r="IH5" s="743"/>
      <c r="II5" s="743"/>
      <c r="IJ5" s="743"/>
      <c r="IK5" s="743"/>
      <c r="IL5" s="743"/>
      <c r="IM5" s="743"/>
      <c r="IN5" s="743"/>
    </row>
    <row r="6" spans="1:248" x14ac:dyDescent="0.3">
      <c r="A6" s="1455" t="str">
        <f>ID!B6</f>
        <v>Nomor seri</v>
      </c>
      <c r="B6" s="1455"/>
      <c r="C6" s="1455"/>
      <c r="D6" s="375" t="s">
        <v>7</v>
      </c>
      <c r="E6" s="375" t="s">
        <v>7</v>
      </c>
      <c r="F6" s="1136" t="str">
        <f>ID!E6</f>
        <v>-</v>
      </c>
      <c r="G6" s="1136"/>
      <c r="H6" s="1136"/>
      <c r="I6" s="1136"/>
      <c r="J6" s="376"/>
      <c r="K6" s="376"/>
      <c r="L6" s="743"/>
      <c r="M6" s="743"/>
      <c r="N6" s="743"/>
      <c r="O6" s="743"/>
      <c r="P6" s="743"/>
      <c r="Q6" s="743"/>
      <c r="R6" s="743"/>
      <c r="S6" s="743"/>
      <c r="T6" s="743"/>
      <c r="U6" s="743"/>
      <c r="V6" s="743"/>
      <c r="W6" s="743"/>
      <c r="X6" s="743"/>
      <c r="Y6" s="743"/>
      <c r="Z6" s="743"/>
      <c r="AA6" s="743"/>
      <c r="AB6" s="743"/>
      <c r="AC6" s="743"/>
      <c r="AD6" s="743"/>
      <c r="AE6" s="743"/>
      <c r="AF6" s="743"/>
      <c r="AG6" s="743"/>
      <c r="AH6" s="743"/>
      <c r="AI6" s="743"/>
      <c r="AJ6" s="743"/>
      <c r="AK6" s="743"/>
      <c r="AL6" s="743"/>
      <c r="AM6" s="743"/>
      <c r="AN6" s="743"/>
      <c r="AO6" s="743"/>
      <c r="AP6" s="743"/>
      <c r="AQ6" s="743"/>
      <c r="AR6" s="743"/>
      <c r="AS6" s="743"/>
      <c r="AT6" s="743"/>
      <c r="AU6" s="743"/>
      <c r="AV6" s="743"/>
      <c r="AW6" s="743"/>
      <c r="AX6" s="743"/>
      <c r="AY6" s="743"/>
      <c r="AZ6" s="743"/>
      <c r="BA6" s="743"/>
      <c r="BB6" s="743"/>
      <c r="BC6" s="743"/>
      <c r="BD6" s="743"/>
      <c r="BE6" s="743"/>
      <c r="BF6" s="743"/>
      <c r="BG6" s="743"/>
      <c r="BH6" s="743"/>
      <c r="BI6" s="743"/>
      <c r="BJ6" s="743"/>
      <c r="BK6" s="743"/>
      <c r="BL6" s="743"/>
      <c r="BM6" s="743"/>
      <c r="BN6" s="743"/>
      <c r="BO6" s="743"/>
      <c r="BP6" s="743"/>
      <c r="BQ6" s="743"/>
      <c r="BR6" s="743"/>
      <c r="BS6" s="743"/>
      <c r="BT6" s="743"/>
      <c r="BU6" s="743"/>
      <c r="BV6" s="743"/>
      <c r="BW6" s="743"/>
      <c r="BX6" s="743"/>
      <c r="BY6" s="743"/>
      <c r="BZ6" s="743"/>
      <c r="CA6" s="743"/>
      <c r="CB6" s="743"/>
      <c r="CC6" s="743"/>
      <c r="CD6" s="743"/>
      <c r="CE6" s="743"/>
      <c r="CF6" s="743"/>
      <c r="CG6" s="743"/>
      <c r="CH6" s="743"/>
      <c r="CI6" s="743"/>
      <c r="CJ6" s="743"/>
      <c r="CK6" s="743"/>
      <c r="CL6" s="743"/>
      <c r="CM6" s="743"/>
      <c r="CN6" s="743"/>
      <c r="CO6" s="743"/>
      <c r="CP6" s="743"/>
      <c r="CQ6" s="743"/>
      <c r="CR6" s="743"/>
      <c r="CS6" s="743"/>
      <c r="CT6" s="743"/>
      <c r="CU6" s="743"/>
      <c r="CV6" s="743"/>
      <c r="CW6" s="743"/>
      <c r="CX6" s="743"/>
      <c r="CY6" s="743"/>
      <c r="CZ6" s="743"/>
      <c r="DA6" s="743"/>
      <c r="DB6" s="743"/>
      <c r="DC6" s="743"/>
      <c r="DD6" s="743"/>
      <c r="DE6" s="743"/>
      <c r="DF6" s="743"/>
      <c r="DG6" s="743"/>
      <c r="DH6" s="743"/>
      <c r="DI6" s="743"/>
      <c r="DJ6" s="743"/>
      <c r="DK6" s="743"/>
      <c r="DL6" s="743"/>
      <c r="DM6" s="743"/>
      <c r="DN6" s="743"/>
      <c r="DO6" s="743"/>
      <c r="DP6" s="743"/>
      <c r="DQ6" s="743"/>
      <c r="DR6" s="743"/>
      <c r="DS6" s="743"/>
      <c r="DT6" s="743"/>
      <c r="DU6" s="743"/>
      <c r="DV6" s="743"/>
      <c r="DW6" s="743"/>
      <c r="DX6" s="743"/>
      <c r="DY6" s="743"/>
      <c r="DZ6" s="743"/>
      <c r="EA6" s="743"/>
      <c r="EB6" s="743"/>
      <c r="EC6" s="743"/>
      <c r="ED6" s="743"/>
      <c r="EE6" s="743"/>
      <c r="EF6" s="743"/>
      <c r="EG6" s="743"/>
      <c r="EH6" s="743"/>
      <c r="EI6" s="743"/>
      <c r="EJ6" s="743"/>
      <c r="EK6" s="743"/>
      <c r="EL6" s="743"/>
      <c r="EM6" s="743"/>
      <c r="EN6" s="743"/>
      <c r="EO6" s="743"/>
      <c r="EP6" s="743"/>
      <c r="EQ6" s="743"/>
      <c r="ER6" s="743"/>
      <c r="ES6" s="743"/>
      <c r="ET6" s="743"/>
      <c r="EU6" s="743"/>
      <c r="EV6" s="743"/>
      <c r="EW6" s="743"/>
      <c r="EX6" s="743"/>
      <c r="EY6" s="743"/>
      <c r="EZ6" s="743"/>
      <c r="FA6" s="743"/>
      <c r="FB6" s="743"/>
      <c r="FC6" s="743"/>
      <c r="FD6" s="743"/>
      <c r="FE6" s="743"/>
      <c r="FF6" s="743"/>
      <c r="FG6" s="743"/>
      <c r="FH6" s="743"/>
      <c r="FI6" s="743"/>
      <c r="FJ6" s="743"/>
      <c r="FK6" s="743"/>
      <c r="FL6" s="743"/>
      <c r="FM6" s="743"/>
      <c r="FN6" s="743"/>
      <c r="FO6" s="743"/>
      <c r="FP6" s="743"/>
      <c r="FQ6" s="743"/>
      <c r="FR6" s="743"/>
      <c r="FS6" s="743"/>
      <c r="FT6" s="743"/>
      <c r="FU6" s="743"/>
      <c r="FV6" s="743"/>
      <c r="FW6" s="743"/>
      <c r="FX6" s="743"/>
      <c r="FY6" s="743"/>
      <c r="FZ6" s="743"/>
      <c r="GA6" s="743"/>
      <c r="GB6" s="743"/>
      <c r="GC6" s="743"/>
      <c r="GD6" s="743"/>
      <c r="GE6" s="743"/>
      <c r="GF6" s="743"/>
      <c r="GG6" s="743"/>
      <c r="GH6" s="743"/>
      <c r="GI6" s="743"/>
      <c r="GJ6" s="743"/>
      <c r="GK6" s="743"/>
      <c r="GL6" s="743"/>
      <c r="GM6" s="743"/>
      <c r="GN6" s="743"/>
      <c r="GO6" s="743"/>
      <c r="GP6" s="743"/>
      <c r="GQ6" s="743"/>
      <c r="GR6" s="743"/>
      <c r="GS6" s="743"/>
      <c r="GT6" s="743"/>
      <c r="GU6" s="743"/>
      <c r="GV6" s="743"/>
      <c r="GW6" s="743"/>
      <c r="GX6" s="743"/>
      <c r="GY6" s="743"/>
      <c r="GZ6" s="743"/>
      <c r="HA6" s="743"/>
      <c r="HB6" s="743"/>
      <c r="HC6" s="743"/>
      <c r="HD6" s="743"/>
      <c r="HE6" s="743"/>
      <c r="HF6" s="743"/>
      <c r="HG6" s="743"/>
      <c r="HH6" s="743"/>
      <c r="HI6" s="743"/>
      <c r="HJ6" s="743"/>
      <c r="HK6" s="743"/>
      <c r="HL6" s="743"/>
      <c r="HM6" s="743"/>
      <c r="HN6" s="743"/>
      <c r="HO6" s="743"/>
      <c r="HP6" s="743"/>
      <c r="HQ6" s="743"/>
      <c r="HR6" s="743"/>
      <c r="HS6" s="743"/>
      <c r="HT6" s="743"/>
      <c r="HU6" s="743"/>
      <c r="HV6" s="743"/>
      <c r="HW6" s="743"/>
      <c r="HX6" s="743"/>
      <c r="HY6" s="743"/>
      <c r="HZ6" s="743"/>
      <c r="IA6" s="743"/>
      <c r="IB6" s="743"/>
      <c r="IC6" s="743"/>
      <c r="ID6" s="743"/>
      <c r="IE6" s="743"/>
      <c r="IF6" s="743"/>
      <c r="IG6" s="743"/>
      <c r="IH6" s="743"/>
      <c r="II6" s="743"/>
      <c r="IJ6" s="743"/>
      <c r="IK6" s="743"/>
      <c r="IL6" s="743"/>
      <c r="IM6" s="743"/>
      <c r="IN6" s="743"/>
    </row>
    <row r="7" spans="1:248" x14ac:dyDescent="0.3">
      <c r="A7" s="1136" t="str">
        <f>PENYELIA!A7</f>
        <v>Tanggal penerimaan alat</v>
      </c>
      <c r="B7" s="1136"/>
      <c r="C7" s="1136"/>
      <c r="D7" s="375"/>
      <c r="E7" s="375" t="s">
        <v>7</v>
      </c>
      <c r="F7" s="1236">
        <f>PENYELIA!F7</f>
        <v>44564</v>
      </c>
      <c r="G7" s="1136"/>
      <c r="H7" s="1136"/>
      <c r="I7" s="1136"/>
      <c r="J7" s="376"/>
      <c r="K7" s="376"/>
      <c r="L7" s="743"/>
      <c r="M7" s="743"/>
      <c r="N7" s="743"/>
      <c r="O7" s="743"/>
      <c r="P7" s="743"/>
      <c r="Q7" s="743"/>
      <c r="R7" s="743"/>
      <c r="S7" s="743"/>
      <c r="T7" s="743"/>
      <c r="U7" s="743"/>
      <c r="V7" s="743"/>
      <c r="W7" s="743"/>
      <c r="X7" s="743"/>
      <c r="Y7" s="743"/>
      <c r="Z7" s="743"/>
      <c r="AA7" s="743"/>
      <c r="AB7" s="743"/>
      <c r="AC7" s="743"/>
      <c r="AD7" s="743"/>
      <c r="AE7" s="743"/>
      <c r="AF7" s="743"/>
      <c r="AG7" s="743"/>
      <c r="AH7" s="743"/>
      <c r="AI7" s="743"/>
      <c r="AJ7" s="743"/>
      <c r="AK7" s="743"/>
      <c r="AL7" s="743"/>
      <c r="AM7" s="743"/>
      <c r="AN7" s="743"/>
      <c r="AO7" s="743"/>
      <c r="AP7" s="743"/>
      <c r="AQ7" s="743"/>
      <c r="AR7" s="743"/>
      <c r="AS7" s="743"/>
      <c r="AT7" s="743"/>
      <c r="AU7" s="743"/>
      <c r="AV7" s="743"/>
      <c r="AW7" s="743"/>
      <c r="AX7" s="743"/>
      <c r="AY7" s="743"/>
      <c r="AZ7" s="743"/>
      <c r="BA7" s="743"/>
      <c r="BB7" s="743"/>
      <c r="BC7" s="743"/>
      <c r="BD7" s="743"/>
      <c r="BE7" s="743"/>
      <c r="BF7" s="743"/>
      <c r="BG7" s="743"/>
      <c r="BH7" s="743"/>
      <c r="BI7" s="743"/>
      <c r="BJ7" s="743"/>
      <c r="BK7" s="743"/>
      <c r="BL7" s="743"/>
      <c r="BM7" s="743"/>
      <c r="BN7" s="743"/>
      <c r="BO7" s="743"/>
      <c r="BP7" s="743"/>
      <c r="BQ7" s="743"/>
      <c r="BR7" s="743"/>
      <c r="BS7" s="743"/>
      <c r="BT7" s="743"/>
      <c r="BU7" s="743"/>
      <c r="BV7" s="743"/>
      <c r="BW7" s="743"/>
      <c r="BX7" s="743"/>
      <c r="BY7" s="743"/>
      <c r="BZ7" s="743"/>
      <c r="CA7" s="743"/>
      <c r="CB7" s="743"/>
      <c r="CC7" s="743"/>
      <c r="CD7" s="743"/>
      <c r="CE7" s="743"/>
      <c r="CF7" s="743"/>
      <c r="CG7" s="743"/>
      <c r="CH7" s="743"/>
      <c r="CI7" s="743"/>
      <c r="CJ7" s="743"/>
      <c r="CK7" s="743"/>
      <c r="CL7" s="743"/>
      <c r="CM7" s="743"/>
      <c r="CN7" s="743"/>
      <c r="CO7" s="743"/>
      <c r="CP7" s="743"/>
      <c r="CQ7" s="743"/>
      <c r="CR7" s="743"/>
      <c r="CS7" s="743"/>
      <c r="CT7" s="743"/>
      <c r="CU7" s="743"/>
      <c r="CV7" s="743"/>
      <c r="CW7" s="743"/>
      <c r="CX7" s="743"/>
      <c r="CY7" s="743"/>
      <c r="CZ7" s="743"/>
      <c r="DA7" s="743"/>
      <c r="DB7" s="743"/>
      <c r="DC7" s="743"/>
      <c r="DD7" s="743"/>
      <c r="DE7" s="743"/>
      <c r="DF7" s="743"/>
      <c r="DG7" s="743"/>
      <c r="DH7" s="743"/>
      <c r="DI7" s="743"/>
      <c r="DJ7" s="743"/>
      <c r="DK7" s="743"/>
      <c r="DL7" s="743"/>
      <c r="DM7" s="743"/>
      <c r="DN7" s="743"/>
      <c r="DO7" s="743"/>
      <c r="DP7" s="743"/>
      <c r="DQ7" s="743"/>
      <c r="DR7" s="743"/>
      <c r="DS7" s="743"/>
      <c r="DT7" s="743"/>
      <c r="DU7" s="743"/>
      <c r="DV7" s="743"/>
      <c r="DW7" s="743"/>
      <c r="DX7" s="743"/>
      <c r="DY7" s="743"/>
      <c r="DZ7" s="743"/>
      <c r="EA7" s="743"/>
      <c r="EB7" s="743"/>
      <c r="EC7" s="743"/>
      <c r="ED7" s="743"/>
      <c r="EE7" s="743"/>
      <c r="EF7" s="743"/>
      <c r="EG7" s="743"/>
      <c r="EH7" s="743"/>
      <c r="EI7" s="743"/>
      <c r="EJ7" s="743"/>
      <c r="EK7" s="743"/>
      <c r="EL7" s="743"/>
      <c r="EM7" s="743"/>
      <c r="EN7" s="743"/>
      <c r="EO7" s="743"/>
      <c r="EP7" s="743"/>
      <c r="EQ7" s="743"/>
      <c r="ER7" s="743"/>
      <c r="ES7" s="743"/>
      <c r="ET7" s="743"/>
      <c r="EU7" s="743"/>
      <c r="EV7" s="743"/>
      <c r="EW7" s="743"/>
      <c r="EX7" s="743"/>
      <c r="EY7" s="743"/>
      <c r="EZ7" s="743"/>
      <c r="FA7" s="743"/>
      <c r="FB7" s="743"/>
      <c r="FC7" s="743"/>
      <c r="FD7" s="743"/>
      <c r="FE7" s="743"/>
      <c r="FF7" s="743"/>
      <c r="FG7" s="743"/>
      <c r="FH7" s="743"/>
      <c r="FI7" s="743"/>
      <c r="FJ7" s="743"/>
      <c r="FK7" s="743"/>
      <c r="FL7" s="743"/>
      <c r="FM7" s="743"/>
      <c r="FN7" s="743"/>
      <c r="FO7" s="743"/>
      <c r="FP7" s="743"/>
      <c r="FQ7" s="743"/>
      <c r="FR7" s="743"/>
      <c r="FS7" s="743"/>
      <c r="FT7" s="743"/>
      <c r="FU7" s="743"/>
      <c r="FV7" s="743"/>
      <c r="FW7" s="743"/>
      <c r="FX7" s="743"/>
      <c r="FY7" s="743"/>
      <c r="FZ7" s="743"/>
      <c r="GA7" s="743"/>
      <c r="GB7" s="743"/>
      <c r="GC7" s="743"/>
      <c r="GD7" s="743"/>
      <c r="GE7" s="743"/>
      <c r="GF7" s="743"/>
      <c r="GG7" s="743"/>
      <c r="GH7" s="743"/>
      <c r="GI7" s="743"/>
      <c r="GJ7" s="743"/>
      <c r="GK7" s="743"/>
      <c r="GL7" s="743"/>
      <c r="GM7" s="743"/>
      <c r="GN7" s="743"/>
      <c r="GO7" s="743"/>
      <c r="GP7" s="743"/>
      <c r="GQ7" s="743"/>
      <c r="GR7" s="743"/>
      <c r="GS7" s="743"/>
      <c r="GT7" s="743"/>
      <c r="GU7" s="743"/>
      <c r="GV7" s="743"/>
      <c r="GW7" s="743"/>
      <c r="GX7" s="743"/>
      <c r="GY7" s="743"/>
      <c r="GZ7" s="743"/>
      <c r="HA7" s="743"/>
      <c r="HB7" s="743"/>
      <c r="HC7" s="743"/>
      <c r="HD7" s="743"/>
      <c r="HE7" s="743"/>
      <c r="HF7" s="743"/>
      <c r="HG7" s="743"/>
      <c r="HH7" s="743"/>
      <c r="HI7" s="743"/>
      <c r="HJ7" s="743"/>
      <c r="HK7" s="743"/>
      <c r="HL7" s="743"/>
      <c r="HM7" s="743"/>
      <c r="HN7" s="743"/>
      <c r="HO7" s="743"/>
      <c r="HP7" s="743"/>
      <c r="HQ7" s="743"/>
      <c r="HR7" s="743"/>
      <c r="HS7" s="743"/>
      <c r="HT7" s="743"/>
      <c r="HU7" s="743"/>
      <c r="HV7" s="743"/>
      <c r="HW7" s="743"/>
      <c r="HX7" s="743"/>
      <c r="HY7" s="743"/>
      <c r="HZ7" s="743"/>
      <c r="IA7" s="743"/>
      <c r="IB7" s="743"/>
      <c r="IC7" s="743"/>
      <c r="ID7" s="743"/>
      <c r="IE7" s="743"/>
      <c r="IF7" s="743"/>
      <c r="IG7" s="743"/>
      <c r="IH7" s="743"/>
      <c r="II7" s="743"/>
      <c r="IJ7" s="743"/>
      <c r="IK7" s="743"/>
      <c r="IL7" s="743"/>
      <c r="IM7" s="743"/>
      <c r="IN7" s="743"/>
    </row>
    <row r="8" spans="1:248" x14ac:dyDescent="0.3">
      <c r="A8" s="1136" t="str">
        <f>ID!B8</f>
        <v>Tanggal kalibrasi</v>
      </c>
      <c r="B8" s="1136"/>
      <c r="C8" s="1136"/>
      <c r="D8" s="375"/>
      <c r="E8" s="375" t="s">
        <v>7</v>
      </c>
      <c r="F8" s="1236">
        <f>ID!E8</f>
        <v>44564</v>
      </c>
      <c r="G8" s="377"/>
      <c r="H8" s="377"/>
      <c r="I8" s="377"/>
      <c r="J8" s="376"/>
      <c r="K8" s="376"/>
      <c r="L8" s="743"/>
      <c r="M8" s="743"/>
      <c r="N8" s="743"/>
      <c r="O8" s="743"/>
      <c r="P8" s="743"/>
      <c r="Q8" s="743"/>
      <c r="R8" s="743"/>
      <c r="S8" s="743"/>
      <c r="T8" s="743"/>
      <c r="U8" s="743"/>
      <c r="V8" s="743"/>
      <c r="W8" s="743"/>
      <c r="X8" s="743"/>
      <c r="Y8" s="743"/>
      <c r="Z8" s="743"/>
      <c r="AA8" s="743"/>
      <c r="AB8" s="743"/>
      <c r="AC8" s="743"/>
      <c r="AD8" s="743"/>
      <c r="AE8" s="743"/>
      <c r="AF8" s="743"/>
      <c r="AG8" s="743"/>
      <c r="AH8" s="743"/>
      <c r="AI8" s="743"/>
      <c r="AJ8" s="743"/>
      <c r="AK8" s="743"/>
      <c r="AL8" s="743"/>
      <c r="AM8" s="743"/>
      <c r="AN8" s="743"/>
      <c r="AO8" s="743"/>
      <c r="AP8" s="743"/>
      <c r="AQ8" s="743"/>
      <c r="AR8" s="743"/>
      <c r="AS8" s="743"/>
      <c r="AT8" s="743"/>
      <c r="AU8" s="743"/>
      <c r="AV8" s="743"/>
      <c r="AW8" s="743"/>
      <c r="AX8" s="743"/>
      <c r="AY8" s="743"/>
      <c r="AZ8" s="743"/>
      <c r="BA8" s="743"/>
      <c r="BB8" s="743"/>
      <c r="BC8" s="743"/>
      <c r="BD8" s="743"/>
      <c r="BE8" s="743"/>
      <c r="BF8" s="743"/>
      <c r="BG8" s="743"/>
      <c r="BH8" s="743"/>
      <c r="BI8" s="743"/>
      <c r="BJ8" s="743"/>
      <c r="BK8" s="743"/>
      <c r="BL8" s="743"/>
      <c r="BM8" s="743"/>
      <c r="BN8" s="743"/>
      <c r="BO8" s="743"/>
      <c r="BP8" s="743"/>
      <c r="BQ8" s="743"/>
      <c r="BR8" s="743"/>
      <c r="BS8" s="743"/>
      <c r="BT8" s="743"/>
      <c r="BU8" s="743"/>
      <c r="BV8" s="743"/>
      <c r="BW8" s="743"/>
      <c r="BX8" s="743"/>
      <c r="BY8" s="743"/>
      <c r="BZ8" s="743"/>
      <c r="CA8" s="743"/>
      <c r="CB8" s="743"/>
      <c r="CC8" s="743"/>
      <c r="CD8" s="743"/>
      <c r="CE8" s="743"/>
      <c r="CF8" s="743"/>
      <c r="CG8" s="743"/>
      <c r="CH8" s="743"/>
      <c r="CI8" s="743"/>
      <c r="CJ8" s="743"/>
      <c r="CK8" s="743"/>
      <c r="CL8" s="743"/>
      <c r="CM8" s="743"/>
      <c r="CN8" s="743"/>
      <c r="CO8" s="743"/>
      <c r="CP8" s="743"/>
      <c r="CQ8" s="743"/>
      <c r="CR8" s="743"/>
      <c r="CS8" s="743"/>
      <c r="CT8" s="743"/>
      <c r="CU8" s="743"/>
      <c r="CV8" s="743"/>
      <c r="CW8" s="743"/>
      <c r="CX8" s="743"/>
      <c r="CY8" s="743"/>
      <c r="CZ8" s="743"/>
      <c r="DA8" s="743"/>
      <c r="DB8" s="743"/>
      <c r="DC8" s="743"/>
      <c r="DD8" s="743"/>
      <c r="DE8" s="743"/>
      <c r="DF8" s="743"/>
      <c r="DG8" s="743"/>
      <c r="DH8" s="743"/>
      <c r="DI8" s="743"/>
      <c r="DJ8" s="743"/>
      <c r="DK8" s="743"/>
      <c r="DL8" s="743"/>
      <c r="DM8" s="743"/>
      <c r="DN8" s="743"/>
      <c r="DO8" s="743"/>
      <c r="DP8" s="743"/>
      <c r="DQ8" s="743"/>
      <c r="DR8" s="743"/>
      <c r="DS8" s="743"/>
      <c r="DT8" s="743"/>
      <c r="DU8" s="743"/>
      <c r="DV8" s="743"/>
      <c r="DW8" s="743"/>
      <c r="DX8" s="743"/>
      <c r="DY8" s="743"/>
      <c r="DZ8" s="743"/>
      <c r="EA8" s="743"/>
      <c r="EB8" s="743"/>
      <c r="EC8" s="743"/>
      <c r="ED8" s="743"/>
      <c r="EE8" s="743"/>
      <c r="EF8" s="743"/>
      <c r="EG8" s="743"/>
      <c r="EH8" s="743"/>
      <c r="EI8" s="743"/>
      <c r="EJ8" s="743"/>
      <c r="EK8" s="743"/>
      <c r="EL8" s="743"/>
      <c r="EM8" s="743"/>
      <c r="EN8" s="743"/>
      <c r="EO8" s="743"/>
      <c r="EP8" s="743"/>
      <c r="EQ8" s="743"/>
      <c r="ER8" s="743"/>
      <c r="ES8" s="743"/>
      <c r="ET8" s="743"/>
      <c r="EU8" s="743"/>
      <c r="EV8" s="743"/>
      <c r="EW8" s="743"/>
      <c r="EX8" s="743"/>
      <c r="EY8" s="743"/>
      <c r="EZ8" s="743"/>
      <c r="FA8" s="743"/>
      <c r="FB8" s="743"/>
      <c r="FC8" s="743"/>
      <c r="FD8" s="743"/>
      <c r="FE8" s="743"/>
      <c r="FF8" s="743"/>
      <c r="FG8" s="743"/>
      <c r="FH8" s="743"/>
      <c r="FI8" s="743"/>
      <c r="FJ8" s="743"/>
      <c r="FK8" s="743"/>
      <c r="FL8" s="743"/>
      <c r="FM8" s="743"/>
      <c r="FN8" s="743"/>
      <c r="FO8" s="743"/>
      <c r="FP8" s="743"/>
      <c r="FQ8" s="743"/>
      <c r="FR8" s="743"/>
      <c r="FS8" s="743"/>
      <c r="FT8" s="743"/>
      <c r="FU8" s="743"/>
      <c r="FV8" s="743"/>
      <c r="FW8" s="743"/>
      <c r="FX8" s="743"/>
      <c r="FY8" s="743"/>
      <c r="FZ8" s="743"/>
      <c r="GA8" s="743"/>
      <c r="GB8" s="743"/>
      <c r="GC8" s="743"/>
      <c r="GD8" s="743"/>
      <c r="GE8" s="743"/>
      <c r="GF8" s="743"/>
      <c r="GG8" s="743"/>
      <c r="GH8" s="743"/>
      <c r="GI8" s="743"/>
      <c r="GJ8" s="743"/>
      <c r="GK8" s="743"/>
      <c r="GL8" s="743"/>
      <c r="GM8" s="743"/>
      <c r="GN8" s="743"/>
      <c r="GO8" s="743"/>
      <c r="GP8" s="743"/>
      <c r="GQ8" s="743"/>
      <c r="GR8" s="743"/>
      <c r="GS8" s="743"/>
      <c r="GT8" s="743"/>
      <c r="GU8" s="743"/>
      <c r="GV8" s="743"/>
      <c r="GW8" s="743"/>
      <c r="GX8" s="743"/>
      <c r="GY8" s="743"/>
      <c r="GZ8" s="743"/>
      <c r="HA8" s="743"/>
      <c r="HB8" s="743"/>
      <c r="HC8" s="743"/>
      <c r="HD8" s="743"/>
      <c r="HE8" s="743"/>
      <c r="HF8" s="743"/>
      <c r="HG8" s="743"/>
      <c r="HH8" s="743"/>
      <c r="HI8" s="743"/>
      <c r="HJ8" s="743"/>
      <c r="HK8" s="743"/>
      <c r="HL8" s="743"/>
      <c r="HM8" s="743"/>
      <c r="HN8" s="743"/>
      <c r="HO8" s="743"/>
      <c r="HP8" s="743"/>
      <c r="HQ8" s="743"/>
      <c r="HR8" s="743"/>
      <c r="HS8" s="743"/>
      <c r="HT8" s="743"/>
      <c r="HU8" s="743"/>
      <c r="HV8" s="743"/>
      <c r="HW8" s="743"/>
      <c r="HX8" s="743"/>
      <c r="HY8" s="743"/>
      <c r="HZ8" s="743"/>
      <c r="IA8" s="743"/>
      <c r="IB8" s="743"/>
      <c r="IC8" s="743"/>
      <c r="ID8" s="743"/>
      <c r="IE8" s="743"/>
      <c r="IF8" s="743"/>
      <c r="IG8" s="743"/>
      <c r="IH8" s="743"/>
      <c r="II8" s="743"/>
      <c r="IJ8" s="743"/>
      <c r="IK8" s="743"/>
      <c r="IL8" s="743"/>
      <c r="IM8" s="743"/>
      <c r="IN8" s="743"/>
    </row>
    <row r="9" spans="1:248" x14ac:dyDescent="0.3">
      <c r="A9" s="1455" t="str">
        <f>ID!B9</f>
        <v>Tempat kalibrasi</v>
      </c>
      <c r="B9" s="1455"/>
      <c r="C9" s="1455"/>
      <c r="D9" s="375" t="s">
        <v>7</v>
      </c>
      <c r="E9" s="375" t="s">
        <v>7</v>
      </c>
      <c r="F9" s="1136" t="str">
        <f>ID!E9</f>
        <v>-</v>
      </c>
      <c r="G9" s="377"/>
      <c r="H9" s="377"/>
      <c r="I9" s="377"/>
      <c r="J9" s="376"/>
      <c r="K9" s="376"/>
      <c r="L9" s="743"/>
      <c r="M9" s="743"/>
      <c r="N9" s="743"/>
      <c r="O9" s="743"/>
      <c r="P9" s="743"/>
      <c r="Q9" s="743"/>
      <c r="R9" s="743"/>
      <c r="S9" s="743"/>
      <c r="T9" s="743"/>
      <c r="U9" s="743"/>
      <c r="V9" s="743"/>
      <c r="W9" s="743"/>
      <c r="X9" s="743"/>
      <c r="Y9" s="743"/>
      <c r="Z9" s="743"/>
      <c r="AA9" s="743"/>
      <c r="AB9" s="743"/>
      <c r="AC9" s="743"/>
      <c r="AD9" s="743"/>
      <c r="AE9" s="743"/>
      <c r="AF9" s="743"/>
      <c r="AG9" s="743"/>
      <c r="AH9" s="743"/>
      <c r="AI9" s="743"/>
      <c r="AJ9" s="743"/>
      <c r="AK9" s="743"/>
      <c r="AL9" s="743"/>
      <c r="AM9" s="743"/>
      <c r="AN9" s="743"/>
      <c r="AO9" s="743"/>
      <c r="AP9" s="743"/>
      <c r="AQ9" s="743"/>
      <c r="AR9" s="743"/>
      <c r="AS9" s="743"/>
      <c r="AT9" s="743"/>
      <c r="AU9" s="743"/>
      <c r="AV9" s="743"/>
      <c r="AW9" s="743"/>
      <c r="AX9" s="743"/>
      <c r="AY9" s="743"/>
      <c r="AZ9" s="743"/>
      <c r="BA9" s="743"/>
      <c r="BB9" s="743"/>
      <c r="BC9" s="743"/>
      <c r="BD9" s="743"/>
      <c r="BE9" s="743"/>
      <c r="BF9" s="743"/>
      <c r="BG9" s="743"/>
      <c r="BH9" s="743"/>
      <c r="BI9" s="743"/>
      <c r="BJ9" s="743"/>
      <c r="BK9" s="743"/>
      <c r="BL9" s="743"/>
      <c r="BM9" s="743"/>
      <c r="BN9" s="743"/>
      <c r="BO9" s="743"/>
      <c r="BP9" s="743"/>
      <c r="BQ9" s="743"/>
      <c r="BR9" s="743"/>
      <c r="BS9" s="743"/>
      <c r="BT9" s="743"/>
      <c r="BU9" s="743"/>
      <c r="BV9" s="743"/>
      <c r="BW9" s="743"/>
      <c r="BX9" s="743"/>
      <c r="BY9" s="743"/>
      <c r="BZ9" s="743"/>
      <c r="CA9" s="743"/>
      <c r="CB9" s="743"/>
      <c r="CC9" s="743"/>
      <c r="CD9" s="743"/>
      <c r="CE9" s="743"/>
      <c r="CF9" s="743"/>
      <c r="CG9" s="743"/>
      <c r="CH9" s="743"/>
      <c r="CI9" s="743"/>
      <c r="CJ9" s="743"/>
      <c r="CK9" s="743"/>
      <c r="CL9" s="743"/>
      <c r="CM9" s="743"/>
      <c r="CN9" s="743"/>
      <c r="CO9" s="743"/>
      <c r="CP9" s="743"/>
      <c r="CQ9" s="743"/>
      <c r="CR9" s="743"/>
      <c r="CS9" s="743"/>
      <c r="CT9" s="743"/>
      <c r="CU9" s="743"/>
      <c r="CV9" s="743"/>
      <c r="CW9" s="743"/>
      <c r="CX9" s="743"/>
      <c r="CY9" s="743"/>
      <c r="CZ9" s="743"/>
      <c r="DA9" s="743"/>
      <c r="DB9" s="743"/>
      <c r="DC9" s="743"/>
      <c r="DD9" s="743"/>
      <c r="DE9" s="743"/>
      <c r="DF9" s="743"/>
      <c r="DG9" s="743"/>
      <c r="DH9" s="743"/>
      <c r="DI9" s="743"/>
      <c r="DJ9" s="743"/>
      <c r="DK9" s="743"/>
      <c r="DL9" s="743"/>
      <c r="DM9" s="743"/>
      <c r="DN9" s="743"/>
      <c r="DO9" s="743"/>
      <c r="DP9" s="743"/>
      <c r="DQ9" s="743"/>
      <c r="DR9" s="743"/>
      <c r="DS9" s="743"/>
      <c r="DT9" s="743"/>
      <c r="DU9" s="743"/>
      <c r="DV9" s="743"/>
      <c r="DW9" s="743"/>
      <c r="DX9" s="743"/>
      <c r="DY9" s="743"/>
      <c r="DZ9" s="743"/>
      <c r="EA9" s="743"/>
      <c r="EB9" s="743"/>
      <c r="EC9" s="743"/>
      <c r="ED9" s="743"/>
      <c r="EE9" s="743"/>
      <c r="EF9" s="743"/>
      <c r="EG9" s="743"/>
      <c r="EH9" s="743"/>
      <c r="EI9" s="743"/>
      <c r="EJ9" s="743"/>
      <c r="EK9" s="743"/>
      <c r="EL9" s="743"/>
      <c r="EM9" s="743"/>
      <c r="EN9" s="743"/>
      <c r="EO9" s="743"/>
      <c r="EP9" s="743"/>
      <c r="EQ9" s="743"/>
      <c r="ER9" s="743"/>
      <c r="ES9" s="743"/>
      <c r="ET9" s="743"/>
      <c r="EU9" s="743"/>
      <c r="EV9" s="743"/>
      <c r="EW9" s="743"/>
      <c r="EX9" s="743"/>
      <c r="EY9" s="743"/>
      <c r="EZ9" s="743"/>
      <c r="FA9" s="743"/>
      <c r="FB9" s="743"/>
      <c r="FC9" s="743"/>
      <c r="FD9" s="743"/>
      <c r="FE9" s="743"/>
      <c r="FF9" s="743"/>
      <c r="FG9" s="743"/>
      <c r="FH9" s="743"/>
      <c r="FI9" s="743"/>
      <c r="FJ9" s="743"/>
      <c r="FK9" s="743"/>
      <c r="FL9" s="743"/>
      <c r="FM9" s="743"/>
      <c r="FN9" s="743"/>
      <c r="FO9" s="743"/>
      <c r="FP9" s="743"/>
      <c r="FQ9" s="743"/>
      <c r="FR9" s="743"/>
      <c r="FS9" s="743"/>
      <c r="FT9" s="743"/>
      <c r="FU9" s="743"/>
      <c r="FV9" s="743"/>
      <c r="FW9" s="743"/>
      <c r="FX9" s="743"/>
      <c r="FY9" s="743"/>
      <c r="FZ9" s="743"/>
      <c r="GA9" s="743"/>
      <c r="GB9" s="743"/>
      <c r="GC9" s="743"/>
      <c r="GD9" s="743"/>
      <c r="GE9" s="743"/>
      <c r="GF9" s="743"/>
      <c r="GG9" s="743"/>
      <c r="GH9" s="743"/>
      <c r="GI9" s="743"/>
      <c r="GJ9" s="743"/>
      <c r="GK9" s="743"/>
      <c r="GL9" s="743"/>
      <c r="GM9" s="743"/>
      <c r="GN9" s="743"/>
      <c r="GO9" s="743"/>
      <c r="GP9" s="743"/>
      <c r="GQ9" s="743"/>
      <c r="GR9" s="743"/>
      <c r="GS9" s="743"/>
      <c r="GT9" s="743"/>
      <c r="GU9" s="743"/>
      <c r="GV9" s="743"/>
      <c r="GW9" s="743"/>
      <c r="GX9" s="743"/>
      <c r="GY9" s="743"/>
      <c r="GZ9" s="743"/>
      <c r="HA9" s="743"/>
      <c r="HB9" s="743"/>
      <c r="HC9" s="743"/>
      <c r="HD9" s="743"/>
      <c r="HE9" s="743"/>
      <c r="HF9" s="743"/>
      <c r="HG9" s="743"/>
      <c r="HH9" s="743"/>
      <c r="HI9" s="743"/>
      <c r="HJ9" s="743"/>
      <c r="HK9" s="743"/>
      <c r="HL9" s="743"/>
      <c r="HM9" s="743"/>
      <c r="HN9" s="743"/>
      <c r="HO9" s="743"/>
      <c r="HP9" s="743"/>
      <c r="HQ9" s="743"/>
      <c r="HR9" s="743"/>
      <c r="HS9" s="743"/>
      <c r="HT9" s="743"/>
      <c r="HU9" s="743"/>
      <c r="HV9" s="743"/>
      <c r="HW9" s="743"/>
      <c r="HX9" s="743"/>
      <c r="HY9" s="743"/>
      <c r="HZ9" s="743"/>
      <c r="IA9" s="743"/>
      <c r="IB9" s="743"/>
      <c r="IC9" s="743"/>
      <c r="ID9" s="743"/>
      <c r="IE9" s="743"/>
      <c r="IF9" s="743"/>
      <c r="IG9" s="743"/>
      <c r="IH9" s="743"/>
      <c r="II9" s="743"/>
      <c r="IJ9" s="743"/>
      <c r="IK9" s="743"/>
      <c r="IL9" s="743"/>
      <c r="IM9" s="743"/>
      <c r="IN9" s="743"/>
    </row>
    <row r="10" spans="1:248" x14ac:dyDescent="0.3">
      <c r="A10" s="1136" t="str">
        <f>ID!B10</f>
        <v>Nama ruang</v>
      </c>
      <c r="B10" s="1136"/>
      <c r="C10" s="1136"/>
      <c r="D10" s="375"/>
      <c r="E10" s="375" t="s">
        <v>7</v>
      </c>
      <c r="F10" s="1136" t="str">
        <f>ID!E10</f>
        <v>-</v>
      </c>
      <c r="G10" s="377"/>
      <c r="H10" s="377"/>
      <c r="I10" s="377"/>
      <c r="J10" s="376"/>
      <c r="K10" s="376"/>
      <c r="L10" s="743"/>
      <c r="M10" s="743"/>
      <c r="N10" s="743"/>
      <c r="O10" s="743"/>
      <c r="P10" s="743"/>
      <c r="Q10" s="743"/>
      <c r="R10" s="743"/>
      <c r="S10" s="743"/>
      <c r="T10" s="743"/>
      <c r="U10" s="743"/>
      <c r="V10" s="743"/>
      <c r="W10" s="743"/>
      <c r="X10" s="743"/>
      <c r="Y10" s="743"/>
      <c r="Z10" s="743"/>
      <c r="AA10" s="743"/>
      <c r="AB10" s="743"/>
      <c r="AC10" s="743"/>
      <c r="AD10" s="743"/>
      <c r="AE10" s="743"/>
      <c r="AF10" s="743"/>
      <c r="AG10" s="743"/>
      <c r="AH10" s="743"/>
      <c r="AI10" s="743"/>
      <c r="AJ10" s="743"/>
      <c r="AK10" s="743"/>
      <c r="AL10" s="743"/>
      <c r="AM10" s="743"/>
      <c r="AN10" s="743"/>
      <c r="AO10" s="743"/>
      <c r="AP10" s="743"/>
      <c r="AQ10" s="743"/>
      <c r="AR10" s="743"/>
      <c r="AS10" s="743"/>
      <c r="AT10" s="743"/>
      <c r="AU10" s="743"/>
      <c r="AV10" s="743"/>
      <c r="AW10" s="743"/>
      <c r="AX10" s="743"/>
      <c r="AY10" s="743"/>
      <c r="AZ10" s="743"/>
      <c r="BA10" s="743"/>
      <c r="BB10" s="743"/>
      <c r="BC10" s="743"/>
      <c r="BD10" s="743"/>
      <c r="BE10" s="743"/>
      <c r="BF10" s="743"/>
      <c r="BG10" s="743"/>
      <c r="BH10" s="743"/>
      <c r="BI10" s="743"/>
      <c r="BJ10" s="743"/>
      <c r="BK10" s="743"/>
      <c r="BL10" s="743"/>
      <c r="BM10" s="743"/>
      <c r="BN10" s="743"/>
      <c r="BO10" s="743"/>
      <c r="BP10" s="743"/>
      <c r="BQ10" s="743"/>
      <c r="BR10" s="743"/>
      <c r="BS10" s="743"/>
      <c r="BT10" s="743"/>
      <c r="BU10" s="743"/>
      <c r="BV10" s="743"/>
      <c r="BW10" s="743"/>
      <c r="BX10" s="743"/>
      <c r="BY10" s="743"/>
      <c r="BZ10" s="743"/>
      <c r="CA10" s="743"/>
      <c r="CB10" s="743"/>
      <c r="CC10" s="743"/>
      <c r="CD10" s="743"/>
      <c r="CE10" s="743"/>
      <c r="CF10" s="743"/>
      <c r="CG10" s="743"/>
      <c r="CH10" s="743"/>
      <c r="CI10" s="743"/>
      <c r="CJ10" s="743"/>
      <c r="CK10" s="743"/>
      <c r="CL10" s="743"/>
      <c r="CM10" s="743"/>
      <c r="CN10" s="743"/>
      <c r="CO10" s="743"/>
      <c r="CP10" s="743"/>
      <c r="CQ10" s="743"/>
      <c r="CR10" s="743"/>
      <c r="CS10" s="743"/>
      <c r="CT10" s="743"/>
      <c r="CU10" s="743"/>
      <c r="CV10" s="743"/>
      <c r="CW10" s="743"/>
      <c r="CX10" s="743"/>
      <c r="CY10" s="743"/>
      <c r="CZ10" s="743"/>
      <c r="DA10" s="743"/>
      <c r="DB10" s="743"/>
      <c r="DC10" s="743"/>
      <c r="DD10" s="743"/>
      <c r="DE10" s="743"/>
      <c r="DF10" s="743"/>
      <c r="DG10" s="743"/>
      <c r="DH10" s="743"/>
      <c r="DI10" s="743"/>
      <c r="DJ10" s="743"/>
      <c r="DK10" s="743"/>
      <c r="DL10" s="743"/>
      <c r="DM10" s="743"/>
      <c r="DN10" s="743"/>
      <c r="DO10" s="743"/>
      <c r="DP10" s="743"/>
      <c r="DQ10" s="743"/>
      <c r="DR10" s="743"/>
      <c r="DS10" s="743"/>
      <c r="DT10" s="743"/>
      <c r="DU10" s="743"/>
      <c r="DV10" s="743"/>
      <c r="DW10" s="743"/>
      <c r="DX10" s="743"/>
      <c r="DY10" s="743"/>
      <c r="DZ10" s="743"/>
      <c r="EA10" s="743"/>
      <c r="EB10" s="743"/>
      <c r="EC10" s="743"/>
      <c r="ED10" s="743"/>
      <c r="EE10" s="743"/>
      <c r="EF10" s="743"/>
      <c r="EG10" s="743"/>
      <c r="EH10" s="743"/>
      <c r="EI10" s="743"/>
      <c r="EJ10" s="743"/>
      <c r="EK10" s="743"/>
      <c r="EL10" s="743"/>
      <c r="EM10" s="743"/>
      <c r="EN10" s="743"/>
      <c r="EO10" s="743"/>
      <c r="EP10" s="743"/>
      <c r="EQ10" s="743"/>
      <c r="ER10" s="743"/>
      <c r="ES10" s="743"/>
      <c r="ET10" s="743"/>
      <c r="EU10" s="743"/>
      <c r="EV10" s="743"/>
      <c r="EW10" s="743"/>
      <c r="EX10" s="743"/>
      <c r="EY10" s="743"/>
      <c r="EZ10" s="743"/>
      <c r="FA10" s="743"/>
      <c r="FB10" s="743"/>
      <c r="FC10" s="743"/>
      <c r="FD10" s="743"/>
      <c r="FE10" s="743"/>
      <c r="FF10" s="743"/>
      <c r="FG10" s="743"/>
      <c r="FH10" s="743"/>
      <c r="FI10" s="743"/>
      <c r="FJ10" s="743"/>
      <c r="FK10" s="743"/>
      <c r="FL10" s="743"/>
      <c r="FM10" s="743"/>
      <c r="FN10" s="743"/>
      <c r="FO10" s="743"/>
      <c r="FP10" s="743"/>
      <c r="FQ10" s="743"/>
      <c r="FR10" s="743"/>
      <c r="FS10" s="743"/>
      <c r="FT10" s="743"/>
      <c r="FU10" s="743"/>
      <c r="FV10" s="743"/>
      <c r="FW10" s="743"/>
      <c r="FX10" s="743"/>
      <c r="FY10" s="743"/>
      <c r="FZ10" s="743"/>
      <c r="GA10" s="743"/>
      <c r="GB10" s="743"/>
      <c r="GC10" s="743"/>
      <c r="GD10" s="743"/>
      <c r="GE10" s="743"/>
      <c r="GF10" s="743"/>
      <c r="GG10" s="743"/>
      <c r="GH10" s="743"/>
      <c r="GI10" s="743"/>
      <c r="GJ10" s="743"/>
      <c r="GK10" s="743"/>
      <c r="GL10" s="743"/>
      <c r="GM10" s="743"/>
      <c r="GN10" s="743"/>
      <c r="GO10" s="743"/>
      <c r="GP10" s="743"/>
      <c r="GQ10" s="743"/>
      <c r="GR10" s="743"/>
      <c r="GS10" s="743"/>
      <c r="GT10" s="743"/>
      <c r="GU10" s="743"/>
      <c r="GV10" s="743"/>
      <c r="GW10" s="743"/>
      <c r="GX10" s="743"/>
      <c r="GY10" s="743"/>
      <c r="GZ10" s="743"/>
      <c r="HA10" s="743"/>
      <c r="HB10" s="743"/>
      <c r="HC10" s="743"/>
      <c r="HD10" s="743"/>
      <c r="HE10" s="743"/>
      <c r="HF10" s="743"/>
      <c r="HG10" s="743"/>
      <c r="HH10" s="743"/>
      <c r="HI10" s="743"/>
      <c r="HJ10" s="743"/>
      <c r="HK10" s="743"/>
      <c r="HL10" s="743"/>
      <c r="HM10" s="743"/>
      <c r="HN10" s="743"/>
      <c r="HO10" s="743"/>
      <c r="HP10" s="743"/>
      <c r="HQ10" s="743"/>
      <c r="HR10" s="743"/>
      <c r="HS10" s="743"/>
      <c r="HT10" s="743"/>
      <c r="HU10" s="743"/>
      <c r="HV10" s="743"/>
      <c r="HW10" s="743"/>
      <c r="HX10" s="743"/>
      <c r="HY10" s="743"/>
      <c r="HZ10" s="743"/>
      <c r="IA10" s="743"/>
      <c r="IB10" s="743"/>
      <c r="IC10" s="743"/>
      <c r="ID10" s="743"/>
      <c r="IE10" s="743"/>
      <c r="IF10" s="743"/>
      <c r="IG10" s="743"/>
      <c r="IH10" s="743"/>
      <c r="II10" s="743"/>
      <c r="IJ10" s="743"/>
      <c r="IK10" s="743"/>
      <c r="IL10" s="743"/>
      <c r="IM10" s="743"/>
      <c r="IN10" s="743"/>
    </row>
    <row r="11" spans="1:248" x14ac:dyDescent="0.3">
      <c r="A11" s="1136" t="str">
        <f>ID!B17</f>
        <v>Metode kerja</v>
      </c>
      <c r="B11" s="1136"/>
      <c r="C11" s="1136"/>
      <c r="D11" s="375"/>
      <c r="E11" s="375" t="s">
        <v>7</v>
      </c>
      <c r="F11" s="1136" t="str">
        <f>ID!E17</f>
        <v>MK 014-18</v>
      </c>
      <c r="G11" s="377"/>
      <c r="H11" s="377"/>
      <c r="I11" s="377"/>
      <c r="J11" s="376"/>
      <c r="K11" s="376"/>
      <c r="L11" s="743"/>
      <c r="M11" s="743"/>
      <c r="N11" s="743"/>
      <c r="O11" s="743"/>
      <c r="P11" s="743"/>
      <c r="Q11" s="743"/>
      <c r="R11" s="743"/>
      <c r="S11" s="743"/>
      <c r="T11" s="743"/>
      <c r="U11" s="743"/>
      <c r="V11" s="743"/>
      <c r="W11" s="743"/>
      <c r="X11" s="743"/>
      <c r="Y11" s="743"/>
      <c r="Z11" s="743"/>
      <c r="AA11" s="743"/>
      <c r="AB11" s="743"/>
      <c r="AC11" s="743"/>
      <c r="AD11" s="743"/>
      <c r="AE11" s="743"/>
      <c r="AF11" s="743"/>
      <c r="AG11" s="743"/>
      <c r="AH11" s="743"/>
      <c r="AI11" s="743"/>
      <c r="AJ11" s="743"/>
      <c r="AK11" s="743"/>
      <c r="AL11" s="743"/>
      <c r="AM11" s="743"/>
      <c r="AN11" s="743"/>
      <c r="AO11" s="743"/>
      <c r="AP11" s="743"/>
      <c r="AQ11" s="743"/>
      <c r="AR11" s="743"/>
      <c r="AS11" s="743"/>
      <c r="AT11" s="743"/>
      <c r="AU11" s="743"/>
      <c r="AV11" s="743"/>
      <c r="AW11" s="743"/>
      <c r="AX11" s="743"/>
      <c r="AY11" s="743"/>
      <c r="AZ11" s="743"/>
      <c r="BA11" s="743"/>
      <c r="BB11" s="743"/>
      <c r="BC11" s="743"/>
      <c r="BD11" s="743"/>
      <c r="BE11" s="743"/>
      <c r="BF11" s="743"/>
      <c r="BG11" s="743"/>
      <c r="BH11" s="743"/>
      <c r="BI11" s="743"/>
      <c r="BJ11" s="743"/>
      <c r="BK11" s="743"/>
      <c r="BL11" s="743"/>
      <c r="BM11" s="743"/>
      <c r="BN11" s="743"/>
      <c r="BO11" s="743"/>
      <c r="BP11" s="743"/>
      <c r="BQ11" s="743"/>
      <c r="BR11" s="743"/>
      <c r="BS11" s="743"/>
      <c r="BT11" s="743"/>
      <c r="BU11" s="743"/>
      <c r="BV11" s="743"/>
      <c r="BW11" s="743"/>
      <c r="BX11" s="743"/>
      <c r="BY11" s="743"/>
      <c r="BZ11" s="743"/>
      <c r="CA11" s="743"/>
      <c r="CB11" s="743"/>
      <c r="CC11" s="743"/>
      <c r="CD11" s="743"/>
      <c r="CE11" s="743"/>
      <c r="CF11" s="743"/>
      <c r="CG11" s="743"/>
      <c r="CH11" s="743"/>
      <c r="CI11" s="743"/>
      <c r="CJ11" s="743"/>
      <c r="CK11" s="743"/>
      <c r="CL11" s="743"/>
      <c r="CM11" s="743"/>
      <c r="CN11" s="743"/>
      <c r="CO11" s="743"/>
      <c r="CP11" s="743"/>
      <c r="CQ11" s="743"/>
      <c r="CR11" s="743"/>
      <c r="CS11" s="743"/>
      <c r="CT11" s="743"/>
      <c r="CU11" s="743"/>
      <c r="CV11" s="743"/>
      <c r="CW11" s="743"/>
      <c r="CX11" s="743"/>
      <c r="CY11" s="743"/>
      <c r="CZ11" s="743"/>
      <c r="DA11" s="743"/>
      <c r="DB11" s="743"/>
      <c r="DC11" s="743"/>
      <c r="DD11" s="743"/>
      <c r="DE11" s="743"/>
      <c r="DF11" s="743"/>
      <c r="DG11" s="743"/>
      <c r="DH11" s="743"/>
      <c r="DI11" s="743"/>
      <c r="DJ11" s="743"/>
      <c r="DK11" s="743"/>
      <c r="DL11" s="743"/>
      <c r="DM11" s="743"/>
      <c r="DN11" s="743"/>
      <c r="DO11" s="743"/>
      <c r="DP11" s="743"/>
      <c r="DQ11" s="743"/>
      <c r="DR11" s="743"/>
      <c r="DS11" s="743"/>
      <c r="DT11" s="743"/>
      <c r="DU11" s="743"/>
      <c r="DV11" s="743"/>
      <c r="DW11" s="743"/>
      <c r="DX11" s="743"/>
      <c r="DY11" s="743"/>
      <c r="DZ11" s="743"/>
      <c r="EA11" s="743"/>
      <c r="EB11" s="743"/>
      <c r="EC11" s="743"/>
      <c r="ED11" s="743"/>
      <c r="EE11" s="743"/>
      <c r="EF11" s="743"/>
      <c r="EG11" s="743"/>
      <c r="EH11" s="743"/>
      <c r="EI11" s="743"/>
      <c r="EJ11" s="743"/>
      <c r="EK11" s="743"/>
      <c r="EL11" s="743"/>
      <c r="EM11" s="743"/>
      <c r="EN11" s="743"/>
      <c r="EO11" s="743"/>
      <c r="EP11" s="743"/>
      <c r="EQ11" s="743"/>
      <c r="ER11" s="743"/>
      <c r="ES11" s="743"/>
      <c r="ET11" s="743"/>
      <c r="EU11" s="743"/>
      <c r="EV11" s="743"/>
      <c r="EW11" s="743"/>
      <c r="EX11" s="743"/>
      <c r="EY11" s="743"/>
      <c r="EZ11" s="743"/>
      <c r="FA11" s="743"/>
      <c r="FB11" s="743"/>
      <c r="FC11" s="743"/>
      <c r="FD11" s="743"/>
      <c r="FE11" s="743"/>
      <c r="FF11" s="743"/>
      <c r="FG11" s="743"/>
      <c r="FH11" s="743"/>
      <c r="FI11" s="743"/>
      <c r="FJ11" s="743"/>
      <c r="FK11" s="743"/>
      <c r="FL11" s="743"/>
      <c r="FM11" s="743"/>
      <c r="FN11" s="743"/>
      <c r="FO11" s="743"/>
      <c r="FP11" s="743"/>
      <c r="FQ11" s="743"/>
      <c r="FR11" s="743"/>
      <c r="FS11" s="743"/>
      <c r="FT11" s="743"/>
      <c r="FU11" s="743"/>
      <c r="FV11" s="743"/>
      <c r="FW11" s="743"/>
      <c r="FX11" s="743"/>
      <c r="FY11" s="743"/>
      <c r="FZ11" s="743"/>
      <c r="GA11" s="743"/>
      <c r="GB11" s="743"/>
      <c r="GC11" s="743"/>
      <c r="GD11" s="743"/>
      <c r="GE11" s="743"/>
      <c r="GF11" s="743"/>
      <c r="GG11" s="743"/>
      <c r="GH11" s="743"/>
      <c r="GI11" s="743"/>
      <c r="GJ11" s="743"/>
      <c r="GK11" s="743"/>
      <c r="GL11" s="743"/>
      <c r="GM11" s="743"/>
      <c r="GN11" s="743"/>
      <c r="GO11" s="743"/>
      <c r="GP11" s="743"/>
      <c r="GQ11" s="743"/>
      <c r="GR11" s="743"/>
      <c r="GS11" s="743"/>
      <c r="GT11" s="743"/>
      <c r="GU11" s="743"/>
      <c r="GV11" s="743"/>
      <c r="GW11" s="743"/>
      <c r="GX11" s="743"/>
      <c r="GY11" s="743"/>
      <c r="GZ11" s="743"/>
      <c r="HA11" s="743"/>
      <c r="HB11" s="743"/>
      <c r="HC11" s="743"/>
      <c r="HD11" s="743"/>
      <c r="HE11" s="743"/>
      <c r="HF11" s="743"/>
      <c r="HG11" s="743"/>
      <c r="HH11" s="743"/>
      <c r="HI11" s="743"/>
      <c r="HJ11" s="743"/>
      <c r="HK11" s="743"/>
      <c r="HL11" s="743"/>
      <c r="HM11" s="743"/>
      <c r="HN11" s="743"/>
      <c r="HO11" s="743"/>
      <c r="HP11" s="743"/>
      <c r="HQ11" s="743"/>
      <c r="HR11" s="743"/>
      <c r="HS11" s="743"/>
      <c r="HT11" s="743"/>
      <c r="HU11" s="743"/>
      <c r="HV11" s="743"/>
      <c r="HW11" s="743"/>
      <c r="HX11" s="743"/>
      <c r="HY11" s="743"/>
      <c r="HZ11" s="743"/>
      <c r="IA11" s="743"/>
      <c r="IB11" s="743"/>
      <c r="IC11" s="743"/>
      <c r="ID11" s="743"/>
      <c r="IE11" s="743"/>
      <c r="IF11" s="743"/>
      <c r="IG11" s="743"/>
      <c r="IH11" s="743"/>
      <c r="II11" s="743"/>
      <c r="IJ11" s="743"/>
      <c r="IK11" s="743"/>
      <c r="IL11" s="743"/>
      <c r="IM11" s="743"/>
      <c r="IN11" s="743"/>
    </row>
    <row r="12" spans="1:248" ht="5.25" customHeight="1" x14ac:dyDescent="0.3">
      <c r="A12" s="745"/>
      <c r="B12" s="745"/>
      <c r="C12" s="745"/>
      <c r="D12" s="393"/>
      <c r="E12" s="393"/>
      <c r="F12" s="746"/>
      <c r="G12" s="747"/>
      <c r="H12" s="747"/>
      <c r="I12" s="747"/>
      <c r="J12" s="743"/>
      <c r="K12" s="743"/>
      <c r="L12" s="743"/>
      <c r="M12" s="743"/>
      <c r="N12" s="743"/>
      <c r="O12" s="743"/>
      <c r="P12" s="743"/>
      <c r="Q12" s="743"/>
      <c r="R12" s="743"/>
      <c r="S12" s="743"/>
      <c r="T12" s="743"/>
      <c r="U12" s="743"/>
      <c r="V12" s="743"/>
      <c r="W12" s="743"/>
      <c r="X12" s="743"/>
      <c r="Y12" s="743"/>
      <c r="Z12" s="743"/>
      <c r="AA12" s="743"/>
      <c r="AB12" s="743"/>
      <c r="AC12" s="743"/>
      <c r="AD12" s="743"/>
      <c r="AE12" s="743"/>
      <c r="AF12" s="743"/>
      <c r="AG12" s="743"/>
      <c r="AH12" s="743"/>
      <c r="AI12" s="743"/>
      <c r="AJ12" s="743"/>
      <c r="AK12" s="743"/>
      <c r="AL12" s="743"/>
      <c r="AM12" s="743"/>
      <c r="AN12" s="743"/>
      <c r="AO12" s="743"/>
      <c r="AP12" s="743"/>
      <c r="AQ12" s="743"/>
      <c r="AR12" s="743"/>
      <c r="AS12" s="743"/>
      <c r="AT12" s="743"/>
      <c r="AU12" s="743"/>
      <c r="AV12" s="743"/>
      <c r="AW12" s="743"/>
      <c r="AX12" s="743"/>
      <c r="AY12" s="743"/>
      <c r="AZ12" s="743"/>
      <c r="BA12" s="743"/>
      <c r="BB12" s="743"/>
      <c r="BC12" s="743"/>
      <c r="BD12" s="743"/>
      <c r="BE12" s="743"/>
      <c r="BF12" s="743"/>
      <c r="BG12" s="743"/>
      <c r="BH12" s="743"/>
      <c r="BI12" s="743"/>
      <c r="BJ12" s="743"/>
      <c r="BK12" s="743"/>
      <c r="BL12" s="743"/>
      <c r="BM12" s="743"/>
      <c r="BN12" s="743"/>
      <c r="BO12" s="743"/>
      <c r="BP12" s="743"/>
      <c r="BQ12" s="743"/>
      <c r="BR12" s="743"/>
      <c r="BS12" s="743"/>
      <c r="BT12" s="743"/>
      <c r="BU12" s="743"/>
      <c r="BV12" s="743"/>
      <c r="BW12" s="743"/>
      <c r="BX12" s="743"/>
      <c r="BY12" s="743"/>
      <c r="BZ12" s="743"/>
      <c r="CA12" s="743"/>
      <c r="CB12" s="743"/>
      <c r="CC12" s="743"/>
      <c r="CD12" s="743"/>
      <c r="CE12" s="743"/>
      <c r="CF12" s="743"/>
      <c r="CG12" s="743"/>
      <c r="CH12" s="743"/>
      <c r="CI12" s="743"/>
      <c r="CJ12" s="743"/>
      <c r="CK12" s="743"/>
      <c r="CL12" s="743"/>
      <c r="CM12" s="743"/>
      <c r="CN12" s="743"/>
      <c r="CO12" s="743"/>
      <c r="CP12" s="743"/>
      <c r="CQ12" s="743"/>
      <c r="CR12" s="743"/>
      <c r="CS12" s="743"/>
      <c r="CT12" s="743"/>
      <c r="CU12" s="743"/>
      <c r="CV12" s="743"/>
      <c r="CW12" s="743"/>
      <c r="CX12" s="743"/>
      <c r="CY12" s="743"/>
      <c r="CZ12" s="743"/>
      <c r="DA12" s="743"/>
      <c r="DB12" s="743"/>
      <c r="DC12" s="743"/>
      <c r="DD12" s="743"/>
      <c r="DE12" s="743"/>
      <c r="DF12" s="743"/>
      <c r="DG12" s="743"/>
      <c r="DH12" s="743"/>
      <c r="DI12" s="743"/>
      <c r="DJ12" s="743"/>
      <c r="DK12" s="743"/>
      <c r="DL12" s="743"/>
      <c r="DM12" s="743"/>
      <c r="DN12" s="743"/>
      <c r="DO12" s="743"/>
      <c r="DP12" s="743"/>
      <c r="DQ12" s="743"/>
      <c r="DR12" s="743"/>
      <c r="DS12" s="743"/>
      <c r="DT12" s="743"/>
      <c r="DU12" s="743"/>
      <c r="DV12" s="743"/>
      <c r="DW12" s="743"/>
      <c r="DX12" s="743"/>
      <c r="DY12" s="743"/>
      <c r="DZ12" s="743"/>
      <c r="EA12" s="743"/>
      <c r="EB12" s="743"/>
      <c r="EC12" s="743"/>
      <c r="ED12" s="743"/>
      <c r="EE12" s="743"/>
      <c r="EF12" s="743"/>
      <c r="EG12" s="743"/>
      <c r="EH12" s="743"/>
      <c r="EI12" s="743"/>
      <c r="EJ12" s="743"/>
      <c r="EK12" s="743"/>
      <c r="EL12" s="743"/>
      <c r="EM12" s="743"/>
      <c r="EN12" s="743"/>
      <c r="EO12" s="743"/>
      <c r="EP12" s="743"/>
      <c r="EQ12" s="743"/>
      <c r="ER12" s="743"/>
      <c r="ES12" s="743"/>
      <c r="ET12" s="743"/>
      <c r="EU12" s="743"/>
      <c r="EV12" s="743"/>
      <c r="EW12" s="743"/>
      <c r="EX12" s="743"/>
      <c r="EY12" s="743"/>
      <c r="EZ12" s="743"/>
      <c r="FA12" s="743"/>
      <c r="FB12" s="743"/>
      <c r="FC12" s="743"/>
      <c r="FD12" s="743"/>
      <c r="FE12" s="743"/>
      <c r="FF12" s="743"/>
      <c r="FG12" s="743"/>
      <c r="FH12" s="743"/>
      <c r="FI12" s="743"/>
      <c r="FJ12" s="743"/>
      <c r="FK12" s="743"/>
      <c r="FL12" s="743"/>
      <c r="FM12" s="743"/>
      <c r="FN12" s="743"/>
      <c r="FO12" s="743"/>
      <c r="FP12" s="743"/>
      <c r="FQ12" s="743"/>
      <c r="FR12" s="743"/>
      <c r="FS12" s="743"/>
      <c r="FT12" s="743"/>
      <c r="FU12" s="743"/>
      <c r="FV12" s="743"/>
      <c r="FW12" s="743"/>
      <c r="FX12" s="743"/>
      <c r="FY12" s="743"/>
      <c r="FZ12" s="743"/>
      <c r="GA12" s="743"/>
      <c r="GB12" s="743"/>
      <c r="GC12" s="743"/>
      <c r="GD12" s="743"/>
      <c r="GE12" s="743"/>
      <c r="GF12" s="743"/>
      <c r="GG12" s="743"/>
      <c r="GH12" s="743"/>
      <c r="GI12" s="743"/>
      <c r="GJ12" s="743"/>
      <c r="GK12" s="743"/>
      <c r="GL12" s="743"/>
      <c r="GM12" s="743"/>
      <c r="GN12" s="743"/>
      <c r="GO12" s="743"/>
      <c r="GP12" s="743"/>
      <c r="GQ12" s="743"/>
      <c r="GR12" s="743"/>
      <c r="GS12" s="743"/>
      <c r="GT12" s="743"/>
      <c r="GU12" s="743"/>
      <c r="GV12" s="743"/>
      <c r="GW12" s="743"/>
      <c r="GX12" s="743"/>
      <c r="GY12" s="743"/>
      <c r="GZ12" s="743"/>
      <c r="HA12" s="743"/>
      <c r="HB12" s="743"/>
      <c r="HC12" s="743"/>
      <c r="HD12" s="743"/>
      <c r="HE12" s="743"/>
      <c r="HF12" s="743"/>
      <c r="HG12" s="743"/>
      <c r="HH12" s="743"/>
      <c r="HI12" s="743"/>
      <c r="HJ12" s="743"/>
      <c r="HK12" s="743"/>
      <c r="HL12" s="743"/>
      <c r="HM12" s="743"/>
      <c r="HN12" s="743"/>
      <c r="HO12" s="743"/>
      <c r="HP12" s="743"/>
      <c r="HQ12" s="743"/>
      <c r="HR12" s="743"/>
      <c r="HS12" s="743"/>
      <c r="HT12" s="743"/>
      <c r="HU12" s="743"/>
      <c r="HV12" s="743"/>
      <c r="HW12" s="743"/>
      <c r="HX12" s="743"/>
      <c r="HY12" s="743"/>
      <c r="HZ12" s="743"/>
      <c r="IA12" s="743"/>
      <c r="IB12" s="743"/>
      <c r="IC12" s="743"/>
      <c r="ID12" s="743"/>
      <c r="IE12" s="743"/>
      <c r="IF12" s="743"/>
      <c r="IG12" s="743"/>
      <c r="IH12" s="743"/>
      <c r="II12" s="743"/>
      <c r="IJ12" s="743"/>
      <c r="IK12" s="743"/>
      <c r="IL12" s="743"/>
      <c r="IM12" s="743"/>
      <c r="IN12" s="743"/>
    </row>
    <row r="13" spans="1:248" x14ac:dyDescent="0.3">
      <c r="A13" s="1135" t="s">
        <v>229</v>
      </c>
      <c r="B13" s="1457" t="s">
        <v>230</v>
      </c>
      <c r="C13" s="1457"/>
      <c r="D13" s="1457"/>
      <c r="E13" s="1457"/>
      <c r="F13" s="1457"/>
      <c r="G13" s="1457"/>
      <c r="H13" s="393"/>
      <c r="I13" s="393"/>
      <c r="J13" s="743"/>
      <c r="K13" s="743"/>
      <c r="L13" s="743"/>
      <c r="M13" s="743"/>
      <c r="N13" s="743"/>
      <c r="O13" s="743"/>
      <c r="P13" s="743"/>
      <c r="Q13" s="743"/>
      <c r="R13" s="743"/>
      <c r="S13" s="743"/>
      <c r="T13" s="743"/>
      <c r="U13" s="743"/>
      <c r="V13" s="743"/>
      <c r="W13" s="743"/>
      <c r="X13" s="743"/>
      <c r="Y13" s="743"/>
      <c r="Z13" s="743"/>
      <c r="AA13" s="743"/>
      <c r="AB13" s="743"/>
      <c r="AC13" s="743"/>
      <c r="AD13" s="743"/>
      <c r="AE13" s="743"/>
      <c r="AF13" s="743"/>
      <c r="AG13" s="743"/>
      <c r="AH13" s="743"/>
      <c r="AI13" s="743"/>
      <c r="AJ13" s="743"/>
      <c r="AK13" s="743"/>
      <c r="AL13" s="743"/>
      <c r="AM13" s="743"/>
      <c r="AN13" s="743"/>
      <c r="AO13" s="743"/>
      <c r="AP13" s="743"/>
      <c r="AQ13" s="743"/>
      <c r="AR13" s="743"/>
      <c r="AS13" s="743"/>
      <c r="AT13" s="743"/>
      <c r="AU13" s="743"/>
      <c r="AV13" s="743"/>
      <c r="AW13" s="743"/>
      <c r="AX13" s="743"/>
      <c r="AY13" s="743"/>
      <c r="AZ13" s="743"/>
      <c r="BA13" s="743"/>
      <c r="BB13" s="743"/>
      <c r="BC13" s="743"/>
      <c r="BD13" s="743"/>
      <c r="BE13" s="743"/>
      <c r="BF13" s="743"/>
      <c r="BG13" s="743"/>
      <c r="BH13" s="743"/>
      <c r="BI13" s="743"/>
      <c r="BJ13" s="743"/>
      <c r="BK13" s="743"/>
      <c r="BL13" s="743"/>
      <c r="BM13" s="743"/>
      <c r="BN13" s="743"/>
      <c r="BO13" s="743"/>
      <c r="BP13" s="743"/>
      <c r="BQ13" s="743"/>
      <c r="BR13" s="743"/>
      <c r="BS13" s="743"/>
      <c r="BT13" s="743"/>
      <c r="BU13" s="743"/>
      <c r="BV13" s="743"/>
      <c r="BW13" s="743"/>
      <c r="BX13" s="743"/>
      <c r="BY13" s="743"/>
      <c r="BZ13" s="743"/>
      <c r="CA13" s="743"/>
      <c r="CB13" s="743"/>
      <c r="CC13" s="743"/>
      <c r="CD13" s="743"/>
      <c r="CE13" s="743"/>
      <c r="CF13" s="743"/>
      <c r="CG13" s="743"/>
      <c r="CH13" s="743"/>
      <c r="CI13" s="743"/>
      <c r="CJ13" s="743"/>
      <c r="CK13" s="743"/>
      <c r="CL13" s="743"/>
      <c r="CM13" s="743"/>
      <c r="CN13" s="743"/>
      <c r="CO13" s="743"/>
      <c r="CP13" s="743"/>
      <c r="CQ13" s="743"/>
      <c r="CR13" s="743"/>
      <c r="CS13" s="743"/>
      <c r="CT13" s="743"/>
      <c r="CU13" s="743"/>
      <c r="CV13" s="743"/>
      <c r="CW13" s="743"/>
      <c r="CX13" s="743"/>
      <c r="CY13" s="743"/>
      <c r="CZ13" s="743"/>
      <c r="DA13" s="743"/>
      <c r="DB13" s="743"/>
      <c r="DC13" s="743"/>
      <c r="DD13" s="743"/>
      <c r="DE13" s="743"/>
      <c r="DF13" s="743"/>
      <c r="DG13" s="743"/>
      <c r="DH13" s="743"/>
      <c r="DI13" s="743"/>
      <c r="DJ13" s="743"/>
      <c r="DK13" s="743"/>
      <c r="DL13" s="743"/>
      <c r="DM13" s="743"/>
      <c r="DN13" s="743"/>
      <c r="DO13" s="743"/>
      <c r="DP13" s="743"/>
      <c r="DQ13" s="743"/>
      <c r="DR13" s="743"/>
      <c r="DS13" s="743"/>
      <c r="DT13" s="743"/>
      <c r="DU13" s="743"/>
      <c r="DV13" s="743"/>
      <c r="DW13" s="743"/>
      <c r="DX13" s="743"/>
      <c r="DY13" s="743"/>
      <c r="DZ13" s="743"/>
      <c r="EA13" s="743"/>
      <c r="EB13" s="743"/>
      <c r="EC13" s="743"/>
      <c r="ED13" s="743"/>
      <c r="EE13" s="743"/>
      <c r="EF13" s="743"/>
      <c r="EG13" s="743"/>
      <c r="EH13" s="743"/>
      <c r="EI13" s="743"/>
      <c r="EJ13" s="743"/>
      <c r="EK13" s="743"/>
      <c r="EL13" s="743"/>
      <c r="EM13" s="743"/>
      <c r="EN13" s="743"/>
      <c r="EO13" s="743"/>
      <c r="EP13" s="743"/>
      <c r="EQ13" s="743"/>
      <c r="ER13" s="743"/>
      <c r="ES13" s="743"/>
      <c r="ET13" s="743"/>
      <c r="EU13" s="743"/>
      <c r="EV13" s="743"/>
      <c r="EW13" s="743"/>
      <c r="EX13" s="743"/>
      <c r="EY13" s="743"/>
      <c r="EZ13" s="743"/>
      <c r="FA13" s="743"/>
      <c r="FB13" s="743"/>
      <c r="FC13" s="743"/>
      <c r="FD13" s="743"/>
      <c r="FE13" s="743"/>
      <c r="FF13" s="743"/>
      <c r="FG13" s="743"/>
      <c r="FH13" s="743"/>
      <c r="FI13" s="743"/>
      <c r="FJ13" s="743"/>
      <c r="FK13" s="743"/>
      <c r="FL13" s="743"/>
      <c r="FM13" s="743"/>
      <c r="FN13" s="743"/>
      <c r="FO13" s="743"/>
      <c r="FP13" s="743"/>
      <c r="FQ13" s="743"/>
      <c r="FR13" s="743"/>
      <c r="FS13" s="743"/>
      <c r="FT13" s="743"/>
      <c r="FU13" s="743"/>
      <c r="FV13" s="743"/>
      <c r="FW13" s="743"/>
      <c r="FX13" s="743"/>
      <c r="FY13" s="743"/>
      <c r="FZ13" s="743"/>
      <c r="GA13" s="743"/>
      <c r="GB13" s="743"/>
      <c r="GC13" s="743"/>
      <c r="GD13" s="743"/>
      <c r="GE13" s="743"/>
      <c r="GF13" s="743"/>
      <c r="GG13" s="743"/>
      <c r="GH13" s="743"/>
      <c r="GI13" s="743"/>
      <c r="GJ13" s="743"/>
      <c r="GK13" s="743"/>
      <c r="GL13" s="743"/>
      <c r="GM13" s="743"/>
      <c r="GN13" s="743"/>
      <c r="GO13" s="743"/>
      <c r="GP13" s="743"/>
      <c r="GQ13" s="743"/>
      <c r="GR13" s="743"/>
      <c r="GS13" s="743"/>
      <c r="GT13" s="743"/>
      <c r="GU13" s="743"/>
      <c r="GV13" s="743"/>
      <c r="GW13" s="743"/>
      <c r="GX13" s="743"/>
      <c r="GY13" s="743"/>
      <c r="GZ13" s="743"/>
      <c r="HA13" s="743"/>
      <c r="HB13" s="743"/>
      <c r="HC13" s="743"/>
      <c r="HD13" s="743"/>
      <c r="HE13" s="743"/>
      <c r="HF13" s="743"/>
      <c r="HG13" s="743"/>
      <c r="HH13" s="743"/>
      <c r="HI13" s="743"/>
      <c r="HJ13" s="743"/>
      <c r="HK13" s="743"/>
      <c r="HL13" s="743"/>
      <c r="HM13" s="743"/>
      <c r="HN13" s="743"/>
      <c r="HO13" s="743"/>
      <c r="HP13" s="743"/>
      <c r="HQ13" s="743"/>
      <c r="HR13" s="743"/>
      <c r="HS13" s="743"/>
      <c r="HT13" s="743"/>
      <c r="HU13" s="743"/>
      <c r="HV13" s="743"/>
      <c r="HW13" s="743"/>
      <c r="HX13" s="743"/>
      <c r="HY13" s="743"/>
      <c r="HZ13" s="743"/>
      <c r="IA13" s="743"/>
      <c r="IB13" s="743"/>
      <c r="IC13" s="743"/>
      <c r="ID13" s="743"/>
      <c r="IE13" s="743"/>
      <c r="IF13" s="743"/>
      <c r="IG13" s="743"/>
      <c r="IH13" s="743"/>
      <c r="II13" s="743"/>
      <c r="IJ13" s="743"/>
      <c r="IK13" s="743"/>
      <c r="IL13" s="743"/>
      <c r="IM13" s="743"/>
      <c r="IN13" s="743"/>
    </row>
    <row r="14" spans="1:248" x14ac:dyDescent="0.3">
      <c r="A14" s="1136"/>
      <c r="B14" s="1455" t="s">
        <v>231</v>
      </c>
      <c r="C14" s="1455"/>
      <c r="D14" s="375" t="s">
        <v>7</v>
      </c>
      <c r="E14" s="375" t="s">
        <v>7</v>
      </c>
      <c r="F14" s="1118">
        <f>PENYELIA!F14</f>
        <v>22.86</v>
      </c>
      <c r="G14" s="1125" t="s">
        <v>810</v>
      </c>
      <c r="H14" s="1117">
        <f>PENYELIA!H14</f>
        <v>0.8</v>
      </c>
      <c r="I14" s="745" t="str">
        <f>PENYELIA!I14</f>
        <v xml:space="preserve"> °C</v>
      </c>
      <c r="J14" s="743"/>
      <c r="K14" s="743"/>
      <c r="L14" s="743"/>
      <c r="M14" s="743"/>
      <c r="N14" s="743"/>
      <c r="O14" s="743"/>
      <c r="P14" s="743"/>
      <c r="Q14" s="743"/>
      <c r="R14" s="743"/>
      <c r="S14" s="743"/>
      <c r="T14" s="743"/>
      <c r="U14" s="743"/>
      <c r="V14" s="743"/>
      <c r="W14" s="743"/>
      <c r="X14" s="743"/>
      <c r="Y14" s="743"/>
      <c r="Z14" s="743"/>
      <c r="AA14" s="743"/>
      <c r="AB14" s="743"/>
      <c r="AC14" s="743"/>
      <c r="AD14" s="743"/>
      <c r="AE14" s="743"/>
      <c r="AF14" s="743"/>
      <c r="AG14" s="743"/>
      <c r="AH14" s="743"/>
      <c r="AI14" s="743"/>
      <c r="AJ14" s="743"/>
      <c r="AK14" s="743"/>
      <c r="AL14" s="743"/>
      <c r="AM14" s="743"/>
      <c r="AN14" s="743"/>
      <c r="AO14" s="743"/>
      <c r="AP14" s="743"/>
      <c r="AQ14" s="743"/>
      <c r="AR14" s="743"/>
      <c r="AS14" s="743"/>
      <c r="AT14" s="743"/>
      <c r="AU14" s="743"/>
      <c r="AV14" s="743"/>
      <c r="AW14" s="743"/>
      <c r="AX14" s="743"/>
      <c r="AY14" s="743"/>
      <c r="AZ14" s="743"/>
      <c r="BA14" s="743"/>
      <c r="BB14" s="743"/>
      <c r="BC14" s="743"/>
      <c r="BD14" s="743"/>
      <c r="BE14" s="743"/>
      <c r="BF14" s="743"/>
      <c r="BG14" s="743"/>
      <c r="BH14" s="743"/>
      <c r="BI14" s="743"/>
      <c r="BJ14" s="743"/>
      <c r="BK14" s="743"/>
      <c r="BL14" s="743"/>
      <c r="BM14" s="743"/>
      <c r="BN14" s="743"/>
      <c r="BO14" s="743"/>
      <c r="BP14" s="743"/>
      <c r="BQ14" s="743"/>
      <c r="BR14" s="743"/>
      <c r="BS14" s="743"/>
      <c r="BT14" s="743"/>
      <c r="BU14" s="743"/>
      <c r="BV14" s="743"/>
      <c r="BW14" s="743"/>
      <c r="BX14" s="743"/>
      <c r="BY14" s="743"/>
      <c r="BZ14" s="743"/>
      <c r="CA14" s="743"/>
      <c r="CB14" s="743"/>
      <c r="CC14" s="743"/>
      <c r="CD14" s="743"/>
      <c r="CE14" s="743"/>
      <c r="CF14" s="743"/>
      <c r="CG14" s="743"/>
      <c r="CH14" s="743"/>
      <c r="CI14" s="743"/>
      <c r="CJ14" s="743"/>
      <c r="CK14" s="743"/>
      <c r="CL14" s="743"/>
      <c r="CM14" s="743"/>
      <c r="CN14" s="743"/>
      <c r="CO14" s="743"/>
      <c r="CP14" s="743"/>
      <c r="CQ14" s="743"/>
      <c r="CR14" s="743"/>
      <c r="CS14" s="743"/>
      <c r="CT14" s="743"/>
      <c r="CU14" s="743"/>
      <c r="CV14" s="743"/>
      <c r="CW14" s="743"/>
      <c r="CX14" s="743"/>
      <c r="CY14" s="743"/>
      <c r="CZ14" s="743"/>
      <c r="DA14" s="743"/>
      <c r="DB14" s="743"/>
      <c r="DC14" s="743"/>
      <c r="DD14" s="743"/>
      <c r="DE14" s="743"/>
      <c r="DF14" s="743"/>
      <c r="DG14" s="743"/>
      <c r="DH14" s="743"/>
      <c r="DI14" s="743"/>
      <c r="DJ14" s="743"/>
      <c r="DK14" s="743"/>
      <c r="DL14" s="743"/>
      <c r="DM14" s="743"/>
      <c r="DN14" s="743"/>
      <c r="DO14" s="743"/>
      <c r="DP14" s="743"/>
      <c r="DQ14" s="743"/>
      <c r="DR14" s="743"/>
      <c r="DS14" s="743"/>
      <c r="DT14" s="743"/>
      <c r="DU14" s="743"/>
      <c r="DV14" s="743"/>
      <c r="DW14" s="743"/>
      <c r="DX14" s="743"/>
      <c r="DY14" s="743"/>
      <c r="DZ14" s="743"/>
      <c r="EA14" s="743"/>
      <c r="EB14" s="743"/>
      <c r="EC14" s="743"/>
      <c r="ED14" s="743"/>
      <c r="EE14" s="743"/>
      <c r="EF14" s="743"/>
      <c r="EG14" s="743"/>
      <c r="EH14" s="743"/>
      <c r="EI14" s="743"/>
      <c r="EJ14" s="743"/>
      <c r="EK14" s="743"/>
      <c r="EL14" s="743"/>
      <c r="EM14" s="743"/>
      <c r="EN14" s="743"/>
      <c r="EO14" s="743"/>
      <c r="EP14" s="743"/>
      <c r="EQ14" s="743"/>
      <c r="ER14" s="743"/>
      <c r="ES14" s="743"/>
      <c r="ET14" s="743"/>
      <c r="EU14" s="743"/>
      <c r="EV14" s="743"/>
      <c r="EW14" s="743"/>
      <c r="EX14" s="743"/>
      <c r="EY14" s="743"/>
      <c r="EZ14" s="743"/>
      <c r="FA14" s="743"/>
      <c r="FB14" s="743"/>
      <c r="FC14" s="743"/>
      <c r="FD14" s="743"/>
      <c r="FE14" s="743"/>
      <c r="FF14" s="743"/>
      <c r="FG14" s="743"/>
      <c r="FH14" s="743"/>
      <c r="FI14" s="743"/>
      <c r="FJ14" s="743"/>
      <c r="FK14" s="743"/>
      <c r="FL14" s="743"/>
      <c r="FM14" s="743"/>
      <c r="FN14" s="743"/>
      <c r="FO14" s="743"/>
      <c r="FP14" s="743"/>
      <c r="FQ14" s="743"/>
      <c r="FR14" s="743"/>
      <c r="FS14" s="743"/>
      <c r="FT14" s="743"/>
      <c r="FU14" s="743"/>
      <c r="FV14" s="743"/>
      <c r="FW14" s="743"/>
      <c r="FX14" s="743"/>
      <c r="FY14" s="743"/>
      <c r="FZ14" s="743"/>
      <c r="GA14" s="743"/>
      <c r="GB14" s="743"/>
      <c r="GC14" s="743"/>
      <c r="GD14" s="743"/>
      <c r="GE14" s="743"/>
      <c r="GF14" s="743"/>
      <c r="GG14" s="743"/>
      <c r="GH14" s="743"/>
      <c r="GI14" s="743"/>
      <c r="GJ14" s="743"/>
      <c r="GK14" s="743"/>
      <c r="GL14" s="743"/>
      <c r="GM14" s="743"/>
      <c r="GN14" s="743"/>
      <c r="GO14" s="743"/>
      <c r="GP14" s="743"/>
      <c r="GQ14" s="743"/>
      <c r="GR14" s="743"/>
      <c r="GS14" s="743"/>
      <c r="GT14" s="743"/>
      <c r="GU14" s="743"/>
      <c r="GV14" s="743"/>
      <c r="GW14" s="743"/>
      <c r="GX14" s="743"/>
      <c r="GY14" s="743"/>
      <c r="GZ14" s="743"/>
      <c r="HA14" s="743"/>
      <c r="HB14" s="743"/>
      <c r="HC14" s="743"/>
      <c r="HD14" s="743"/>
      <c r="HE14" s="743"/>
      <c r="HF14" s="743"/>
      <c r="HG14" s="743"/>
      <c r="HH14" s="743"/>
      <c r="HI14" s="743"/>
      <c r="HJ14" s="743"/>
      <c r="HK14" s="743"/>
      <c r="HL14" s="743"/>
      <c r="HM14" s="743"/>
      <c r="HN14" s="743"/>
      <c r="HO14" s="743"/>
      <c r="HP14" s="743"/>
      <c r="HQ14" s="743"/>
      <c r="HR14" s="743"/>
      <c r="HS14" s="743"/>
      <c r="HT14" s="743"/>
      <c r="HU14" s="743"/>
      <c r="HV14" s="743"/>
      <c r="HW14" s="743"/>
      <c r="HX14" s="743"/>
      <c r="HY14" s="743"/>
      <c r="HZ14" s="743"/>
      <c r="IA14" s="743"/>
      <c r="IB14" s="743"/>
      <c r="IC14" s="743"/>
      <c r="ID14" s="743"/>
      <c r="IE14" s="743"/>
      <c r="IF14" s="743"/>
      <c r="IG14" s="743"/>
      <c r="IH14" s="743"/>
      <c r="II14" s="743"/>
      <c r="IJ14" s="743"/>
      <c r="IK14" s="743"/>
      <c r="IL14" s="743"/>
      <c r="IM14" s="743"/>
      <c r="IN14" s="743"/>
    </row>
    <row r="15" spans="1:248" x14ac:dyDescent="0.3">
      <c r="A15" s="1136"/>
      <c r="B15" s="1455" t="s">
        <v>232</v>
      </c>
      <c r="C15" s="1455"/>
      <c r="D15" s="375" t="s">
        <v>7</v>
      </c>
      <c r="E15" s="375" t="s">
        <v>7</v>
      </c>
      <c r="F15" s="1118">
        <f>PENYELIA!F15</f>
        <v>55.265500000000003</v>
      </c>
      <c r="G15" s="1125" t="s">
        <v>810</v>
      </c>
      <c r="H15" s="1117">
        <f>PENYELIA!H15</f>
        <v>2.2000000000000002</v>
      </c>
      <c r="I15" s="745" t="str">
        <f>PENYELIA!I15</f>
        <v xml:space="preserve"> %RH</v>
      </c>
      <c r="J15" s="743"/>
      <c r="K15" s="743"/>
      <c r="L15" s="743"/>
      <c r="M15" s="743"/>
      <c r="N15" s="743"/>
      <c r="O15" s="743"/>
      <c r="P15" s="743"/>
      <c r="Q15" s="743"/>
      <c r="R15" s="743"/>
      <c r="S15" s="743"/>
      <c r="T15" s="743"/>
      <c r="U15" s="743"/>
      <c r="V15" s="743"/>
      <c r="W15" s="743"/>
      <c r="X15" s="743"/>
      <c r="Y15" s="743"/>
      <c r="Z15" s="743"/>
      <c r="AA15" s="743"/>
      <c r="AB15" s="743"/>
      <c r="AC15" s="743"/>
      <c r="AD15" s="743"/>
      <c r="AE15" s="743"/>
      <c r="AF15" s="743"/>
      <c r="AG15" s="743"/>
      <c r="AH15" s="743"/>
      <c r="AI15" s="743"/>
      <c r="AJ15" s="743"/>
      <c r="AK15" s="743"/>
      <c r="AL15" s="743"/>
      <c r="AM15" s="743"/>
      <c r="AN15" s="743"/>
      <c r="AO15" s="743"/>
      <c r="AP15" s="743"/>
      <c r="AQ15" s="743"/>
      <c r="AR15" s="743"/>
      <c r="AS15" s="743"/>
      <c r="AT15" s="743"/>
      <c r="AU15" s="743"/>
      <c r="AV15" s="743"/>
      <c r="AW15" s="743"/>
      <c r="AX15" s="743"/>
      <c r="AY15" s="743"/>
      <c r="AZ15" s="743"/>
      <c r="BA15" s="743"/>
      <c r="BB15" s="743"/>
      <c r="BC15" s="743"/>
      <c r="BD15" s="743"/>
      <c r="BE15" s="743"/>
      <c r="BF15" s="743"/>
      <c r="BG15" s="743"/>
      <c r="BH15" s="743"/>
      <c r="BI15" s="743"/>
      <c r="BJ15" s="743"/>
      <c r="BK15" s="743"/>
      <c r="BL15" s="743"/>
      <c r="BM15" s="743"/>
      <c r="BN15" s="743"/>
      <c r="BO15" s="743"/>
      <c r="BP15" s="743"/>
      <c r="BQ15" s="743"/>
      <c r="BR15" s="743"/>
      <c r="BS15" s="743"/>
      <c r="BT15" s="743"/>
      <c r="BU15" s="743"/>
      <c r="BV15" s="743"/>
      <c r="BW15" s="743"/>
      <c r="BX15" s="743"/>
      <c r="BY15" s="743"/>
      <c r="BZ15" s="743"/>
      <c r="CA15" s="743"/>
      <c r="CB15" s="743"/>
      <c r="CC15" s="743"/>
      <c r="CD15" s="743"/>
      <c r="CE15" s="743"/>
      <c r="CF15" s="743"/>
      <c r="CG15" s="743"/>
      <c r="CH15" s="743"/>
      <c r="CI15" s="743"/>
      <c r="CJ15" s="743"/>
      <c r="CK15" s="743"/>
      <c r="CL15" s="743"/>
      <c r="CM15" s="743"/>
      <c r="CN15" s="743"/>
      <c r="CO15" s="743"/>
      <c r="CP15" s="743"/>
      <c r="CQ15" s="743"/>
      <c r="CR15" s="743"/>
      <c r="CS15" s="743"/>
      <c r="CT15" s="743"/>
      <c r="CU15" s="743"/>
      <c r="CV15" s="743"/>
      <c r="CW15" s="743"/>
      <c r="CX15" s="743"/>
      <c r="CY15" s="743"/>
      <c r="CZ15" s="743"/>
      <c r="DA15" s="743"/>
      <c r="DB15" s="743"/>
      <c r="DC15" s="743"/>
      <c r="DD15" s="743"/>
      <c r="DE15" s="743"/>
      <c r="DF15" s="743"/>
      <c r="DG15" s="743"/>
      <c r="DH15" s="743"/>
      <c r="DI15" s="743"/>
      <c r="DJ15" s="743"/>
      <c r="DK15" s="743"/>
      <c r="DL15" s="743"/>
      <c r="DM15" s="743"/>
      <c r="DN15" s="743"/>
      <c r="DO15" s="743"/>
      <c r="DP15" s="743"/>
      <c r="DQ15" s="743"/>
      <c r="DR15" s="743"/>
      <c r="DS15" s="743"/>
      <c r="DT15" s="743"/>
      <c r="DU15" s="743"/>
      <c r="DV15" s="743"/>
      <c r="DW15" s="743"/>
      <c r="DX15" s="743"/>
      <c r="DY15" s="743"/>
      <c r="DZ15" s="743"/>
      <c r="EA15" s="743"/>
      <c r="EB15" s="743"/>
      <c r="EC15" s="743"/>
      <c r="ED15" s="743"/>
      <c r="EE15" s="743"/>
      <c r="EF15" s="743"/>
      <c r="EG15" s="743"/>
      <c r="EH15" s="743"/>
      <c r="EI15" s="743"/>
      <c r="EJ15" s="743"/>
      <c r="EK15" s="743"/>
      <c r="EL15" s="743"/>
      <c r="EM15" s="743"/>
      <c r="EN15" s="743"/>
      <c r="EO15" s="743"/>
      <c r="EP15" s="743"/>
      <c r="EQ15" s="743"/>
      <c r="ER15" s="743"/>
      <c r="ES15" s="743"/>
      <c r="ET15" s="743"/>
      <c r="EU15" s="743"/>
      <c r="EV15" s="743"/>
      <c r="EW15" s="743"/>
      <c r="EX15" s="743"/>
      <c r="EY15" s="743"/>
      <c r="EZ15" s="743"/>
      <c r="FA15" s="743"/>
      <c r="FB15" s="743"/>
      <c r="FC15" s="743"/>
      <c r="FD15" s="743"/>
      <c r="FE15" s="743"/>
      <c r="FF15" s="743"/>
      <c r="FG15" s="743"/>
      <c r="FH15" s="743"/>
      <c r="FI15" s="743"/>
      <c r="FJ15" s="743"/>
      <c r="FK15" s="743"/>
      <c r="FL15" s="743"/>
      <c r="FM15" s="743"/>
      <c r="FN15" s="743"/>
      <c r="FO15" s="743"/>
      <c r="FP15" s="743"/>
      <c r="FQ15" s="743"/>
      <c r="FR15" s="743"/>
      <c r="FS15" s="743"/>
      <c r="FT15" s="743"/>
      <c r="FU15" s="743"/>
      <c r="FV15" s="743"/>
      <c r="FW15" s="743"/>
      <c r="FX15" s="743"/>
      <c r="FY15" s="743"/>
      <c r="FZ15" s="743"/>
      <c r="GA15" s="743"/>
      <c r="GB15" s="743"/>
      <c r="GC15" s="743"/>
      <c r="GD15" s="743"/>
      <c r="GE15" s="743"/>
      <c r="GF15" s="743"/>
      <c r="GG15" s="743"/>
      <c r="GH15" s="743"/>
      <c r="GI15" s="743"/>
      <c r="GJ15" s="743"/>
      <c r="GK15" s="743"/>
      <c r="GL15" s="743"/>
      <c r="GM15" s="743"/>
      <c r="GN15" s="743"/>
      <c r="GO15" s="743"/>
      <c r="GP15" s="743"/>
      <c r="GQ15" s="743"/>
      <c r="GR15" s="743"/>
      <c r="GS15" s="743"/>
      <c r="GT15" s="743"/>
      <c r="GU15" s="743"/>
      <c r="GV15" s="743"/>
      <c r="GW15" s="743"/>
      <c r="GX15" s="743"/>
      <c r="GY15" s="743"/>
      <c r="GZ15" s="743"/>
      <c r="HA15" s="743"/>
      <c r="HB15" s="743"/>
      <c r="HC15" s="743"/>
      <c r="HD15" s="743"/>
      <c r="HE15" s="743"/>
      <c r="HF15" s="743"/>
      <c r="HG15" s="743"/>
      <c r="HH15" s="743"/>
      <c r="HI15" s="743"/>
      <c r="HJ15" s="743"/>
      <c r="HK15" s="743"/>
      <c r="HL15" s="743"/>
      <c r="HM15" s="743"/>
      <c r="HN15" s="743"/>
      <c r="HO15" s="743"/>
      <c r="HP15" s="743"/>
      <c r="HQ15" s="743"/>
      <c r="HR15" s="743"/>
      <c r="HS15" s="743"/>
      <c r="HT15" s="743"/>
      <c r="HU15" s="743"/>
      <c r="HV15" s="743"/>
      <c r="HW15" s="743"/>
      <c r="HX15" s="743"/>
      <c r="HY15" s="743"/>
      <c r="HZ15" s="743"/>
      <c r="IA15" s="743"/>
      <c r="IB15" s="743"/>
      <c r="IC15" s="743"/>
      <c r="ID15" s="743"/>
      <c r="IE15" s="743"/>
      <c r="IF15" s="743"/>
      <c r="IG15" s="743"/>
      <c r="IH15" s="743"/>
      <c r="II15" s="743"/>
      <c r="IJ15" s="743"/>
      <c r="IK15" s="743"/>
      <c r="IL15" s="743"/>
      <c r="IM15" s="743"/>
      <c r="IN15" s="743"/>
    </row>
    <row r="16" spans="1:248" ht="16.5" customHeight="1" x14ac:dyDescent="0.3">
      <c r="A16" s="1136"/>
      <c r="B16" s="1136" t="str">
        <f>PENYELIA!B16</f>
        <v>3. Tegangan jala jala</v>
      </c>
      <c r="C16" s="1136"/>
      <c r="D16" s="375"/>
      <c r="E16" s="375" t="s">
        <v>7</v>
      </c>
      <c r="F16" s="1118" t="str">
        <f>PENYELIA!F16</f>
        <v>-</v>
      </c>
      <c r="G16" s="1125" t="str">
        <f>'LH BAYI'!G16</f>
        <v/>
      </c>
      <c r="H16" s="1119" t="str">
        <f>PENYELIA!H16</f>
        <v/>
      </c>
      <c r="I16" s="745" t="str">
        <f>'LH BAYI'!I16</f>
        <v/>
      </c>
      <c r="J16" s="743"/>
      <c r="K16" s="743"/>
      <c r="L16" s="743"/>
      <c r="M16" s="743"/>
      <c r="N16" s="743"/>
      <c r="O16" s="743"/>
      <c r="P16" s="743"/>
      <c r="Q16" s="743"/>
      <c r="R16" s="743"/>
      <c r="S16" s="743"/>
      <c r="T16" s="743"/>
      <c r="U16" s="743"/>
      <c r="V16" s="743"/>
      <c r="W16" s="743"/>
      <c r="X16" s="743"/>
      <c r="Y16" s="743"/>
      <c r="Z16" s="743"/>
      <c r="AA16" s="743"/>
      <c r="AB16" s="743"/>
      <c r="AC16" s="743"/>
      <c r="AD16" s="743"/>
      <c r="AE16" s="743"/>
      <c r="AF16" s="743"/>
      <c r="AG16" s="743"/>
      <c r="AH16" s="743"/>
      <c r="AI16" s="743"/>
      <c r="AJ16" s="743"/>
      <c r="AK16" s="743"/>
      <c r="AL16" s="743"/>
      <c r="AM16" s="743"/>
      <c r="AN16" s="743"/>
      <c r="AO16" s="743"/>
      <c r="AP16" s="743"/>
      <c r="AQ16" s="743"/>
      <c r="AR16" s="743"/>
      <c r="AS16" s="743"/>
      <c r="AT16" s="743"/>
      <c r="AU16" s="743"/>
      <c r="AV16" s="743"/>
      <c r="AW16" s="743"/>
      <c r="AX16" s="743"/>
      <c r="AY16" s="743"/>
      <c r="AZ16" s="743"/>
      <c r="BA16" s="743"/>
      <c r="BB16" s="743"/>
      <c r="BC16" s="743"/>
      <c r="BD16" s="743"/>
      <c r="BE16" s="743"/>
      <c r="BF16" s="743"/>
      <c r="BG16" s="743"/>
      <c r="BH16" s="743"/>
      <c r="BI16" s="743"/>
      <c r="BJ16" s="743"/>
      <c r="BK16" s="743"/>
      <c r="BL16" s="743"/>
      <c r="BM16" s="743"/>
      <c r="BN16" s="743"/>
      <c r="BO16" s="743"/>
      <c r="BP16" s="743"/>
      <c r="BQ16" s="743"/>
      <c r="BR16" s="743"/>
      <c r="BS16" s="743"/>
      <c r="BT16" s="743"/>
      <c r="BU16" s="743"/>
      <c r="BV16" s="743"/>
      <c r="BW16" s="743"/>
      <c r="BX16" s="743"/>
      <c r="BY16" s="743"/>
      <c r="BZ16" s="743"/>
      <c r="CA16" s="743"/>
      <c r="CB16" s="743"/>
      <c r="CC16" s="743"/>
      <c r="CD16" s="743"/>
      <c r="CE16" s="743"/>
      <c r="CF16" s="743"/>
      <c r="CG16" s="743"/>
      <c r="CH16" s="743"/>
      <c r="CI16" s="743"/>
      <c r="CJ16" s="743"/>
      <c r="CK16" s="743"/>
      <c r="CL16" s="743"/>
      <c r="CM16" s="743"/>
      <c r="CN16" s="743"/>
      <c r="CO16" s="743"/>
      <c r="CP16" s="743"/>
      <c r="CQ16" s="743"/>
      <c r="CR16" s="743"/>
      <c r="CS16" s="743"/>
      <c r="CT16" s="743"/>
      <c r="CU16" s="743"/>
      <c r="CV16" s="743"/>
      <c r="CW16" s="743"/>
      <c r="CX16" s="743"/>
      <c r="CY16" s="743"/>
      <c r="CZ16" s="743"/>
      <c r="DA16" s="743"/>
      <c r="DB16" s="743"/>
      <c r="DC16" s="743"/>
      <c r="DD16" s="743"/>
      <c r="DE16" s="743"/>
      <c r="DF16" s="743"/>
      <c r="DG16" s="743"/>
      <c r="DH16" s="743"/>
      <c r="DI16" s="743"/>
      <c r="DJ16" s="743"/>
      <c r="DK16" s="743"/>
      <c r="DL16" s="743"/>
      <c r="DM16" s="743"/>
      <c r="DN16" s="743"/>
      <c r="DO16" s="743"/>
      <c r="DP16" s="743"/>
      <c r="DQ16" s="743"/>
      <c r="DR16" s="743"/>
      <c r="DS16" s="743"/>
      <c r="DT16" s="743"/>
      <c r="DU16" s="743"/>
      <c r="DV16" s="743"/>
      <c r="DW16" s="743"/>
      <c r="DX16" s="743"/>
      <c r="DY16" s="743"/>
      <c r="DZ16" s="743"/>
      <c r="EA16" s="743"/>
      <c r="EB16" s="743"/>
      <c r="EC16" s="743"/>
      <c r="ED16" s="743"/>
      <c r="EE16" s="743"/>
      <c r="EF16" s="743"/>
      <c r="EG16" s="743"/>
      <c r="EH16" s="743"/>
      <c r="EI16" s="743"/>
      <c r="EJ16" s="743"/>
      <c r="EK16" s="743"/>
      <c r="EL16" s="743"/>
      <c r="EM16" s="743"/>
      <c r="EN16" s="743"/>
      <c r="EO16" s="743"/>
      <c r="EP16" s="743"/>
      <c r="EQ16" s="743"/>
      <c r="ER16" s="743"/>
      <c r="ES16" s="743"/>
      <c r="ET16" s="743"/>
      <c r="EU16" s="743"/>
      <c r="EV16" s="743"/>
      <c r="EW16" s="743"/>
      <c r="EX16" s="743"/>
      <c r="EY16" s="743"/>
      <c r="EZ16" s="743"/>
      <c r="FA16" s="743"/>
      <c r="FB16" s="743"/>
      <c r="FC16" s="743"/>
      <c r="FD16" s="743"/>
      <c r="FE16" s="743"/>
      <c r="FF16" s="743"/>
      <c r="FG16" s="743"/>
      <c r="FH16" s="743"/>
      <c r="FI16" s="743"/>
      <c r="FJ16" s="743"/>
      <c r="FK16" s="743"/>
      <c r="FL16" s="743"/>
      <c r="FM16" s="743"/>
      <c r="FN16" s="743"/>
      <c r="FO16" s="743"/>
      <c r="FP16" s="743"/>
      <c r="FQ16" s="743"/>
      <c r="FR16" s="743"/>
      <c r="FS16" s="743"/>
      <c r="FT16" s="743"/>
      <c r="FU16" s="743"/>
      <c r="FV16" s="743"/>
      <c r="FW16" s="743"/>
      <c r="FX16" s="743"/>
      <c r="FY16" s="743"/>
      <c r="FZ16" s="743"/>
      <c r="GA16" s="743"/>
      <c r="GB16" s="743"/>
      <c r="GC16" s="743"/>
      <c r="GD16" s="743"/>
      <c r="GE16" s="743"/>
      <c r="GF16" s="743"/>
      <c r="GG16" s="743"/>
      <c r="GH16" s="743"/>
      <c r="GI16" s="743"/>
      <c r="GJ16" s="743"/>
      <c r="GK16" s="743"/>
      <c r="GL16" s="743"/>
      <c r="GM16" s="743"/>
      <c r="GN16" s="743"/>
      <c r="GO16" s="743"/>
      <c r="GP16" s="743"/>
      <c r="GQ16" s="743"/>
      <c r="GR16" s="743"/>
      <c r="GS16" s="743"/>
      <c r="GT16" s="743"/>
      <c r="GU16" s="743"/>
      <c r="GV16" s="743"/>
      <c r="GW16" s="743"/>
      <c r="GX16" s="743"/>
      <c r="GY16" s="743"/>
      <c r="GZ16" s="743"/>
      <c r="HA16" s="743"/>
      <c r="HB16" s="743"/>
      <c r="HC16" s="743"/>
      <c r="HD16" s="743"/>
      <c r="HE16" s="743"/>
      <c r="HF16" s="743"/>
      <c r="HG16" s="743"/>
      <c r="HH16" s="743"/>
      <c r="HI16" s="743"/>
      <c r="HJ16" s="743"/>
      <c r="HK16" s="743"/>
      <c r="HL16" s="743"/>
      <c r="HM16" s="743"/>
      <c r="HN16" s="743"/>
      <c r="HO16" s="743"/>
      <c r="HP16" s="743"/>
      <c r="HQ16" s="743"/>
      <c r="HR16" s="743"/>
      <c r="HS16" s="743"/>
      <c r="HT16" s="743"/>
      <c r="HU16" s="743"/>
      <c r="HV16" s="743"/>
      <c r="HW16" s="743"/>
      <c r="HX16" s="743"/>
      <c r="HY16" s="743"/>
      <c r="HZ16" s="743"/>
      <c r="IA16" s="743"/>
      <c r="IB16" s="743"/>
      <c r="IC16" s="743"/>
      <c r="ID16" s="743"/>
      <c r="IE16" s="743"/>
      <c r="IF16" s="743"/>
      <c r="IG16" s="743"/>
      <c r="IH16" s="743"/>
      <c r="II16" s="743"/>
      <c r="IJ16" s="743"/>
      <c r="IK16" s="743"/>
      <c r="IL16" s="743"/>
      <c r="IM16" s="743"/>
      <c r="IN16" s="743"/>
    </row>
    <row r="17" spans="1:248" x14ac:dyDescent="0.3">
      <c r="A17" s="379" t="s">
        <v>33</v>
      </c>
      <c r="B17" s="380" t="s">
        <v>34</v>
      </c>
      <c r="C17" s="380"/>
      <c r="D17" s="380"/>
      <c r="E17" s="380"/>
      <c r="F17" s="380"/>
      <c r="G17" s="380"/>
      <c r="H17" s="381"/>
      <c r="I17" s="743"/>
      <c r="J17" s="743"/>
      <c r="K17" s="743"/>
      <c r="L17" s="743"/>
      <c r="M17" s="743"/>
      <c r="N17" s="743"/>
      <c r="O17" s="743"/>
      <c r="P17" s="743"/>
      <c r="Q17" s="743"/>
      <c r="R17" s="743"/>
      <c r="S17" s="743"/>
      <c r="T17" s="743"/>
      <c r="U17" s="743"/>
      <c r="V17" s="743"/>
      <c r="W17" s="743"/>
      <c r="X17" s="743"/>
      <c r="Y17" s="743"/>
      <c r="Z17" s="743"/>
      <c r="AA17" s="743"/>
      <c r="AB17" s="743"/>
      <c r="AC17" s="743"/>
      <c r="AD17" s="743"/>
      <c r="AE17" s="743"/>
      <c r="AF17" s="743"/>
      <c r="AG17" s="743"/>
      <c r="AH17" s="743"/>
      <c r="AI17" s="743"/>
      <c r="AJ17" s="743"/>
      <c r="AK17" s="743"/>
      <c r="AL17" s="743"/>
      <c r="AM17" s="743"/>
      <c r="AN17" s="743"/>
      <c r="AO17" s="743"/>
      <c r="AP17" s="743"/>
      <c r="AQ17" s="743"/>
      <c r="AR17" s="743"/>
      <c r="AS17" s="743"/>
      <c r="AT17" s="743"/>
      <c r="AU17" s="743"/>
      <c r="AV17" s="743"/>
      <c r="AW17" s="743"/>
      <c r="AX17" s="743"/>
      <c r="AY17" s="743"/>
      <c r="AZ17" s="743"/>
      <c r="BA17" s="743"/>
      <c r="BB17" s="743"/>
      <c r="BC17" s="743"/>
      <c r="BD17" s="743"/>
      <c r="BE17" s="743"/>
      <c r="BF17" s="743"/>
      <c r="BG17" s="743"/>
      <c r="BH17" s="743"/>
      <c r="BI17" s="743"/>
      <c r="BJ17" s="743"/>
      <c r="BK17" s="743"/>
      <c r="BL17" s="743"/>
      <c r="BM17" s="743"/>
      <c r="BN17" s="743"/>
      <c r="BO17" s="743"/>
      <c r="BP17" s="743"/>
      <c r="BQ17" s="743"/>
      <c r="BR17" s="743"/>
      <c r="BS17" s="743"/>
      <c r="BT17" s="743"/>
      <c r="BU17" s="743"/>
      <c r="BV17" s="743"/>
      <c r="BW17" s="743"/>
      <c r="BX17" s="743"/>
      <c r="BY17" s="743"/>
      <c r="BZ17" s="743"/>
      <c r="CA17" s="743"/>
      <c r="CB17" s="743"/>
      <c r="CC17" s="743"/>
      <c r="CD17" s="743"/>
      <c r="CE17" s="743"/>
      <c r="CF17" s="743"/>
      <c r="CG17" s="743"/>
      <c r="CH17" s="743"/>
      <c r="CI17" s="743"/>
      <c r="CJ17" s="743"/>
      <c r="CK17" s="743"/>
      <c r="CL17" s="743"/>
      <c r="CM17" s="743"/>
      <c r="CN17" s="743"/>
      <c r="CO17" s="743"/>
      <c r="CP17" s="743"/>
      <c r="CQ17" s="743"/>
      <c r="CR17" s="743"/>
      <c r="CS17" s="743"/>
      <c r="CT17" s="743"/>
      <c r="CU17" s="743"/>
      <c r="CV17" s="743"/>
      <c r="CW17" s="743"/>
      <c r="CX17" s="743"/>
      <c r="CY17" s="743"/>
      <c r="CZ17" s="743"/>
      <c r="DA17" s="743"/>
      <c r="DB17" s="743"/>
      <c r="DC17" s="743"/>
      <c r="DD17" s="743"/>
      <c r="DE17" s="743"/>
      <c r="DF17" s="743"/>
      <c r="DG17" s="743"/>
      <c r="DH17" s="743"/>
      <c r="DI17" s="743"/>
      <c r="DJ17" s="743"/>
      <c r="DK17" s="743"/>
      <c r="DL17" s="743"/>
      <c r="DM17" s="743"/>
      <c r="DN17" s="743"/>
      <c r="DO17" s="743"/>
      <c r="DP17" s="743"/>
      <c r="DQ17" s="743"/>
      <c r="DR17" s="743"/>
      <c r="DS17" s="743"/>
      <c r="DT17" s="743"/>
      <c r="DU17" s="743"/>
      <c r="DV17" s="743"/>
      <c r="DW17" s="743"/>
      <c r="DX17" s="743"/>
      <c r="DY17" s="743"/>
      <c r="DZ17" s="743"/>
      <c r="EA17" s="743"/>
      <c r="EB17" s="743"/>
      <c r="EC17" s="743"/>
      <c r="ED17" s="743"/>
      <c r="EE17" s="743"/>
      <c r="EF17" s="743"/>
      <c r="EG17" s="743"/>
      <c r="EH17" s="743"/>
      <c r="EI17" s="743"/>
      <c r="EJ17" s="743"/>
      <c r="EK17" s="743"/>
      <c r="EL17" s="743"/>
      <c r="EM17" s="743"/>
      <c r="EN17" s="743"/>
      <c r="EO17" s="743"/>
      <c r="EP17" s="743"/>
      <c r="EQ17" s="743"/>
      <c r="ER17" s="743"/>
      <c r="ES17" s="743"/>
      <c r="ET17" s="743"/>
      <c r="EU17" s="743"/>
      <c r="EV17" s="743"/>
      <c r="EW17" s="743"/>
      <c r="EX17" s="743"/>
      <c r="EY17" s="743"/>
      <c r="EZ17" s="743"/>
      <c r="FA17" s="743"/>
      <c r="FB17" s="743"/>
      <c r="FC17" s="743"/>
      <c r="FD17" s="743"/>
      <c r="FE17" s="743"/>
      <c r="FF17" s="743"/>
      <c r="FG17" s="743"/>
      <c r="FH17" s="743"/>
      <c r="FI17" s="743"/>
      <c r="FJ17" s="743"/>
      <c r="FK17" s="743"/>
      <c r="FL17" s="743"/>
      <c r="FM17" s="743"/>
      <c r="FN17" s="743"/>
      <c r="FO17" s="743"/>
      <c r="FP17" s="743"/>
      <c r="FQ17" s="743"/>
      <c r="FR17" s="743"/>
      <c r="FS17" s="743"/>
      <c r="FT17" s="743"/>
      <c r="FU17" s="743"/>
      <c r="FV17" s="743"/>
      <c r="FW17" s="743"/>
      <c r="FX17" s="743"/>
      <c r="FY17" s="743"/>
      <c r="FZ17" s="743"/>
      <c r="GA17" s="743"/>
      <c r="GB17" s="743"/>
      <c r="GC17" s="743"/>
      <c r="GD17" s="743"/>
      <c r="GE17" s="743"/>
      <c r="GF17" s="743"/>
      <c r="GG17" s="743"/>
      <c r="GH17" s="743"/>
      <c r="GI17" s="743"/>
      <c r="GJ17" s="743"/>
      <c r="GK17" s="743"/>
      <c r="GL17" s="743"/>
      <c r="GM17" s="743"/>
      <c r="GN17" s="743"/>
      <c r="GO17" s="743"/>
      <c r="GP17" s="743"/>
      <c r="GQ17" s="743"/>
      <c r="GR17" s="743"/>
      <c r="GS17" s="743"/>
      <c r="GT17" s="743"/>
      <c r="GU17" s="743"/>
      <c r="GV17" s="743"/>
      <c r="GW17" s="743"/>
      <c r="GX17" s="743"/>
      <c r="GY17" s="743"/>
      <c r="GZ17" s="743"/>
      <c r="HA17" s="743"/>
      <c r="HB17" s="743"/>
      <c r="HC17" s="743"/>
      <c r="HD17" s="743"/>
      <c r="HE17" s="743"/>
      <c r="HF17" s="743"/>
      <c r="HG17" s="743"/>
      <c r="HH17" s="743"/>
      <c r="HI17" s="743"/>
      <c r="HJ17" s="743"/>
      <c r="HK17" s="743"/>
      <c r="HL17" s="743"/>
      <c r="HM17" s="743"/>
      <c r="HN17" s="743"/>
      <c r="HO17" s="743"/>
      <c r="HP17" s="743"/>
      <c r="HQ17" s="743"/>
      <c r="HR17" s="743"/>
      <c r="HS17" s="743"/>
      <c r="HT17" s="743"/>
      <c r="HU17" s="743"/>
      <c r="HV17" s="743"/>
      <c r="HW17" s="743"/>
      <c r="HX17" s="743"/>
      <c r="HY17" s="743"/>
      <c r="HZ17" s="743"/>
      <c r="IA17" s="743"/>
      <c r="IB17" s="743"/>
      <c r="IC17" s="743"/>
      <c r="ID17" s="743"/>
      <c r="IE17" s="743"/>
      <c r="IF17" s="743"/>
      <c r="IG17" s="743"/>
      <c r="IH17" s="743"/>
      <c r="II17" s="743"/>
      <c r="IJ17" s="743"/>
      <c r="IK17" s="743"/>
      <c r="IL17" s="743"/>
      <c r="IM17" s="743"/>
      <c r="IN17" s="743"/>
    </row>
    <row r="18" spans="1:248" x14ac:dyDescent="0.3">
      <c r="A18" s="382"/>
      <c r="B18" s="376" t="str">
        <f>PENYELIA!B18</f>
        <v>1. Pemeriksaan fisik</v>
      </c>
      <c r="C18" s="376"/>
      <c r="D18" s="376" t="s">
        <v>236</v>
      </c>
      <c r="E18" s="376" t="s">
        <v>7</v>
      </c>
      <c r="F18" s="382" t="str">
        <f>ID!D37</f>
        <v>Baik</v>
      </c>
      <c r="G18" s="376"/>
      <c r="H18" s="743"/>
      <c r="I18" s="743"/>
      <c r="J18" s="743"/>
      <c r="K18" s="743"/>
      <c r="L18" s="743"/>
      <c r="M18" s="743"/>
      <c r="N18" s="743"/>
      <c r="O18" s="743"/>
      <c r="P18" s="743"/>
      <c r="Q18" s="743"/>
    </row>
    <row r="19" spans="1:248" x14ac:dyDescent="0.3">
      <c r="A19" s="382"/>
      <c r="B19" s="376" t="str">
        <f>PENYELIA!B19</f>
        <v>2. Pengujian fungsi</v>
      </c>
      <c r="C19" s="376"/>
      <c r="D19" s="376" t="s">
        <v>236</v>
      </c>
      <c r="E19" s="376" t="s">
        <v>7</v>
      </c>
      <c r="F19" s="382" t="str">
        <f>ID!D38</f>
        <v>Baik</v>
      </c>
      <c r="G19" s="376"/>
      <c r="H19" s="743"/>
      <c r="I19" s="743"/>
      <c r="J19" s="743"/>
      <c r="K19" s="743"/>
      <c r="L19" s="743"/>
      <c r="M19" s="743"/>
      <c r="N19" s="743"/>
      <c r="O19" s="743"/>
      <c r="P19" s="743"/>
      <c r="Q19" s="743"/>
    </row>
    <row r="20" spans="1:248" ht="5.25" customHeight="1" x14ac:dyDescent="0.3">
      <c r="A20" s="1458"/>
      <c r="B20" s="1458"/>
      <c r="C20" s="1458"/>
      <c r="D20" s="1458"/>
      <c r="E20" s="1458"/>
      <c r="F20" s="1458"/>
      <c r="G20" s="1458"/>
      <c r="H20" s="393"/>
      <c r="I20" s="393"/>
      <c r="J20" s="743"/>
      <c r="K20" s="743"/>
      <c r="L20" s="743"/>
      <c r="M20" s="743"/>
      <c r="N20" s="743"/>
      <c r="O20" s="743"/>
      <c r="P20" s="743"/>
      <c r="Q20" s="743"/>
    </row>
    <row r="21" spans="1:248" s="123" customFormat="1" x14ac:dyDescent="0.25">
      <c r="A21" s="383" t="s">
        <v>239</v>
      </c>
      <c r="B21" s="383" t="s">
        <v>240</v>
      </c>
      <c r="C21" s="236"/>
      <c r="D21" s="236"/>
      <c r="E21" s="236"/>
      <c r="F21" s="236"/>
      <c r="G21" s="236"/>
      <c r="H21" s="211"/>
      <c r="I21" s="1134"/>
      <c r="J21" s="1129"/>
      <c r="K21" s="231"/>
      <c r="L21" s="350"/>
      <c r="M21" s="350"/>
      <c r="N21" s="350"/>
      <c r="O21" s="346"/>
      <c r="P21" s="293"/>
      <c r="Q21" s="293"/>
    </row>
    <row r="22" spans="1:248" s="167" customFormat="1" ht="33" customHeight="1" x14ac:dyDescent="0.25">
      <c r="A22" s="202"/>
      <c r="B22" s="1300" t="s">
        <v>23</v>
      </c>
      <c r="C22" s="1301"/>
      <c r="D22" s="1301"/>
      <c r="E22" s="1301"/>
      <c r="F22" s="1301"/>
      <c r="G22" s="1301"/>
      <c r="H22" s="1302"/>
      <c r="I22" s="1299" t="s">
        <v>40</v>
      </c>
      <c r="J22" s="1299"/>
      <c r="K22" s="1128" t="s">
        <v>41</v>
      </c>
      <c r="L22" s="274"/>
    </row>
    <row r="23" spans="1:248" s="167" customFormat="1" ht="15" x14ac:dyDescent="0.25">
      <c r="A23" s="202"/>
      <c r="B23" s="203" t="str">
        <f>PENYELIA!B23</f>
        <v>Resistansi isolasi</v>
      </c>
      <c r="C23" s="204"/>
      <c r="D23" s="204"/>
      <c r="E23" s="204"/>
      <c r="F23" s="204"/>
      <c r="G23" s="205"/>
      <c r="H23" s="206"/>
      <c r="I23" s="1069" t="str">
        <f>PENYELIA!I23</f>
        <v>-</v>
      </c>
      <c r="J23" s="1072" t="str">
        <f>IF(I23="-","","MΩ")</f>
        <v/>
      </c>
      <c r="K23" s="1067" t="str">
        <f>PENYELIA!J23</f>
        <v>&gt; 2 MΩ</v>
      </c>
      <c r="L23" s="1098"/>
    </row>
    <row r="24" spans="1:248" s="167" customFormat="1" ht="15" x14ac:dyDescent="0.25">
      <c r="A24" s="202"/>
      <c r="B24" s="203" t="str">
        <f>PENYELIA!B24</f>
        <v>Resistansi pembumian protektif (kabel dapat dilepas)</v>
      </c>
      <c r="C24" s="204"/>
      <c r="D24" s="204"/>
      <c r="E24" s="204"/>
      <c r="F24" s="204"/>
      <c r="G24" s="207"/>
      <c r="H24" s="206"/>
      <c r="I24" s="1070" t="str">
        <f>PENYELIA!I24</f>
        <v>-</v>
      </c>
      <c r="J24" s="1072" t="str">
        <f>IF(I24="-","","Ω")</f>
        <v/>
      </c>
      <c r="K24" s="1067" t="str">
        <f>PENYELIA!J24</f>
        <v>≤ 0.2 Ω</v>
      </c>
      <c r="L24" s="1098"/>
    </row>
    <row r="25" spans="1:248" s="167" customFormat="1" ht="15" x14ac:dyDescent="0.25">
      <c r="A25" s="202"/>
      <c r="B25" s="203" t="str">
        <f>PENYELIA!B25</f>
        <v xml:space="preserve">Arus bocor peralatan untuk peralatan elektromedik kelas II </v>
      </c>
      <c r="C25" s="204"/>
      <c r="D25" s="204"/>
      <c r="E25" s="204"/>
      <c r="F25" s="204"/>
      <c r="G25" s="205"/>
      <c r="H25" s="208"/>
      <c r="I25" s="1071" t="str">
        <f>PENYELIA!I25</f>
        <v>-</v>
      </c>
      <c r="J25" s="1072" t="str">
        <f>IF(I25="-",""," µa")</f>
        <v/>
      </c>
      <c r="K25" s="1067" t="str">
        <f>PENYELIA!J25</f>
        <v>≤ 100 μA</v>
      </c>
      <c r="L25" s="1098"/>
    </row>
    <row r="26" spans="1:248" s="123" customFormat="1" ht="6.75" customHeight="1" x14ac:dyDescent="0.25">
      <c r="A26" s="124"/>
      <c r="B26" s="124"/>
      <c r="C26" s="384"/>
      <c r="D26" s="384"/>
      <c r="E26" s="384"/>
      <c r="F26" s="384"/>
      <c r="G26" s="384"/>
      <c r="H26" s="384"/>
      <c r="I26" s="384"/>
      <c r="J26" s="691"/>
      <c r="K26" s="350"/>
      <c r="L26" s="350"/>
      <c r="M26" s="350"/>
      <c r="N26" s="350"/>
      <c r="O26" s="346"/>
      <c r="P26" s="293"/>
      <c r="Q26" s="293"/>
    </row>
    <row r="27" spans="1:248" s="123" customFormat="1" x14ac:dyDescent="0.25">
      <c r="A27" s="385" t="s">
        <v>241</v>
      </c>
      <c r="B27" s="385" t="s">
        <v>271</v>
      </c>
      <c r="C27" s="385"/>
      <c r="D27" s="385"/>
      <c r="E27" s="385"/>
      <c r="F27" s="385"/>
      <c r="G27" s="385"/>
      <c r="H27" s="385"/>
      <c r="I27" s="217"/>
      <c r="J27" s="217"/>
      <c r="K27" s="217"/>
      <c r="L27" s="217"/>
      <c r="M27" s="174"/>
      <c r="N27" s="174"/>
      <c r="O27" s="684"/>
      <c r="P27" s="293"/>
      <c r="Q27" s="293"/>
    </row>
    <row r="28" spans="1:248" s="123" customFormat="1" x14ac:dyDescent="0.25">
      <c r="A28" s="385"/>
      <c r="B28" s="386" t="str">
        <f>PENYELIA!B28</f>
        <v xml:space="preserve">A. Blood pressure monitor </v>
      </c>
      <c r="C28" s="386"/>
      <c r="D28" s="386"/>
      <c r="E28" s="386"/>
      <c r="F28" s="386"/>
      <c r="G28" s="386"/>
      <c r="H28" s="386"/>
      <c r="I28" s="217"/>
      <c r="J28" s="217"/>
      <c r="K28" s="217"/>
      <c r="L28" s="217"/>
      <c r="M28" s="174"/>
      <c r="N28" s="174"/>
      <c r="O28" s="684"/>
      <c r="P28" s="293"/>
      <c r="Q28" s="293"/>
    </row>
    <row r="29" spans="1:248" s="123" customFormat="1" ht="9" customHeight="1" x14ac:dyDescent="0.25">
      <c r="A29" s="1432"/>
      <c r="B29" s="1433" t="s">
        <v>39</v>
      </c>
      <c r="C29" s="1436" t="str">
        <f>PENYELIA!C29</f>
        <v>Parameter</v>
      </c>
      <c r="D29" s="1439"/>
      <c r="E29" s="1459"/>
      <c r="F29" s="1433" t="str">
        <f>PENYELIA!F29</f>
        <v>Setting standar (mmHg)</v>
      </c>
      <c r="G29" s="1268" t="str">
        <f>PENYELIA!G29</f>
        <v>Setting heart rate (bpm)</v>
      </c>
      <c r="H29" s="1433" t="str">
        <f>PENYELIA!H29</f>
        <v xml:space="preserve">Penunjukan alat                           (mmHg)                     </v>
      </c>
      <c r="I29" s="1433" t="str">
        <f>PENYELIA!I29</f>
        <v xml:space="preserve">Koreksi    (mmHg)                          </v>
      </c>
      <c r="J29" s="1297" t="str">
        <f>PENYELIA!J29</f>
        <v>Toleransi (mmHg)</v>
      </c>
      <c r="K29" s="1433" t="str">
        <f>PENYELIA!K29</f>
        <v xml:space="preserve">Ketidakpastian pengukuran    ±(mmHg)                       </v>
      </c>
      <c r="L29" s="217"/>
      <c r="M29" s="124"/>
      <c r="N29" s="124"/>
      <c r="O29" s="124"/>
      <c r="P29" s="124"/>
      <c r="Q29" s="124"/>
    </row>
    <row r="30" spans="1:248" s="123" customFormat="1" ht="12" customHeight="1" x14ac:dyDescent="0.25">
      <c r="A30" s="1432"/>
      <c r="B30" s="1434"/>
      <c r="C30" s="1437"/>
      <c r="D30" s="1440"/>
      <c r="E30" s="1460"/>
      <c r="F30" s="1434"/>
      <c r="G30" s="1268"/>
      <c r="H30" s="1434"/>
      <c r="I30" s="1434"/>
      <c r="J30" s="1311"/>
      <c r="K30" s="1434"/>
      <c r="L30" s="217"/>
      <c r="M30" s="124"/>
      <c r="N30" s="124"/>
      <c r="O30" s="124"/>
      <c r="P30" s="124"/>
      <c r="Q30" s="124"/>
    </row>
    <row r="31" spans="1:248" s="123" customFormat="1" ht="24" customHeight="1" x14ac:dyDescent="0.25">
      <c r="A31" s="1432"/>
      <c r="B31" s="1435"/>
      <c r="C31" s="1438"/>
      <c r="D31" s="1441"/>
      <c r="E31" s="1461"/>
      <c r="F31" s="1435"/>
      <c r="G31" s="1268"/>
      <c r="H31" s="1435"/>
      <c r="I31" s="1435"/>
      <c r="J31" s="1444"/>
      <c r="K31" s="1435"/>
      <c r="L31" s="217"/>
      <c r="M31" s="124"/>
      <c r="N31" s="124"/>
      <c r="O31" s="124"/>
      <c r="P31" s="124"/>
      <c r="Q31" s="124"/>
    </row>
    <row r="32" spans="1:248" s="123" customFormat="1" x14ac:dyDescent="0.25">
      <c r="A32" s="1431"/>
      <c r="B32" s="1442">
        <v>1</v>
      </c>
      <c r="C32" s="387" t="str">
        <f>PENYELIA!C32</f>
        <v xml:space="preserve">Sistole </v>
      </c>
      <c r="D32" s="388"/>
      <c r="E32" s="389"/>
      <c r="F32" s="390">
        <f>PENYELIA!F32</f>
        <v>80</v>
      </c>
      <c r="G32" s="1266">
        <f>PENYELIA!G32</f>
        <v>70</v>
      </c>
      <c r="H32" s="464">
        <f>ID!L51</f>
        <v>81.972799999999992</v>
      </c>
      <c r="I32" s="391">
        <f>ID!O51</f>
        <v>-1.9727999999999923</v>
      </c>
      <c r="J32" s="1316" t="s">
        <v>62</v>
      </c>
      <c r="K32" s="1130">
        <f>ID!P51</f>
        <v>0.72657111540404895</v>
      </c>
      <c r="L32" s="217"/>
      <c r="M32" s="124"/>
      <c r="N32" s="124" t="s">
        <v>149</v>
      </c>
      <c r="O32" s="124"/>
      <c r="P32" s="124"/>
      <c r="Q32" s="124"/>
    </row>
    <row r="33" spans="1:17" s="123" customFormat="1" x14ac:dyDescent="0.25">
      <c r="A33" s="1431"/>
      <c r="B33" s="1443"/>
      <c r="C33" s="387" t="str">
        <f>PENYELIA!C33</f>
        <v>Diastole</v>
      </c>
      <c r="D33" s="388"/>
      <c r="E33" s="389"/>
      <c r="F33" s="390">
        <f>PENYELIA!F33</f>
        <v>50</v>
      </c>
      <c r="G33" s="1267"/>
      <c r="H33" s="464">
        <f>ID!L52</f>
        <v>50.3</v>
      </c>
      <c r="I33" s="391">
        <f>ID!O52</f>
        <v>-0.29999999999999716</v>
      </c>
      <c r="J33" s="1317"/>
      <c r="K33" s="1130">
        <f>ID!P52</f>
        <v>0.58889639603889332</v>
      </c>
      <c r="L33" s="217"/>
      <c r="M33" s="124"/>
      <c r="N33" s="355"/>
      <c r="O33" s="714"/>
      <c r="P33" s="124"/>
      <c r="Q33" s="124"/>
    </row>
    <row r="34" spans="1:17" s="123" customFormat="1" x14ac:dyDescent="0.25">
      <c r="A34" s="1431"/>
      <c r="B34" s="1442">
        <v>2</v>
      </c>
      <c r="C34" s="387" t="str">
        <f>PENYELIA!C34</f>
        <v xml:space="preserve">Sistole </v>
      </c>
      <c r="D34" s="388"/>
      <c r="E34" s="389"/>
      <c r="F34" s="390">
        <f>PENYELIA!F34</f>
        <v>100</v>
      </c>
      <c r="G34" s="1266">
        <f>PENYELIA!G34</f>
        <v>70</v>
      </c>
      <c r="H34" s="464">
        <f>ID!L54</f>
        <v>103.49320006800001</v>
      </c>
      <c r="I34" s="391">
        <f>ID!O54</f>
        <v>-3.4932000680000073</v>
      </c>
      <c r="J34" s="1317"/>
      <c r="K34" s="1130">
        <f>ID!P54</f>
        <v>0.79760135149297562</v>
      </c>
      <c r="L34" s="1129"/>
      <c r="M34" s="124"/>
      <c r="N34" s="1133"/>
      <c r="O34" s="715"/>
      <c r="P34" s="1451"/>
      <c r="Q34" s="1451"/>
    </row>
    <row r="35" spans="1:17" s="123" customFormat="1" x14ac:dyDescent="0.25">
      <c r="A35" s="1431"/>
      <c r="B35" s="1443"/>
      <c r="C35" s="387" t="str">
        <f>PENYELIA!C35</f>
        <v>Diastole</v>
      </c>
      <c r="D35" s="388"/>
      <c r="E35" s="389"/>
      <c r="F35" s="390">
        <f>PENYELIA!F35</f>
        <v>65</v>
      </c>
      <c r="G35" s="1267"/>
      <c r="H35" s="464">
        <f>ID!L55</f>
        <v>65.239999999999995</v>
      </c>
      <c r="I35" s="391">
        <f>ID!O55</f>
        <v>-0.23999999999999488</v>
      </c>
      <c r="J35" s="1317"/>
      <c r="K35" s="1130">
        <f>ID!P55</f>
        <v>0.58889639603889332</v>
      </c>
      <c r="L35" s="392"/>
      <c r="M35" s="124"/>
      <c r="N35" s="1133"/>
      <c r="O35" s="715"/>
      <c r="P35" s="1138"/>
      <c r="Q35" s="1138"/>
    </row>
    <row r="36" spans="1:17" s="123" customFormat="1" x14ac:dyDescent="0.3">
      <c r="A36" s="1431"/>
      <c r="B36" s="1442">
        <v>3</v>
      </c>
      <c r="C36" s="387" t="str">
        <f>PENYELIA!C36</f>
        <v xml:space="preserve">Sistole </v>
      </c>
      <c r="D36" s="388"/>
      <c r="E36" s="389"/>
      <c r="F36" s="390">
        <f>PENYELIA!F36</f>
        <v>120</v>
      </c>
      <c r="G36" s="1266">
        <f>PENYELIA!G36</f>
        <v>80</v>
      </c>
      <c r="H36" s="464">
        <f>ID!L57</f>
        <v>120.06000040000001</v>
      </c>
      <c r="I36" s="391">
        <f>ID!O57</f>
        <v>-6.0000400000006948E-2</v>
      </c>
      <c r="J36" s="1317"/>
      <c r="K36" s="1130">
        <f>ID!P57</f>
        <v>0.58889639603889332</v>
      </c>
      <c r="L36" s="211"/>
      <c r="M36" s="124"/>
      <c r="N36" s="713"/>
      <c r="O36" s="715"/>
      <c r="P36" s="393" t="s">
        <v>149</v>
      </c>
      <c r="Q36" s="743" t="s">
        <v>149</v>
      </c>
    </row>
    <row r="37" spans="1:17" s="123" customFormat="1" x14ac:dyDescent="0.3">
      <c r="A37" s="1431"/>
      <c r="B37" s="1443"/>
      <c r="C37" s="387" t="str">
        <f>PENYELIA!C37</f>
        <v>Diastole</v>
      </c>
      <c r="D37" s="388"/>
      <c r="E37" s="389"/>
      <c r="F37" s="390">
        <f>PENYELIA!F37</f>
        <v>80</v>
      </c>
      <c r="G37" s="1267"/>
      <c r="H37" s="464">
        <f>ID!L58</f>
        <v>83.168000000000006</v>
      </c>
      <c r="I37" s="391">
        <f>ID!O58</f>
        <v>-3.1680000000000064</v>
      </c>
      <c r="J37" s="1317"/>
      <c r="K37" s="1130">
        <f>ID!P58</f>
        <v>0.58889639603889332</v>
      </c>
      <c r="L37" s="211"/>
      <c r="M37" s="124"/>
      <c r="N37" s="716" t="s">
        <v>816</v>
      </c>
      <c r="O37" s="717"/>
      <c r="P37" s="159" t="s">
        <v>817</v>
      </c>
      <c r="Q37" s="1103" t="s">
        <v>818</v>
      </c>
    </row>
    <row r="38" spans="1:17" s="123" customFormat="1" x14ac:dyDescent="0.25">
      <c r="A38" s="1431"/>
      <c r="B38" s="1442">
        <v>4</v>
      </c>
      <c r="C38" s="387" t="str">
        <f>PENYELIA!C38</f>
        <v xml:space="preserve">Sistole </v>
      </c>
      <c r="D38" s="388"/>
      <c r="E38" s="389"/>
      <c r="F38" s="390">
        <f>PENYELIA!F38</f>
        <v>150</v>
      </c>
      <c r="G38" s="1266">
        <f>PENYELIA!G38</f>
        <v>80</v>
      </c>
      <c r="H38" s="464">
        <f>ID!L60</f>
        <v>147.60480095200001</v>
      </c>
      <c r="I38" s="391">
        <f>ID!O60</f>
        <v>2.3951990479999949</v>
      </c>
      <c r="J38" s="1317"/>
      <c r="K38" s="1130">
        <f>ID!P60</f>
        <v>0.79760135149297562</v>
      </c>
      <c r="L38" s="211"/>
      <c r="M38" s="124"/>
      <c r="N38" s="124"/>
      <c r="O38" s="124"/>
      <c r="P38" s="124"/>
      <c r="Q38" s="124"/>
    </row>
    <row r="39" spans="1:17" s="123" customFormat="1" x14ac:dyDescent="0.25">
      <c r="A39" s="1431"/>
      <c r="B39" s="1443"/>
      <c r="C39" s="1143" t="str">
        <f>PENYELIA!C39</f>
        <v>Diastole</v>
      </c>
      <c r="D39" s="1144"/>
      <c r="E39" s="1145"/>
      <c r="F39" s="1146">
        <f>PENYELIA!F39</f>
        <v>100</v>
      </c>
      <c r="G39" s="1278"/>
      <c r="H39" s="1147">
        <f>ID!L61</f>
        <v>100.1</v>
      </c>
      <c r="I39" s="1148">
        <f>ID!O61</f>
        <v>-9.9999999999994316E-2</v>
      </c>
      <c r="J39" s="1317"/>
      <c r="K39" s="1149">
        <f>ID!P61</f>
        <v>0.58889639603889332</v>
      </c>
      <c r="L39" s="211"/>
      <c r="M39" s="124"/>
      <c r="N39" s="749"/>
      <c r="O39" s="124"/>
      <c r="P39" s="124"/>
      <c r="Q39" s="124"/>
    </row>
    <row r="40" spans="1:17" s="123" customFormat="1" ht="8.25" customHeight="1" x14ac:dyDescent="0.25">
      <c r="A40" s="1472"/>
      <c r="B40" s="1479"/>
      <c r="C40" s="1150"/>
      <c r="D40" s="1144"/>
      <c r="E40" s="1144"/>
      <c r="F40" s="1151"/>
      <c r="G40" s="1463"/>
      <c r="H40" s="1152"/>
      <c r="I40" s="1153"/>
      <c r="J40" s="1154"/>
      <c r="K40" s="1155"/>
      <c r="L40" s="211"/>
      <c r="M40" s="124"/>
      <c r="N40" s="160" t="s">
        <v>249</v>
      </c>
      <c r="O40" s="124"/>
      <c r="P40" s="124"/>
      <c r="Q40" s="124"/>
    </row>
    <row r="41" spans="1:17" s="123" customFormat="1" ht="8.25" customHeight="1" x14ac:dyDescent="0.25">
      <c r="A41" s="1472"/>
      <c r="B41" s="1480"/>
      <c r="C41" s="1156"/>
      <c r="D41" s="1157"/>
      <c r="E41" s="1157"/>
      <c r="F41" s="1158"/>
      <c r="G41" s="1465"/>
      <c r="H41" s="1159"/>
      <c r="I41" s="1160"/>
      <c r="J41" s="1161"/>
      <c r="K41" s="231"/>
      <c r="L41" s="211"/>
      <c r="M41" s="124"/>
      <c r="N41" s="160" t="s">
        <v>249</v>
      </c>
      <c r="O41" s="124"/>
      <c r="P41" s="124"/>
      <c r="Q41" s="124"/>
    </row>
    <row r="42" spans="1:17" ht="8.25" customHeight="1" x14ac:dyDescent="0.3">
      <c r="A42" s="750"/>
      <c r="B42" s="750"/>
      <c r="C42" s="750"/>
      <c r="D42" s="750"/>
      <c r="E42" s="750"/>
      <c r="F42" s="750"/>
      <c r="G42" s="750"/>
      <c r="H42" s="754"/>
      <c r="I42" s="754"/>
      <c r="J42" s="755"/>
      <c r="K42" s="755"/>
      <c r="L42" s="743"/>
      <c r="M42" s="743"/>
      <c r="N42" s="743"/>
      <c r="O42" s="743"/>
      <c r="P42" s="743"/>
      <c r="Q42" s="743"/>
    </row>
    <row r="43" spans="1:17" ht="17.25" customHeight="1" x14ac:dyDescent="0.3">
      <c r="A43" s="750"/>
      <c r="B43" s="249" t="s">
        <v>70</v>
      </c>
      <c r="C43" s="184"/>
      <c r="D43" s="185"/>
      <c r="E43" s="185"/>
      <c r="F43" s="186"/>
      <c r="G43" s="1131"/>
      <c r="H43" s="187"/>
      <c r="I43" s="754"/>
      <c r="J43" s="755"/>
      <c r="K43" s="755"/>
      <c r="L43" s="743"/>
      <c r="M43" s="743"/>
      <c r="N43" s="743"/>
      <c r="O43" s="743"/>
      <c r="P43" s="743"/>
      <c r="Q43" s="743"/>
    </row>
    <row r="44" spans="1:17" ht="9.75" customHeight="1" x14ac:dyDescent="0.3">
      <c r="A44" s="750"/>
      <c r="B44" s="1131"/>
      <c r="C44" s="184"/>
      <c r="D44" s="185"/>
      <c r="E44" s="185"/>
      <c r="F44" s="186"/>
      <c r="G44" s="1131"/>
      <c r="H44" s="187"/>
      <c r="I44" s="754"/>
      <c r="J44" s="755"/>
      <c r="K44" s="755"/>
      <c r="L44" s="743"/>
      <c r="M44" s="743"/>
      <c r="N44" s="743"/>
      <c r="O44" s="743"/>
      <c r="P44" s="743"/>
      <c r="Q44" s="743"/>
    </row>
    <row r="45" spans="1:17" ht="15.75" customHeight="1" x14ac:dyDescent="0.3">
      <c r="A45" s="750"/>
      <c r="B45" s="1266" t="s">
        <v>39</v>
      </c>
      <c r="C45" s="1462" t="s">
        <v>23</v>
      </c>
      <c r="D45" s="1463"/>
      <c r="E45" s="394"/>
      <c r="F45" s="1268" t="str">
        <f>PENYELIA!F45</f>
        <v>Setting standar (bpm)</v>
      </c>
      <c r="G45" s="1268" t="s">
        <v>155</v>
      </c>
      <c r="H45" s="1268" t="s">
        <v>156</v>
      </c>
      <c r="I45" s="1445" t="str">
        <f>PENYELIA!I45</f>
        <v>Penunjukan alat               (bpm)</v>
      </c>
      <c r="J45" s="1446" t="str">
        <f>PENYELIA!J45</f>
        <v>Koreksi relatif (%)</v>
      </c>
      <c r="K45" s="1297" t="str">
        <f>PENYELIA!K45</f>
        <v>Toleransi                         (%)</v>
      </c>
      <c r="L45" s="1433" t="str">
        <f>PENYELIA!L45</f>
        <v xml:space="preserve">Ketidakpastian pengukuran                         (%)                          </v>
      </c>
      <c r="M45" s="743"/>
      <c r="N45" s="743"/>
      <c r="O45" s="743"/>
      <c r="P45" s="743"/>
      <c r="Q45" s="743"/>
    </row>
    <row r="46" spans="1:17" ht="15.75" customHeight="1" x14ac:dyDescent="0.3">
      <c r="A46" s="750"/>
      <c r="B46" s="1278"/>
      <c r="C46" s="1464"/>
      <c r="D46" s="1465"/>
      <c r="E46" s="395"/>
      <c r="F46" s="1268"/>
      <c r="G46" s="1268"/>
      <c r="H46" s="1268"/>
      <c r="I46" s="1445"/>
      <c r="J46" s="1446"/>
      <c r="K46" s="1311"/>
      <c r="L46" s="1434"/>
      <c r="M46" s="743"/>
      <c r="N46" s="743"/>
      <c r="O46" s="743"/>
      <c r="P46" s="743"/>
      <c r="Q46" s="743"/>
    </row>
    <row r="47" spans="1:17" ht="15.75" customHeight="1" x14ac:dyDescent="0.3">
      <c r="A47" s="750"/>
      <c r="B47" s="1267"/>
      <c r="C47" s="1466"/>
      <c r="D47" s="1467"/>
      <c r="E47" s="395"/>
      <c r="F47" s="1268"/>
      <c r="G47" s="1268"/>
      <c r="H47" s="1268"/>
      <c r="I47" s="1445"/>
      <c r="J47" s="1446"/>
      <c r="K47" s="1444"/>
      <c r="L47" s="1435"/>
      <c r="M47" s="743"/>
      <c r="N47" s="743"/>
      <c r="O47" s="743"/>
      <c r="P47" s="743"/>
      <c r="Q47" s="743"/>
    </row>
    <row r="48" spans="1:17" ht="17.25" customHeight="1" x14ac:dyDescent="0.3">
      <c r="A48" s="750"/>
      <c r="B48" s="1266">
        <v>1</v>
      </c>
      <c r="C48" s="1468" t="s">
        <v>80</v>
      </c>
      <c r="D48" s="1469"/>
      <c r="E48" s="1470"/>
      <c r="F48" s="1127">
        <f>ID!D73</f>
        <v>60</v>
      </c>
      <c r="G48" s="1476">
        <f>ID!E73</f>
        <v>120</v>
      </c>
      <c r="H48" s="1476">
        <f>ID!F73</f>
        <v>80</v>
      </c>
      <c r="I48" s="624">
        <f>PENYELIA!I48</f>
        <v>60</v>
      </c>
      <c r="J48" s="396">
        <f>PENYELIA!J48</f>
        <v>0</v>
      </c>
      <c r="K48" s="1447" t="s">
        <v>272</v>
      </c>
      <c r="L48" s="396">
        <f>PENYELIA!L48</f>
        <v>0.96636845337887511</v>
      </c>
      <c r="M48" s="743"/>
      <c r="N48" s="743"/>
      <c r="O48" s="743"/>
      <c r="P48" s="743"/>
      <c r="Q48" s="743"/>
    </row>
    <row r="49" spans="1:26" ht="17.25" customHeight="1" x14ac:dyDescent="0.3">
      <c r="A49" s="750"/>
      <c r="B49" s="1278"/>
      <c r="C49" s="1471"/>
      <c r="D49" s="1472"/>
      <c r="E49" s="1431"/>
      <c r="F49" s="1127">
        <f>ID!D74</f>
        <v>120</v>
      </c>
      <c r="G49" s="1477"/>
      <c r="H49" s="1477"/>
      <c r="I49" s="624">
        <f>PENYELIA!I49</f>
        <v>121</v>
      </c>
      <c r="J49" s="396">
        <f>PENYELIA!J49</f>
        <v>-0.83333333333333337</v>
      </c>
      <c r="K49" s="1448"/>
      <c r="L49" s="396">
        <f>PENYELIA!L49</f>
        <v>0.47919096861762406</v>
      </c>
      <c r="M49" s="743"/>
      <c r="N49" s="743"/>
      <c r="O49" s="743"/>
      <c r="P49" s="743"/>
      <c r="Q49" s="743"/>
    </row>
    <row r="50" spans="1:26" ht="17.25" customHeight="1" x14ac:dyDescent="0.3">
      <c r="A50" s="750"/>
      <c r="B50" s="1267"/>
      <c r="C50" s="1473"/>
      <c r="D50" s="1474"/>
      <c r="E50" s="1475"/>
      <c r="F50" s="1127">
        <f>ID!D75</f>
        <v>180</v>
      </c>
      <c r="G50" s="1478"/>
      <c r="H50" s="1478"/>
      <c r="I50" s="624">
        <f>PENYELIA!I50</f>
        <v>179</v>
      </c>
      <c r="J50" s="396">
        <f>PENYELIA!J50</f>
        <v>0.55555555555555558</v>
      </c>
      <c r="K50" s="1449"/>
      <c r="L50" s="396">
        <f>PENYELIA!L50</f>
        <v>0.32392238660744421</v>
      </c>
      <c r="M50" s="743"/>
      <c r="O50" s="743"/>
      <c r="P50" s="743"/>
      <c r="Q50" s="743"/>
      <c r="R50" s="743"/>
      <c r="S50" s="743"/>
      <c r="T50" s="743"/>
      <c r="U50" s="743"/>
      <c r="V50" s="743"/>
      <c r="W50" s="743"/>
      <c r="X50" s="743"/>
      <c r="Y50" s="743"/>
      <c r="Z50" s="743"/>
    </row>
    <row r="51" spans="1:26" ht="6.75" customHeight="1" x14ac:dyDescent="0.3">
      <c r="A51" s="750"/>
      <c r="B51" s="750"/>
      <c r="C51" s="750"/>
      <c r="D51" s="750"/>
      <c r="E51" s="750"/>
      <c r="F51" s="750"/>
      <c r="G51" s="750"/>
      <c r="H51" s="754"/>
      <c r="I51" s="754"/>
      <c r="J51" s="755"/>
      <c r="K51" s="755"/>
      <c r="L51" s="743"/>
      <c r="M51" s="743"/>
      <c r="N51" s="743"/>
      <c r="O51" s="743"/>
      <c r="P51" s="743"/>
      <c r="Q51" s="743"/>
      <c r="R51" s="743"/>
      <c r="S51" s="743"/>
      <c r="T51" s="743"/>
      <c r="U51" s="743"/>
      <c r="V51" s="743"/>
      <c r="W51" s="743"/>
      <c r="X51" s="743"/>
      <c r="Y51" s="743"/>
      <c r="Z51" s="743"/>
    </row>
    <row r="52" spans="1:26" x14ac:dyDescent="0.3">
      <c r="A52" s="1139" t="s">
        <v>256</v>
      </c>
      <c r="B52" s="1139" t="s">
        <v>257</v>
      </c>
      <c r="C52" s="609"/>
      <c r="D52" s="1140"/>
      <c r="E52" s="1140"/>
      <c r="F52" s="1140"/>
      <c r="G52" s="1140"/>
      <c r="H52" s="610"/>
      <c r="I52" s="610"/>
      <c r="J52" s="611"/>
      <c r="K52" s="611"/>
      <c r="L52" s="756"/>
      <c r="M52" s="743"/>
      <c r="O52" s="743"/>
      <c r="P52" s="743"/>
      <c r="Q52" s="743"/>
      <c r="R52" s="743"/>
      <c r="S52" s="743"/>
      <c r="T52" s="743"/>
      <c r="U52" s="743"/>
      <c r="V52" s="743"/>
      <c r="W52" s="743"/>
      <c r="X52" s="743"/>
      <c r="Y52" s="743"/>
      <c r="Z52" s="743"/>
    </row>
    <row r="53" spans="1:26" x14ac:dyDescent="0.3">
      <c r="A53" s="143"/>
      <c r="B53" s="612" t="s">
        <v>273</v>
      </c>
      <c r="C53" s="1140"/>
      <c r="D53" s="1140"/>
      <c r="E53" s="1140"/>
      <c r="F53" s="1140"/>
      <c r="G53" s="1140"/>
      <c r="H53" s="610"/>
      <c r="I53" s="610"/>
      <c r="J53" s="611"/>
      <c r="K53" s="611"/>
      <c r="L53" s="756"/>
      <c r="M53" s="743"/>
      <c r="O53" s="743"/>
      <c r="P53" s="743"/>
      <c r="Q53" s="743"/>
      <c r="R53" s="743"/>
      <c r="S53" s="743"/>
      <c r="T53" s="743"/>
      <c r="U53" s="743"/>
      <c r="V53" s="743"/>
      <c r="W53" s="743"/>
      <c r="X53" s="743"/>
      <c r="Y53" s="743"/>
      <c r="Z53" s="743"/>
    </row>
    <row r="54" spans="1:26" x14ac:dyDescent="0.3">
      <c r="A54" s="143"/>
      <c r="B54" s="612" t="s">
        <v>274</v>
      </c>
      <c r="C54" s="1140"/>
      <c r="D54" s="1140"/>
      <c r="E54" s="1140"/>
      <c r="F54" s="1140"/>
      <c r="G54" s="1140"/>
      <c r="H54" s="610"/>
      <c r="I54" s="610"/>
      <c r="J54" s="611"/>
      <c r="K54" s="611"/>
      <c r="L54" s="756"/>
      <c r="M54" s="743"/>
      <c r="N54" s="743"/>
      <c r="O54" s="743"/>
      <c r="P54" s="743"/>
      <c r="Q54" s="743"/>
      <c r="R54" s="743"/>
      <c r="S54" s="743"/>
      <c r="T54" s="743"/>
      <c r="U54" s="743"/>
      <c r="V54" s="743"/>
      <c r="W54" s="743"/>
      <c r="X54" s="743"/>
      <c r="Y54" s="743"/>
      <c r="Z54" s="743"/>
    </row>
    <row r="55" spans="1:26" s="378" customFormat="1" x14ac:dyDescent="0.3">
      <c r="A55" s="138"/>
      <c r="B55" s="141" t="str">
        <f>PENYELIA!B55</f>
        <v>Hasil pengujian kinerja blood pressure monitor tertelusur ke satuan SI melalui PT. KALIMAN</v>
      </c>
      <c r="C55" s="139"/>
      <c r="D55" s="139"/>
      <c r="E55" s="139"/>
      <c r="F55" s="139"/>
      <c r="G55" s="139"/>
      <c r="H55" s="140"/>
      <c r="I55" s="140"/>
      <c r="J55" s="137"/>
      <c r="K55" s="137"/>
      <c r="L55" s="757"/>
      <c r="M55" s="746"/>
      <c r="N55" s="746"/>
      <c r="O55" s="746"/>
      <c r="P55" s="746"/>
      <c r="Q55" s="746"/>
      <c r="R55" s="746"/>
      <c r="S55" s="746"/>
      <c r="T55" s="746"/>
      <c r="U55" s="746"/>
      <c r="V55" s="746"/>
      <c r="W55" s="746"/>
      <c r="X55" s="746"/>
      <c r="Y55" s="746"/>
      <c r="Z55" s="746"/>
    </row>
    <row r="56" spans="1:26" s="378" customFormat="1" x14ac:dyDescent="0.3">
      <c r="A56" s="138"/>
      <c r="B56" s="1104" t="str">
        <f>PENYELIA!B56</f>
        <v/>
      </c>
      <c r="C56" s="1100"/>
      <c r="D56" s="1100"/>
      <c r="E56" s="1100"/>
      <c r="F56" s="1100"/>
      <c r="G56" s="1100"/>
      <c r="H56" s="1101"/>
      <c r="I56" s="1101"/>
      <c r="J56" s="137"/>
      <c r="K56" s="137"/>
      <c r="L56" s="757"/>
      <c r="M56" s="746"/>
      <c r="N56" s="746"/>
      <c r="O56" s="746"/>
      <c r="P56" s="746"/>
      <c r="Q56" s="746"/>
      <c r="R56" s="746"/>
      <c r="S56" s="746"/>
      <c r="T56" s="746"/>
      <c r="U56" s="746"/>
      <c r="V56" s="746"/>
      <c r="W56" s="746"/>
      <c r="X56" s="746"/>
      <c r="Y56" s="746"/>
      <c r="Z56" s="746"/>
    </row>
    <row r="57" spans="1:26" s="378" customFormat="1" x14ac:dyDescent="0.3">
      <c r="A57" s="138"/>
      <c r="B57" s="1099" t="str">
        <f>PENYELIA!B57</f>
        <v>Catu daya menggunakan baterai</v>
      </c>
      <c r="C57" s="1100"/>
      <c r="D57" s="1100"/>
      <c r="E57" s="1100"/>
      <c r="F57" s="1100"/>
      <c r="G57" s="1100"/>
      <c r="H57" s="1101"/>
      <c r="I57" s="1101"/>
      <c r="J57" s="137"/>
      <c r="K57" s="137"/>
      <c r="L57" s="757"/>
      <c r="M57" s="746"/>
      <c r="N57" s="746"/>
      <c r="O57" s="746"/>
      <c r="P57" s="746"/>
      <c r="Q57" s="746"/>
      <c r="R57" s="746"/>
      <c r="S57" s="746"/>
      <c r="T57" s="746"/>
      <c r="U57" s="746"/>
      <c r="V57" s="746"/>
      <c r="W57" s="746"/>
      <c r="X57" s="746"/>
      <c r="Y57" s="746"/>
      <c r="Z57" s="746"/>
    </row>
    <row r="58" spans="1:26" s="378" customFormat="1" ht="15" customHeight="1" x14ac:dyDescent="0.3">
      <c r="A58" s="138"/>
      <c r="B58" s="1102" t="str">
        <f>PENYELIA!B58</f>
        <v/>
      </c>
      <c r="C58" s="1100"/>
      <c r="D58" s="1100"/>
      <c r="E58" s="1100"/>
      <c r="F58" s="1100"/>
      <c r="G58" s="1100"/>
      <c r="H58" s="1101"/>
      <c r="I58" s="1101"/>
      <c r="J58" s="137"/>
      <c r="K58" s="137"/>
      <c r="L58" s="757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</row>
    <row r="59" spans="1:26" s="378" customFormat="1" ht="15" customHeight="1" x14ac:dyDescent="0.3">
      <c r="A59" s="138"/>
      <c r="B59" s="141"/>
      <c r="C59" s="139"/>
      <c r="D59" s="139"/>
      <c r="E59" s="139"/>
      <c r="F59" s="139"/>
      <c r="G59" s="139"/>
      <c r="H59" s="140"/>
      <c r="I59" s="140"/>
      <c r="J59" s="137"/>
      <c r="K59" s="137"/>
      <c r="L59" s="757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</row>
    <row r="60" spans="1:26" x14ac:dyDescent="0.3">
      <c r="A60" s="613" t="s">
        <v>260</v>
      </c>
      <c r="B60" s="1452" t="s">
        <v>161</v>
      </c>
      <c r="C60" s="1452"/>
      <c r="D60" s="1452"/>
      <c r="E60" s="1452"/>
      <c r="F60" s="1452"/>
      <c r="G60" s="1452"/>
      <c r="H60" s="142"/>
      <c r="I60" s="142"/>
      <c r="J60" s="611"/>
      <c r="K60" s="611"/>
      <c r="L60" s="756"/>
      <c r="M60" s="743"/>
      <c r="N60" s="743"/>
      <c r="O60" s="743"/>
      <c r="P60" s="743"/>
      <c r="Q60" s="743"/>
      <c r="R60" s="743"/>
      <c r="S60" s="743"/>
      <c r="T60" s="743"/>
      <c r="U60" s="743"/>
      <c r="V60" s="743"/>
      <c r="W60" s="743"/>
      <c r="X60" s="743"/>
      <c r="Y60" s="743"/>
      <c r="Z60" s="743"/>
    </row>
    <row r="61" spans="1:26" x14ac:dyDescent="0.3">
      <c r="A61" s="143"/>
      <c r="B61" s="614" t="str">
        <f>ID!B88</f>
        <v>Vital Signs Simulator, Merek : Rigel, Model : UNI-SIM, SN : 05J-0804</v>
      </c>
      <c r="C61" s="142"/>
      <c r="D61" s="614"/>
      <c r="E61" s="142"/>
      <c r="F61" s="1140"/>
      <c r="G61" s="1140"/>
      <c r="H61" s="610"/>
      <c r="I61" s="610"/>
      <c r="J61" s="611"/>
      <c r="K61" s="611"/>
      <c r="L61" s="756"/>
      <c r="M61" s="743"/>
      <c r="N61" s="743"/>
      <c r="O61" s="743"/>
      <c r="P61" s="743"/>
      <c r="Q61" s="758"/>
      <c r="R61" s="758"/>
      <c r="S61" s="758"/>
      <c r="T61" s="758"/>
      <c r="U61" s="758"/>
      <c r="V61" s="758"/>
      <c r="W61" s="758"/>
      <c r="X61" s="758"/>
      <c r="Y61" s="758"/>
      <c r="Z61" s="758"/>
    </row>
    <row r="62" spans="1:26" ht="10.5" customHeight="1" x14ac:dyDescent="0.3">
      <c r="A62" s="1137"/>
      <c r="B62" s="615" t="str">
        <f>PENYELIA!B62</f>
        <v>Electrical Safety Analyzer, Merek : FLUKE, Model : ESA615, SN : 2853078</v>
      </c>
      <c r="C62" s="142"/>
      <c r="D62" s="614"/>
      <c r="E62" s="142"/>
      <c r="F62" s="142"/>
      <c r="G62" s="142"/>
      <c r="H62" s="142"/>
      <c r="I62" s="142"/>
      <c r="J62" s="611"/>
      <c r="K62" s="611"/>
      <c r="L62" s="756"/>
      <c r="M62" s="743"/>
      <c r="N62" s="743"/>
      <c r="O62" s="743"/>
      <c r="P62" s="743"/>
      <c r="Q62" s="758"/>
      <c r="R62" s="758"/>
      <c r="S62" s="758"/>
      <c r="T62" s="758"/>
      <c r="U62" s="758"/>
      <c r="V62" s="758"/>
      <c r="W62" s="758"/>
      <c r="X62" s="758"/>
      <c r="Y62" s="758"/>
      <c r="Z62" s="758"/>
    </row>
    <row r="63" spans="1:26" x14ac:dyDescent="0.3">
      <c r="A63" s="613" t="s">
        <v>262</v>
      </c>
      <c r="B63" s="616" t="s">
        <v>263</v>
      </c>
      <c r="C63" s="617"/>
      <c r="D63" s="614"/>
      <c r="E63" s="142"/>
      <c r="F63" s="142"/>
      <c r="G63" s="142"/>
      <c r="H63" s="142"/>
      <c r="I63" s="142"/>
      <c r="J63" s="611"/>
      <c r="K63" s="611"/>
      <c r="L63" s="756"/>
      <c r="M63" s="743"/>
      <c r="N63" s="743"/>
      <c r="O63" s="743"/>
      <c r="P63" s="743"/>
      <c r="Q63" s="743"/>
      <c r="R63" s="743"/>
      <c r="S63" s="743"/>
      <c r="T63" s="743"/>
      <c r="U63" s="743"/>
      <c r="V63" s="743"/>
      <c r="W63" s="743"/>
      <c r="X63" s="743"/>
      <c r="Y63" s="743"/>
      <c r="Z63" s="743"/>
    </row>
    <row r="64" spans="1:26" s="399" customFormat="1" ht="30.75" customHeight="1" x14ac:dyDescent="0.3">
      <c r="A64" s="618"/>
      <c r="B64" s="1430" t="str">
        <f>PENYELIA!B64</f>
        <v>Alat yang dikalibrasi dalam batas toleransi dan dinyatakan LAIK PAKAI, dimana hasil atau skor akhir sama dengan atau melampaui 70% berdasarkan Keputusan Direktur Jenderal Pelayanan Kesehatan No : HK.02.02/V/0412/2020</v>
      </c>
      <c r="C64" s="1430"/>
      <c r="D64" s="1430"/>
      <c r="E64" s="1430"/>
      <c r="F64" s="1430"/>
      <c r="G64" s="1430"/>
      <c r="H64" s="1430"/>
      <c r="I64" s="1430"/>
      <c r="J64" s="1430"/>
      <c r="K64" s="1430"/>
      <c r="L64" s="1430"/>
      <c r="M64" s="759"/>
      <c r="N64" s="759"/>
      <c r="O64" s="759"/>
      <c r="P64" s="759"/>
      <c r="Q64" s="759"/>
      <c r="R64" s="759"/>
      <c r="S64" s="759"/>
      <c r="T64" s="759"/>
      <c r="U64" s="759"/>
      <c r="V64" s="759"/>
      <c r="W64" s="759"/>
      <c r="X64" s="759"/>
      <c r="Y64" s="759"/>
      <c r="Z64" s="759"/>
    </row>
    <row r="65" spans="1:26" ht="6" customHeight="1" x14ac:dyDescent="0.3">
      <c r="A65" s="1453"/>
      <c r="B65" s="1453"/>
      <c r="C65" s="1453"/>
      <c r="D65" s="1453"/>
      <c r="E65" s="1453"/>
      <c r="F65" s="1453"/>
      <c r="G65" s="1453"/>
      <c r="H65" s="142"/>
      <c r="I65" s="142"/>
      <c r="J65" s="611"/>
      <c r="K65" s="611"/>
      <c r="L65" s="756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</row>
    <row r="66" spans="1:26" x14ac:dyDescent="0.3">
      <c r="A66" s="613" t="s">
        <v>264</v>
      </c>
      <c r="B66" s="1452" t="str">
        <f>PENYELIA!B66</f>
        <v>Petugas kalibrasi</v>
      </c>
      <c r="C66" s="1452"/>
      <c r="D66" s="1452"/>
      <c r="E66" s="1452"/>
      <c r="F66" s="1452"/>
      <c r="G66" s="1452"/>
      <c r="H66" s="142"/>
      <c r="I66" s="142"/>
      <c r="J66" s="611"/>
      <c r="K66" s="611"/>
      <c r="L66" s="756"/>
      <c r="M66" s="743"/>
      <c r="N66" s="393"/>
      <c r="O66" s="743"/>
      <c r="P66" s="743"/>
      <c r="Q66" s="743"/>
      <c r="R66" s="743"/>
      <c r="S66" s="743"/>
      <c r="T66" s="743"/>
      <c r="U66" s="743"/>
      <c r="V66" s="743"/>
      <c r="W66" s="743"/>
      <c r="X66" s="743"/>
      <c r="Y66" s="743"/>
      <c r="Z66" s="743"/>
    </row>
    <row r="67" spans="1:26" x14ac:dyDescent="0.3">
      <c r="A67" s="143"/>
      <c r="B67" s="1450" t="str">
        <f>ID!E15</f>
        <v>Wardimanul Abrar</v>
      </c>
      <c r="C67" s="1450"/>
      <c r="D67" s="1450"/>
      <c r="E67" s="1450"/>
      <c r="F67" s="1450"/>
      <c r="G67" s="1450"/>
      <c r="H67" s="142"/>
      <c r="I67" s="142"/>
      <c r="J67" s="611"/>
      <c r="K67" s="611"/>
      <c r="L67" s="756"/>
      <c r="M67" s="743"/>
      <c r="N67" s="393"/>
      <c r="O67" s="743"/>
      <c r="P67" s="743"/>
      <c r="Q67" s="743"/>
      <c r="R67" s="743"/>
    </row>
    <row r="68" spans="1:26" ht="7.5" customHeight="1" x14ac:dyDescent="0.3">
      <c r="A68" s="143"/>
      <c r="B68" s="1137"/>
      <c r="C68" s="1137"/>
      <c r="D68" s="1137"/>
      <c r="E68" s="1137"/>
      <c r="F68" s="1137"/>
      <c r="G68" s="1137"/>
      <c r="H68" s="142"/>
      <c r="I68" s="142"/>
      <c r="J68" s="611"/>
      <c r="K68" s="611"/>
      <c r="L68" s="756"/>
      <c r="M68" s="743"/>
      <c r="N68" s="393"/>
      <c r="O68" s="743"/>
      <c r="P68" s="743"/>
      <c r="Q68" s="743"/>
      <c r="R68" s="743"/>
    </row>
    <row r="69" spans="1:26" x14ac:dyDescent="0.3">
      <c r="A69" s="143"/>
      <c r="B69" s="1137"/>
      <c r="C69" s="1137"/>
      <c r="D69" s="1137"/>
      <c r="E69" s="1137"/>
      <c r="F69" s="1137"/>
      <c r="G69" s="1137"/>
      <c r="H69" s="142"/>
      <c r="I69" s="112" t="s">
        <v>275</v>
      </c>
      <c r="J69" s="611"/>
      <c r="K69" s="611"/>
      <c r="L69" s="756"/>
      <c r="M69" s="743"/>
      <c r="N69" s="393"/>
      <c r="O69" s="743"/>
      <c r="P69" s="743"/>
      <c r="Q69" s="743"/>
      <c r="R69" s="743"/>
    </row>
    <row r="70" spans="1:26" x14ac:dyDescent="0.3">
      <c r="A70" s="143"/>
      <c r="B70" s="1137"/>
      <c r="C70" s="1137"/>
      <c r="D70" s="1137"/>
      <c r="E70" s="1137"/>
      <c r="F70" s="1137"/>
      <c r="G70" s="1137"/>
      <c r="H70" s="142"/>
      <c r="I70" s="112" t="s">
        <v>276</v>
      </c>
      <c r="J70" s="112"/>
      <c r="K70" s="611"/>
      <c r="L70" s="756"/>
      <c r="M70" s="743"/>
      <c r="N70" s="393"/>
      <c r="O70" s="743"/>
      <c r="P70" s="743"/>
      <c r="Q70" s="743"/>
      <c r="R70" s="743"/>
    </row>
    <row r="71" spans="1:26" x14ac:dyDescent="0.3">
      <c r="A71" s="143"/>
      <c r="B71" s="1137"/>
      <c r="C71" s="1137"/>
      <c r="D71" s="1137"/>
      <c r="E71" s="1137"/>
      <c r="F71" s="1137"/>
      <c r="G71" s="1137"/>
      <c r="H71" s="142"/>
      <c r="I71" s="112" t="s">
        <v>277</v>
      </c>
      <c r="J71" s="112"/>
      <c r="K71" s="611"/>
      <c r="L71" s="756"/>
      <c r="M71" s="743"/>
      <c r="N71" s="393"/>
      <c r="O71" s="743"/>
      <c r="P71" s="743"/>
      <c r="Q71" s="743"/>
      <c r="R71" s="743"/>
    </row>
    <row r="72" spans="1:26" x14ac:dyDescent="0.3">
      <c r="A72" s="143"/>
      <c r="B72" s="1137"/>
      <c r="C72" s="1137"/>
      <c r="D72" s="1137"/>
      <c r="E72" s="1137"/>
      <c r="F72" s="1137"/>
      <c r="G72" s="1137"/>
      <c r="H72" s="142"/>
      <c r="I72" s="112"/>
      <c r="J72" s="112"/>
      <c r="K72" s="611"/>
      <c r="L72" s="756"/>
      <c r="M72" s="743"/>
      <c r="N72" s="393"/>
      <c r="O72" s="743"/>
      <c r="P72" s="743"/>
      <c r="Q72" s="743"/>
      <c r="R72" s="743"/>
    </row>
    <row r="73" spans="1:26" x14ac:dyDescent="0.3">
      <c r="A73" s="143"/>
      <c r="B73" s="1137"/>
      <c r="C73" s="1137"/>
      <c r="D73" s="1137"/>
      <c r="E73" s="1137"/>
      <c r="F73" s="1137"/>
      <c r="G73" s="1137"/>
      <c r="H73" s="142"/>
      <c r="I73" s="112"/>
      <c r="J73" s="112"/>
      <c r="K73" s="611"/>
      <c r="L73" s="756"/>
      <c r="M73" s="743"/>
      <c r="N73" s="393"/>
      <c r="O73" s="743"/>
      <c r="P73" s="743"/>
      <c r="Q73" s="743"/>
      <c r="R73" s="743"/>
    </row>
    <row r="74" spans="1:26" x14ac:dyDescent="0.3">
      <c r="A74" s="143"/>
      <c r="B74" s="1137"/>
      <c r="C74" s="1137"/>
      <c r="D74" s="1137"/>
      <c r="E74" s="1137"/>
      <c r="F74" s="1137"/>
      <c r="G74" s="1137"/>
      <c r="H74" s="142"/>
      <c r="I74" s="112"/>
      <c r="J74" s="112"/>
      <c r="K74" s="611"/>
      <c r="L74" s="756"/>
      <c r="M74" s="743"/>
      <c r="N74" s="393"/>
      <c r="O74" s="743"/>
      <c r="P74" s="743"/>
      <c r="Q74" s="743"/>
      <c r="R74" s="743"/>
    </row>
    <row r="75" spans="1:26" x14ac:dyDescent="0.3">
      <c r="A75" s="143"/>
      <c r="B75" s="1137"/>
      <c r="C75" s="1137"/>
      <c r="D75" s="1137"/>
      <c r="E75" s="1137"/>
      <c r="F75" s="1137"/>
      <c r="G75" s="1137"/>
      <c r="H75" s="142"/>
      <c r="I75" s="619"/>
      <c r="J75" s="112"/>
      <c r="K75" s="611"/>
      <c r="L75" s="756"/>
      <c r="M75" s="743"/>
      <c r="N75" s="393"/>
      <c r="O75" s="743"/>
      <c r="P75" s="743"/>
      <c r="Q75" s="381"/>
      <c r="R75" s="400"/>
    </row>
    <row r="76" spans="1:26" x14ac:dyDescent="0.3">
      <c r="A76" s="143"/>
      <c r="B76" s="1137"/>
      <c r="C76" s="1137"/>
      <c r="D76" s="1137"/>
      <c r="E76" s="1137"/>
      <c r="F76" s="1137"/>
      <c r="G76" s="1137"/>
      <c r="H76" s="142"/>
      <c r="I76" s="620" t="s">
        <v>455</v>
      </c>
      <c r="J76" s="112"/>
      <c r="K76" s="611"/>
      <c r="L76" s="756"/>
      <c r="M76" s="743"/>
      <c r="N76" s="743"/>
      <c r="O76" s="743"/>
      <c r="P76" s="743"/>
      <c r="Q76" s="401"/>
      <c r="R76" s="400"/>
    </row>
    <row r="77" spans="1:26" x14ac:dyDescent="0.3">
      <c r="A77" s="143"/>
      <c r="B77" s="1137"/>
      <c r="C77" s="1137"/>
      <c r="D77" s="1137"/>
      <c r="E77" s="1137"/>
      <c r="F77" s="1137"/>
      <c r="G77" s="1137"/>
      <c r="H77" s="142"/>
      <c r="I77" s="621" t="s">
        <v>278</v>
      </c>
      <c r="J77" s="144"/>
      <c r="K77" s="144"/>
      <c r="L77" s="756"/>
      <c r="M77" s="743"/>
      <c r="N77" s="743"/>
      <c r="O77" s="743"/>
      <c r="P77" s="743"/>
      <c r="Q77" s="743"/>
      <c r="R77" s="743"/>
    </row>
    <row r="78" spans="1:26" ht="18" x14ac:dyDescent="0.35">
      <c r="A78" s="143"/>
      <c r="B78" s="1137"/>
      <c r="C78" s="1137"/>
      <c r="D78" s="1137"/>
      <c r="E78" s="1137"/>
      <c r="F78" s="756"/>
      <c r="G78" s="1137"/>
      <c r="H78" s="142"/>
      <c r="I78" s="756"/>
      <c r="J78" s="144"/>
      <c r="K78" s="144"/>
      <c r="L78" s="191"/>
      <c r="M78" s="743"/>
      <c r="N78" s="161"/>
      <c r="O78" s="743"/>
      <c r="P78" s="743"/>
      <c r="Q78" s="743"/>
      <c r="R78" s="743"/>
    </row>
    <row r="79" spans="1:26" x14ac:dyDescent="0.3">
      <c r="A79" s="143"/>
      <c r="B79" s="1137"/>
      <c r="C79" s="1137"/>
      <c r="D79" s="1137"/>
      <c r="E79" s="1137"/>
      <c r="F79" s="410"/>
      <c r="G79" s="1137"/>
      <c r="H79" s="142"/>
      <c r="I79" s="756"/>
      <c r="J79" s="144"/>
      <c r="K79" s="144"/>
      <c r="L79" s="756"/>
      <c r="M79" s="743"/>
      <c r="N79" s="160"/>
      <c r="O79" s="743"/>
      <c r="P79" s="743"/>
      <c r="Q79" s="743"/>
      <c r="R79" s="743"/>
    </row>
    <row r="80" spans="1:26" x14ac:dyDescent="0.3">
      <c r="A80" s="143"/>
      <c r="B80" s="1137"/>
      <c r="C80" s="1137"/>
      <c r="D80" s="1137"/>
      <c r="E80" s="1137"/>
      <c r="F80" s="411"/>
      <c r="G80" s="1137"/>
      <c r="H80" s="142"/>
      <c r="I80" s="756"/>
      <c r="J80" s="144"/>
      <c r="K80" s="144"/>
      <c r="L80" s="756"/>
      <c r="M80" s="743"/>
      <c r="N80" s="160"/>
      <c r="O80" s="743"/>
      <c r="P80" s="743"/>
      <c r="Q80" s="743"/>
      <c r="R80" s="743"/>
    </row>
    <row r="81" spans="1:18" x14ac:dyDescent="0.3">
      <c r="A81" s="143"/>
      <c r="B81" s="1137"/>
      <c r="C81" s="1137"/>
      <c r="D81" s="1137"/>
      <c r="E81" s="1137"/>
      <c r="F81" s="410"/>
      <c r="G81" s="1137"/>
      <c r="H81" s="142"/>
      <c r="I81" s="756"/>
      <c r="J81" s="144"/>
      <c r="K81" s="144"/>
      <c r="L81" s="756"/>
      <c r="M81" s="743"/>
      <c r="N81" s="160"/>
      <c r="O81" s="743"/>
      <c r="P81" s="743"/>
      <c r="Q81" s="743"/>
      <c r="R81" s="743"/>
    </row>
    <row r="82" spans="1:18" ht="18" x14ac:dyDescent="0.35">
      <c r="A82" s="397"/>
      <c r="B82" s="1136"/>
      <c r="C82" s="1136"/>
      <c r="D82" s="1136"/>
      <c r="E82" s="1136"/>
      <c r="F82" s="405"/>
      <c r="G82" s="1136"/>
      <c r="H82" s="398"/>
      <c r="I82" s="402"/>
      <c r="J82" s="403"/>
      <c r="K82" s="153"/>
      <c r="L82" s="743"/>
      <c r="M82" s="743"/>
      <c r="N82" s="161"/>
      <c r="O82" s="743"/>
      <c r="P82" s="743"/>
      <c r="Q82" s="743"/>
      <c r="R82" s="743"/>
    </row>
    <row r="83" spans="1:18" x14ac:dyDescent="0.3">
      <c r="A83" s="397"/>
      <c r="B83" s="1136"/>
      <c r="C83" s="1136"/>
      <c r="D83" s="1136"/>
      <c r="E83" s="1136"/>
      <c r="F83" s="406"/>
      <c r="G83" s="1136"/>
      <c r="H83" s="398"/>
      <c r="I83" s="402"/>
      <c r="J83" s="403"/>
      <c r="K83" s="743"/>
      <c r="L83" s="404"/>
      <c r="M83" s="154"/>
      <c r="N83" s="154"/>
    </row>
    <row r="84" spans="1:18" x14ac:dyDescent="0.3">
      <c r="A84" s="760"/>
      <c r="B84" s="745"/>
      <c r="C84" s="745"/>
      <c r="D84" s="745"/>
      <c r="E84" s="745"/>
      <c r="F84" s="407"/>
      <c r="G84" s="745"/>
      <c r="H84" s="761"/>
      <c r="I84" s="400"/>
      <c r="J84" s="408"/>
      <c r="K84" s="743"/>
      <c r="L84" s="743"/>
      <c r="M84" s="743"/>
      <c r="N84" s="393"/>
    </row>
    <row r="85" spans="1:18" x14ac:dyDescent="0.3">
      <c r="A85" s="760"/>
      <c r="B85" s="745"/>
      <c r="C85" s="745"/>
      <c r="D85" s="745"/>
      <c r="E85" s="745"/>
      <c r="F85" s="745"/>
      <c r="G85" s="745"/>
      <c r="H85" s="761"/>
      <c r="I85" s="761"/>
      <c r="J85" s="743"/>
      <c r="K85" s="154"/>
      <c r="L85" s="743"/>
      <c r="M85" s="743"/>
      <c r="N85" s="393"/>
    </row>
    <row r="86" spans="1:18" x14ac:dyDescent="0.3">
      <c r="A86" s="743"/>
      <c r="B86" s="743"/>
      <c r="C86" s="743"/>
      <c r="D86" s="743"/>
      <c r="E86" s="743"/>
      <c r="F86" s="743"/>
      <c r="G86" s="743"/>
      <c r="H86" s="743"/>
      <c r="I86" s="743"/>
      <c r="J86" s="743"/>
      <c r="K86" s="154"/>
      <c r="L86" s="743"/>
      <c r="M86" s="743"/>
      <c r="N86" s="743"/>
    </row>
    <row r="87" spans="1:18" x14ac:dyDescent="0.3">
      <c r="A87" s="373"/>
      <c r="B87" s="743"/>
      <c r="C87" s="743"/>
      <c r="D87" s="743"/>
      <c r="E87" s="743"/>
      <c r="F87" s="743"/>
      <c r="G87" s="743"/>
      <c r="H87" s="743"/>
      <c r="I87" s="743"/>
      <c r="J87" s="743"/>
      <c r="K87" s="755"/>
      <c r="L87" s="743"/>
      <c r="M87" s="743"/>
      <c r="N87" s="743"/>
    </row>
    <row r="88" spans="1:18" x14ac:dyDescent="0.3">
      <c r="A88" s="373"/>
      <c r="B88" s="743"/>
      <c r="C88" s="743"/>
      <c r="D88" s="743"/>
      <c r="E88" s="743"/>
      <c r="F88" s="743"/>
      <c r="G88" s="743"/>
      <c r="H88" s="743"/>
      <c r="I88" s="743"/>
      <c r="J88" s="743"/>
      <c r="K88" s="154"/>
      <c r="L88" s="743"/>
      <c r="M88" s="743"/>
      <c r="N88" s="743"/>
    </row>
    <row r="89" spans="1:18" x14ac:dyDescent="0.3">
      <c r="A89" s="373"/>
      <c r="B89" s="743"/>
      <c r="C89" s="743"/>
      <c r="D89" s="743"/>
      <c r="E89" s="743"/>
      <c r="F89" s="743"/>
      <c r="G89" s="743"/>
      <c r="H89" s="743"/>
      <c r="I89" s="743"/>
      <c r="J89" s="743"/>
      <c r="K89" s="154"/>
      <c r="L89" s="743"/>
      <c r="M89" s="743"/>
      <c r="N89" s="743"/>
    </row>
    <row r="216" spans="1:6" x14ac:dyDescent="0.3">
      <c r="A216" s="743"/>
      <c r="B216" s="743"/>
      <c r="C216" s="743"/>
      <c r="D216" s="743"/>
      <c r="E216" s="743"/>
      <c r="F216" s="762"/>
    </row>
  </sheetData>
  <sheetProtection formatCells="0" formatColumns="0" formatRows="0" insertColumns="0" insertRows="0" deleteColumns="0" deleteRows="0"/>
  <mergeCells count="59">
    <mergeCell ref="B60:G60"/>
    <mergeCell ref="B64:L64"/>
    <mergeCell ref="A65:G65"/>
    <mergeCell ref="B66:G66"/>
    <mergeCell ref="B67:G67"/>
    <mergeCell ref="L45:L47"/>
    <mergeCell ref="B48:B50"/>
    <mergeCell ref="C48:E50"/>
    <mergeCell ref="G48:G50"/>
    <mergeCell ref="H48:H50"/>
    <mergeCell ref="K48:K50"/>
    <mergeCell ref="B45:B47"/>
    <mergeCell ref="C45:D47"/>
    <mergeCell ref="F45:F47"/>
    <mergeCell ref="G45:G47"/>
    <mergeCell ref="H45:H47"/>
    <mergeCell ref="I45:I47"/>
    <mergeCell ref="J45:J47"/>
    <mergeCell ref="B34:B35"/>
    <mergeCell ref="A32:A33"/>
    <mergeCell ref="B32:B33"/>
    <mergeCell ref="K45:K47"/>
    <mergeCell ref="A34:A35"/>
    <mergeCell ref="A40:A41"/>
    <mergeCell ref="B40:B41"/>
    <mergeCell ref="G40:G41"/>
    <mergeCell ref="J32:J39"/>
    <mergeCell ref="A36:A37"/>
    <mergeCell ref="B36:B37"/>
    <mergeCell ref="G36:G37"/>
    <mergeCell ref="A38:A39"/>
    <mergeCell ref="B38:B39"/>
    <mergeCell ref="G38:G39"/>
    <mergeCell ref="J29:J31"/>
    <mergeCell ref="K29:K31"/>
    <mergeCell ref="G34:G35"/>
    <mergeCell ref="G32:G33"/>
    <mergeCell ref="P34:Q34"/>
    <mergeCell ref="E29:E31"/>
    <mergeCell ref="H29:H31"/>
    <mergeCell ref="I29:I31"/>
    <mergeCell ref="F29:F31"/>
    <mergeCell ref="G29:G31"/>
    <mergeCell ref="A29:A31"/>
    <mergeCell ref="B29:B31"/>
    <mergeCell ref="I22:J22"/>
    <mergeCell ref="A1:L1"/>
    <mergeCell ref="A2:L2"/>
    <mergeCell ref="A4:C4"/>
    <mergeCell ref="A5:C5"/>
    <mergeCell ref="A6:C6"/>
    <mergeCell ref="A9:C9"/>
    <mergeCell ref="B13:G13"/>
    <mergeCell ref="B14:C14"/>
    <mergeCell ref="B15:C15"/>
    <mergeCell ref="A20:G20"/>
    <mergeCell ref="B22:H22"/>
    <mergeCell ref="C29:C31"/>
    <mergeCell ref="D29:D31"/>
  </mergeCells>
  <printOptions horizontalCentered="1"/>
  <pageMargins left="0.511811023622047" right="0.23622047244094499" top="0.511811023622047" bottom="0.39370078740157499" header="0.23622047244094499" footer="0.23622047244094499"/>
  <pageSetup paperSize="9" scale="64" orientation="portrait" horizontalDpi="4294967293" r:id="rId1"/>
  <headerFooter scaleWithDoc="0" alignWithMargins="0">
    <oddHeader>&amp;R&amp;6T.014-18</oddHeader>
    <oddFooter xml:space="preserve">&amp;C&amp;6Dilarang keras mengutip/memperbanyak dan atau mempublikasikan isi sertifikat ini tanpa seijin LPFK Banjarbaru
Sertifikat ini sah apabila dibubuhi cap LPFK Banjarbaru dan ditandatangani pejabat yang berwenang&amp;R&amp;6Halaman 2 dari 2 halaman&amp;10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11</vt:i4>
      </vt:variant>
    </vt:vector>
  </HeadingPairs>
  <TitlesOfParts>
    <vt:vector size="37" baseType="lpstr">
      <vt:lpstr>Riwayat Revisi</vt:lpstr>
      <vt:lpstr>LEMBAR KERJA</vt:lpstr>
      <vt:lpstr>KELAS 1 NA</vt:lpstr>
      <vt:lpstr>KELAS 2 NA</vt:lpstr>
      <vt:lpstr>KLASIFIKASI</vt:lpstr>
      <vt:lpstr>PENYELIA</vt:lpstr>
      <vt:lpstr>LH NA</vt:lpstr>
      <vt:lpstr>LH BAYI</vt:lpstr>
      <vt:lpstr>LH ANAK</vt:lpstr>
      <vt:lpstr>LH DEWASA</vt:lpstr>
      <vt:lpstr>SERTIFIKAT</vt:lpstr>
      <vt:lpstr>BUDGET KTP</vt:lpstr>
      <vt:lpstr>ID</vt:lpstr>
      <vt:lpstr>INTERPOLASI  </vt:lpstr>
      <vt:lpstr>SERTIFIKAT NA</vt:lpstr>
      <vt:lpstr>SURAT KETERANGAN NA</vt:lpstr>
      <vt:lpstr>DB SERTIFIKAT NA</vt:lpstr>
      <vt:lpstr>NIBP</vt:lpstr>
      <vt:lpstr>JENIS KALIBRATOR</vt:lpstr>
      <vt:lpstr>VOLT</vt:lpstr>
      <vt:lpstr>LEAKAGE</vt:lpstr>
      <vt:lpstr>MOhm</vt:lpstr>
      <vt:lpstr>RESISTANCE</vt:lpstr>
      <vt:lpstr>KETERANGAN</vt:lpstr>
      <vt:lpstr>KESIMPULAN</vt:lpstr>
      <vt:lpstr>THERMOHYGROMETER</vt:lpstr>
      <vt:lpstr>'BUDGET KTP'!Print_Area</vt:lpstr>
      <vt:lpstr>ID!Print_Area</vt:lpstr>
      <vt:lpstr>'LEMBAR KERJA'!Print_Area</vt:lpstr>
      <vt:lpstr>'LH ANAK'!Print_Area</vt:lpstr>
      <vt:lpstr>'LH BAYI'!Print_Area</vt:lpstr>
      <vt:lpstr>'LH DEWASA'!Print_Area</vt:lpstr>
      <vt:lpstr>'LH NA'!Print_Area</vt:lpstr>
      <vt:lpstr>PENYELIA!Print_Area</vt:lpstr>
      <vt:lpstr>SERTIFIKAT!Print_Area</vt:lpstr>
      <vt:lpstr>'SERTIFIKAT NA'!Print_Area</vt:lpstr>
      <vt:lpstr>'SURAT KETERANGAN NA'!Print_Area</vt:lpstr>
    </vt:vector>
  </TitlesOfParts>
  <Manager/>
  <Company>BPFK Surabaya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 MEI 2013</dc:title>
  <dc:subject/>
  <dc:creator>RANGGA</dc:creator>
  <cp:keywords/>
  <dc:description/>
  <cp:lastModifiedBy>-</cp:lastModifiedBy>
  <cp:revision/>
  <cp:lastPrinted>2022-03-11T04:49:24Z</cp:lastPrinted>
  <dcterms:created xsi:type="dcterms:W3CDTF">2003-12-09T09:04:15Z</dcterms:created>
  <dcterms:modified xsi:type="dcterms:W3CDTF">2022-05-31T03:47:40Z</dcterms:modified>
  <cp:category/>
  <cp:contentStatus/>
</cp:coreProperties>
</file>