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drawings/drawing5.xml" ContentType="application/vnd.openxmlformats-officedocument.drawing+xml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excel\public\alat\"/>
    </mc:Choice>
  </mc:AlternateContent>
  <xr:revisionPtr revIDLastSave="0" documentId="13_ncr:1_{1A9D53FF-CDCF-4AC8-8D5B-FDC1EA3BA9C4}" xr6:coauthVersionLast="45" xr6:coauthVersionMax="47" xr10:uidLastSave="{00000000-0000-0000-0000-000000000000}"/>
  <bookViews>
    <workbookView xWindow="24" yWindow="384" windowWidth="23016" windowHeight="10560" firstSheet="6" activeTab="10" xr2:uid="{00000000-000D-0000-FFFF-FFFF00000000}"/>
  </bookViews>
  <sheets>
    <sheet name="ESA" sheetId="72" state="hidden" r:id="rId1"/>
    <sheet name="LK" sheetId="35" r:id="rId2"/>
    <sheet name="Riwayat Revisi" sheetId="69" state="hidden" r:id="rId3"/>
    <sheet name="Input Data Lux" sheetId="51" state="hidden" r:id="rId4"/>
    <sheet name="Input Data Tachometer" sheetId="52" state="hidden" r:id="rId5"/>
    <sheet name=" Input Data Tekanan Hisap" sheetId="54" r:id="rId6"/>
    <sheet name="ID" sheetId="23" r:id="rId7"/>
    <sheet name="SERTIFIKAT" sheetId="71" r:id="rId8"/>
    <sheet name="UNCERT" sheetId="36" r:id="rId9"/>
    <sheet name="PENYELIA" sheetId="57" r:id="rId10"/>
    <sheet name="LH" sheetId="58" r:id="rId11"/>
    <sheet name="kata-kata" sheetId="68" state="hidden" r:id="rId12"/>
    <sheet name="DB Thermohygro " sheetId="67" state="hidden" r:id="rId13"/>
    <sheet name="Input Data Tekanan Semprot" sheetId="53" state="hidden" r:id="rId14"/>
  </sheets>
  <externalReferences>
    <externalReference r:id="rId15"/>
  </externalReferences>
  <definedNames>
    <definedName name="_xlnm._FilterDatabase" localSheetId="6" hidden="1">ID!$F$65:$F$69</definedName>
    <definedName name="_xlnm._FilterDatabase" localSheetId="1" hidden="1">LK!$F$86:$F$90</definedName>
    <definedName name="_xlnm.Criteria" localSheetId="6">ID!$F$65:$F$69</definedName>
    <definedName name="_xlnm.Criteria" localSheetId="1">LK!$F$86:$F$90</definedName>
    <definedName name="_xlnm.Print_Area" localSheetId="12">'DB Thermohygro '!$A$1:$O$199,'DB Thermohygro '!$A$337:$O$351</definedName>
    <definedName name="_xlnm.Print_Area" localSheetId="0">ESA!$AA$184:$AN$219</definedName>
    <definedName name="_xlnm.Print_Area" localSheetId="6">ID!$A$1:$M$65</definedName>
    <definedName name="_xlnm.Print_Area" localSheetId="3">'Input Data Lux'!$A$87:$F$110</definedName>
    <definedName name="_xlnm.Print_Area" localSheetId="4">'Input Data Tachometer'!$V$1:$AJ$28</definedName>
    <definedName name="_xlnm.Print_Area" localSheetId="10">LH!$A$1:$J$72</definedName>
    <definedName name="_xlnm.Print_Area" localSheetId="1">LK!$A$1:$M$77</definedName>
    <definedName name="_xlnm.Print_Area" localSheetId="9">PENYELIA!$A$1:$K$67</definedName>
    <definedName name="_xlnm.Print_Area" localSheetId="7">SERTIFIKAT!$A$1:$F$33</definedName>
    <definedName name="_xlnm.Print_Area" localSheetId="8">UNCERT!$C$1:$Y$39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57" l="1"/>
  <c r="G37" i="57" l="1"/>
  <c r="G36" i="57"/>
  <c r="G35" i="57"/>
  <c r="G34" i="57"/>
  <c r="G33" i="57"/>
  <c r="I139" i="54"/>
  <c r="B139" i="54"/>
  <c r="E139" i="54" s="1"/>
  <c r="J110" i="54"/>
  <c r="C110" i="54"/>
  <c r="H197" i="54"/>
  <c r="H196" i="54"/>
  <c r="I111" i="54"/>
  <c r="Q123" i="54"/>
  <c r="O123" i="54"/>
  <c r="Q121" i="54"/>
  <c r="O121" i="54"/>
  <c r="N122" i="54"/>
  <c r="Q115" i="54"/>
  <c r="Q113" i="54"/>
  <c r="A122" i="54"/>
  <c r="A123" i="54"/>
  <c r="A124" i="54"/>
  <c r="A125" i="54"/>
  <c r="A126" i="54"/>
  <c r="A127" i="54"/>
  <c r="A128" i="54"/>
  <c r="A121" i="54"/>
  <c r="F197" i="54"/>
  <c r="A197" i="54"/>
  <c r="G197" i="54" s="1"/>
  <c r="B197" i="54"/>
  <c r="C197" i="54"/>
  <c r="D197" i="54"/>
  <c r="E197" i="54"/>
  <c r="B196" i="54"/>
  <c r="C196" i="54"/>
  <c r="D196" i="54"/>
  <c r="E196" i="54"/>
  <c r="F196" i="54"/>
  <c r="A196" i="54"/>
  <c r="G196" i="54" s="1"/>
  <c r="P122" i="54" l="1"/>
  <c r="D110" i="54" l="1"/>
  <c r="V15" i="52"/>
  <c r="V16" i="52"/>
  <c r="V17" i="52"/>
  <c r="V18" i="52"/>
  <c r="V19" i="52"/>
  <c r="V20" i="52"/>
  <c r="V21" i="52"/>
  <c r="V22" i="52"/>
  <c r="V23" i="52"/>
  <c r="V14" i="52"/>
  <c r="AE15" i="52"/>
  <c r="AE16" i="52"/>
  <c r="AE17" i="52"/>
  <c r="AE18" i="52"/>
  <c r="AE19" i="52"/>
  <c r="AE20" i="52"/>
  <c r="AE21" i="52"/>
  <c r="AE22" i="52"/>
  <c r="AE23" i="52"/>
  <c r="AE14" i="52"/>
  <c r="AG15" i="52"/>
  <c r="AH15" i="52"/>
  <c r="AI15" i="52"/>
  <c r="AJ15" i="52"/>
  <c r="AG16" i="52"/>
  <c r="AH16" i="52"/>
  <c r="AI16" i="52"/>
  <c r="AJ16" i="52"/>
  <c r="AG17" i="52"/>
  <c r="AH17" i="52"/>
  <c r="AI17" i="52"/>
  <c r="AJ17" i="52"/>
  <c r="AG18" i="52"/>
  <c r="AH18" i="52"/>
  <c r="AI18" i="52"/>
  <c r="AJ18" i="52"/>
  <c r="AG19" i="52"/>
  <c r="AH19" i="52"/>
  <c r="AI19" i="52"/>
  <c r="AJ19" i="52"/>
  <c r="AG20" i="52"/>
  <c r="AH20" i="52"/>
  <c r="AI20" i="52"/>
  <c r="AJ20" i="52"/>
  <c r="AG21" i="52"/>
  <c r="AH21" i="52"/>
  <c r="AI21" i="52"/>
  <c r="AJ21" i="52"/>
  <c r="AG22" i="52"/>
  <c r="AH22" i="52"/>
  <c r="AI22" i="52"/>
  <c r="AJ22" i="52"/>
  <c r="AG23" i="52"/>
  <c r="AH23" i="52"/>
  <c r="AI23" i="52"/>
  <c r="AJ23" i="52"/>
  <c r="AH14" i="52"/>
  <c r="AI14" i="52"/>
  <c r="AJ14" i="52"/>
  <c r="AG14" i="52"/>
  <c r="AH45" i="52"/>
  <c r="AI45" i="52"/>
  <c r="AF46" i="52"/>
  <c r="AF47" i="52"/>
  <c r="AG47" i="52"/>
  <c r="AF48" i="52"/>
  <c r="AG48" i="52"/>
  <c r="AH48" i="52"/>
  <c r="AI48" i="52"/>
  <c r="AF49" i="52"/>
  <c r="AG49" i="52"/>
  <c r="AH49" i="52"/>
  <c r="AI49" i="52"/>
  <c r="AF50" i="52"/>
  <c r="AG50" i="52"/>
  <c r="AH50" i="52"/>
  <c r="AI50" i="52"/>
  <c r="AF51" i="52"/>
  <c r="AG51" i="52"/>
  <c r="AH51" i="52"/>
  <c r="AI51" i="52"/>
  <c r="AF52" i="52"/>
  <c r="AG52" i="52"/>
  <c r="AH52" i="52"/>
  <c r="AI52" i="52"/>
  <c r="AF53" i="52"/>
  <c r="AG53" i="52"/>
  <c r="AH53" i="52"/>
  <c r="AI53" i="52"/>
  <c r="AF54" i="52"/>
  <c r="AG54" i="52"/>
  <c r="AH54" i="52"/>
  <c r="AI54" i="52"/>
  <c r="AF55" i="52"/>
  <c r="AG55" i="52"/>
  <c r="AH55" i="52"/>
  <c r="AI55" i="52"/>
  <c r="AF56" i="52"/>
  <c r="AG56" i="52"/>
  <c r="AH56" i="52"/>
  <c r="AI56" i="52"/>
  <c r="AF57" i="52"/>
  <c r="AG57" i="52"/>
  <c r="AH57" i="52"/>
  <c r="AI57" i="52"/>
  <c r="AE45" i="52"/>
  <c r="AE46" i="52"/>
  <c r="AE47" i="52"/>
  <c r="AE49" i="52"/>
  <c r="AE50" i="52"/>
  <c r="AE51" i="52"/>
  <c r="AE52" i="52"/>
  <c r="AE53" i="52"/>
  <c r="AE54" i="52"/>
  <c r="AE55" i="52"/>
  <c r="AE56" i="52"/>
  <c r="AE57" i="52"/>
  <c r="AE48" i="52"/>
  <c r="AA15" i="52"/>
  <c r="AA16" i="52"/>
  <c r="AA17" i="52"/>
  <c r="AA18" i="52"/>
  <c r="AA19" i="52"/>
  <c r="AA20" i="52"/>
  <c r="AA21" i="52"/>
  <c r="AA22" i="52"/>
  <c r="AA23" i="52"/>
  <c r="AA14" i="52"/>
  <c r="Z15" i="52"/>
  <c r="Z16" i="52"/>
  <c r="Z17" i="52"/>
  <c r="Z18" i="52"/>
  <c r="Z19" i="52"/>
  <c r="Z20" i="52"/>
  <c r="Z21" i="52"/>
  <c r="Z22" i="52"/>
  <c r="Z23" i="52"/>
  <c r="Z14" i="52"/>
  <c r="Y15" i="52"/>
  <c r="Y16" i="52"/>
  <c r="Y17" i="52"/>
  <c r="Y18" i="52"/>
  <c r="Y19" i="52"/>
  <c r="Y20" i="52"/>
  <c r="Y21" i="52"/>
  <c r="Y22" i="52"/>
  <c r="Y23" i="52"/>
  <c r="Y14" i="52"/>
  <c r="X23" i="52"/>
  <c r="X15" i="52"/>
  <c r="X16" i="52"/>
  <c r="X17" i="52"/>
  <c r="X18" i="52"/>
  <c r="X19" i="52"/>
  <c r="X20" i="52"/>
  <c r="X21" i="52"/>
  <c r="X22" i="52"/>
  <c r="X14" i="52"/>
  <c r="Y45" i="52"/>
  <c r="Z45" i="52"/>
  <c r="W46" i="52"/>
  <c r="W47" i="52"/>
  <c r="X47" i="52"/>
  <c r="W48" i="52"/>
  <c r="X48" i="52"/>
  <c r="Y48" i="52"/>
  <c r="Z48" i="52"/>
  <c r="W49" i="52"/>
  <c r="X49" i="52"/>
  <c r="Y49" i="52"/>
  <c r="Z49" i="52"/>
  <c r="W50" i="52"/>
  <c r="X50" i="52"/>
  <c r="Y50" i="52"/>
  <c r="Z50" i="52"/>
  <c r="W51" i="52"/>
  <c r="X51" i="52"/>
  <c r="Y51" i="52"/>
  <c r="Z51" i="52"/>
  <c r="W52" i="52"/>
  <c r="X52" i="52"/>
  <c r="Y52" i="52"/>
  <c r="Z52" i="52"/>
  <c r="W53" i="52"/>
  <c r="X53" i="52"/>
  <c r="Y53" i="52"/>
  <c r="Z53" i="52"/>
  <c r="W54" i="52"/>
  <c r="X54" i="52"/>
  <c r="Y54" i="52"/>
  <c r="Z54" i="52"/>
  <c r="W55" i="52"/>
  <c r="X55" i="52"/>
  <c r="Y55" i="52"/>
  <c r="Z55" i="52"/>
  <c r="W56" i="52"/>
  <c r="X56" i="52"/>
  <c r="Y56" i="52"/>
  <c r="Z56" i="52"/>
  <c r="W57" i="52"/>
  <c r="X57" i="52"/>
  <c r="Y57" i="52"/>
  <c r="Z57" i="52"/>
  <c r="V45" i="52"/>
  <c r="V46" i="52"/>
  <c r="V47" i="52"/>
  <c r="V49" i="52"/>
  <c r="V50" i="52"/>
  <c r="V51" i="52"/>
  <c r="V52" i="52"/>
  <c r="V53" i="52"/>
  <c r="V54" i="52"/>
  <c r="V55" i="52"/>
  <c r="V56" i="52"/>
  <c r="V57" i="52"/>
  <c r="V48" i="52"/>
  <c r="V13" i="52"/>
  <c r="P4" i="52"/>
  <c r="AF6" i="52" l="1"/>
  <c r="H16" i="58"/>
  <c r="N142" i="72"/>
  <c r="I145" i="72" s="1"/>
  <c r="N140" i="72"/>
  <c r="N139" i="72"/>
  <c r="N138" i="72"/>
  <c r="N137" i="72"/>
  <c r="I135" i="72" s="1"/>
  <c r="A165" i="72"/>
  <c r="B160" i="72" s="1"/>
  <c r="K177" i="72"/>
  <c r="J177" i="72"/>
  <c r="I177" i="72"/>
  <c r="K176" i="72"/>
  <c r="J176" i="72"/>
  <c r="I176" i="72"/>
  <c r="K175" i="72"/>
  <c r="J175" i="72"/>
  <c r="I175" i="72"/>
  <c r="K174" i="72"/>
  <c r="J174" i="72"/>
  <c r="I174" i="72"/>
  <c r="K173" i="72"/>
  <c r="J173" i="72"/>
  <c r="I173" i="72"/>
  <c r="K172" i="72"/>
  <c r="J172" i="72"/>
  <c r="I172" i="72"/>
  <c r="K171" i="72"/>
  <c r="J171" i="72"/>
  <c r="I171" i="72"/>
  <c r="K170" i="72"/>
  <c r="J170" i="72"/>
  <c r="I170" i="72"/>
  <c r="K169" i="72"/>
  <c r="J169" i="72"/>
  <c r="I169" i="72"/>
  <c r="K168" i="72"/>
  <c r="J168" i="72"/>
  <c r="I168" i="72"/>
  <c r="K167" i="72"/>
  <c r="J167" i="72"/>
  <c r="I167" i="72"/>
  <c r="K166" i="72"/>
  <c r="J166" i="72"/>
  <c r="I166" i="72"/>
  <c r="I143" i="72"/>
  <c r="V124" i="72"/>
  <c r="N124" i="72"/>
  <c r="F124" i="72"/>
  <c r="V123" i="72"/>
  <c r="N123" i="72"/>
  <c r="F123" i="72"/>
  <c r="V122" i="72"/>
  <c r="N122" i="72"/>
  <c r="F122" i="72"/>
  <c r="V121" i="72"/>
  <c r="N121" i="72"/>
  <c r="F121" i="72"/>
  <c r="U120" i="72"/>
  <c r="T120" i="72"/>
  <c r="S120" i="72"/>
  <c r="M120" i="72"/>
  <c r="L120" i="72"/>
  <c r="K120" i="72"/>
  <c r="E120" i="72"/>
  <c r="D120" i="72"/>
  <c r="C120" i="72"/>
  <c r="R119" i="72"/>
  <c r="V118" i="72"/>
  <c r="N118" i="72"/>
  <c r="F118" i="72"/>
  <c r="V117" i="72"/>
  <c r="N117" i="72"/>
  <c r="F117" i="72"/>
  <c r="V116" i="72"/>
  <c r="N116" i="72"/>
  <c r="F116" i="72"/>
  <c r="V115" i="72"/>
  <c r="N115" i="72"/>
  <c r="F115" i="72"/>
  <c r="U114" i="72"/>
  <c r="T114" i="72"/>
  <c r="S114" i="72"/>
  <c r="M114" i="72"/>
  <c r="L114" i="72"/>
  <c r="K114" i="72"/>
  <c r="V112" i="72"/>
  <c r="N112" i="72"/>
  <c r="F112" i="72"/>
  <c r="V111" i="72"/>
  <c r="N111" i="72"/>
  <c r="F111" i="72"/>
  <c r="V110" i="72"/>
  <c r="N110" i="72"/>
  <c r="F110" i="72"/>
  <c r="V109" i="72"/>
  <c r="N109" i="72"/>
  <c r="F109" i="72"/>
  <c r="V108" i="72"/>
  <c r="N108" i="72"/>
  <c r="F108" i="72"/>
  <c r="V107" i="72"/>
  <c r="N107" i="72"/>
  <c r="F107" i="72"/>
  <c r="U106" i="72"/>
  <c r="T106" i="72"/>
  <c r="S106" i="72"/>
  <c r="M106" i="72"/>
  <c r="L106" i="72"/>
  <c r="K106" i="72"/>
  <c r="E106" i="72"/>
  <c r="D106" i="72"/>
  <c r="C106" i="72"/>
  <c r="V104" i="72"/>
  <c r="N104" i="72"/>
  <c r="F104" i="72"/>
  <c r="V103" i="72"/>
  <c r="N103" i="72"/>
  <c r="F103" i="72"/>
  <c r="V102" i="72"/>
  <c r="N102" i="72"/>
  <c r="F102" i="72"/>
  <c r="V101" i="72"/>
  <c r="N101" i="72"/>
  <c r="F101" i="72"/>
  <c r="V100" i="72"/>
  <c r="N100" i="72"/>
  <c r="F100" i="72"/>
  <c r="V99" i="72"/>
  <c r="N99" i="72"/>
  <c r="F99" i="72"/>
  <c r="R95" i="72"/>
  <c r="J95" i="72"/>
  <c r="B95" i="72"/>
  <c r="V93" i="72"/>
  <c r="N93" i="72"/>
  <c r="F93" i="72"/>
  <c r="V92" i="72"/>
  <c r="O92" i="72"/>
  <c r="N92" i="72"/>
  <c r="F92" i="72"/>
  <c r="V91" i="72"/>
  <c r="N91" i="72"/>
  <c r="F91" i="72"/>
  <c r="X90" i="72"/>
  <c r="W92" i="72" s="1"/>
  <c r="V90" i="72"/>
  <c r="P90" i="72"/>
  <c r="O93" i="72" s="1"/>
  <c r="N90" i="72"/>
  <c r="H90" i="72"/>
  <c r="G93" i="72" s="1"/>
  <c r="F90" i="72"/>
  <c r="U89" i="72"/>
  <c r="T89" i="72"/>
  <c r="S89" i="72"/>
  <c r="M89" i="72"/>
  <c r="L89" i="72"/>
  <c r="K89" i="72"/>
  <c r="E89" i="72"/>
  <c r="D89" i="72"/>
  <c r="C89" i="72"/>
  <c r="R88" i="72"/>
  <c r="W87" i="72"/>
  <c r="V87" i="72"/>
  <c r="N87" i="72"/>
  <c r="F87" i="72"/>
  <c r="W86" i="72"/>
  <c r="V86" i="72"/>
  <c r="N86" i="72"/>
  <c r="F86" i="72"/>
  <c r="W85" i="72"/>
  <c r="V85" i="72"/>
  <c r="N85" i="72"/>
  <c r="F85" i="72"/>
  <c r="W84" i="72"/>
  <c r="V84" i="72"/>
  <c r="P84" i="72"/>
  <c r="O86" i="72" s="1"/>
  <c r="O84" i="72"/>
  <c r="N84" i="72"/>
  <c r="H84" i="72"/>
  <c r="F84" i="72"/>
  <c r="U83" i="72"/>
  <c r="T83" i="72"/>
  <c r="S83" i="72"/>
  <c r="M83" i="72"/>
  <c r="L83" i="72"/>
  <c r="K83" i="72"/>
  <c r="R82" i="72"/>
  <c r="V81" i="72"/>
  <c r="N81" i="72"/>
  <c r="F81" i="72"/>
  <c r="V80" i="72"/>
  <c r="N80" i="72"/>
  <c r="F80" i="72"/>
  <c r="V79" i="72"/>
  <c r="N79" i="72"/>
  <c r="F79" i="72"/>
  <c r="V78" i="72"/>
  <c r="N78" i="72"/>
  <c r="F78" i="72"/>
  <c r="V77" i="72"/>
  <c r="N77" i="72"/>
  <c r="F77" i="72"/>
  <c r="X76" i="72"/>
  <c r="W81" i="72" s="1"/>
  <c r="V76" i="72"/>
  <c r="P76" i="72"/>
  <c r="O80" i="72" s="1"/>
  <c r="N76" i="72"/>
  <c r="H76" i="72"/>
  <c r="G81" i="72" s="1"/>
  <c r="G76" i="72"/>
  <c r="F76" i="72"/>
  <c r="U75" i="72"/>
  <c r="T75" i="72"/>
  <c r="S75" i="72"/>
  <c r="M75" i="72"/>
  <c r="L75" i="72"/>
  <c r="K75" i="72"/>
  <c r="E75" i="72"/>
  <c r="E83" i="72" s="1"/>
  <c r="D75" i="72"/>
  <c r="D83" i="72" s="1"/>
  <c r="C75" i="72"/>
  <c r="C83" i="72" s="1"/>
  <c r="V73" i="72"/>
  <c r="N73" i="72"/>
  <c r="F73" i="72"/>
  <c r="V72" i="72"/>
  <c r="N72" i="72"/>
  <c r="F72" i="72"/>
  <c r="V71" i="72"/>
  <c r="N71" i="72"/>
  <c r="F71" i="72"/>
  <c r="V70" i="72"/>
  <c r="N70" i="72"/>
  <c r="F70" i="72"/>
  <c r="V69" i="72"/>
  <c r="N69" i="72"/>
  <c r="F69" i="72"/>
  <c r="X68" i="72"/>
  <c r="W72" i="72" s="1"/>
  <c r="V68" i="72"/>
  <c r="P68" i="72"/>
  <c r="O73" i="72" s="1"/>
  <c r="N68" i="72"/>
  <c r="H68" i="72"/>
  <c r="G71" i="72" s="1"/>
  <c r="F68" i="72"/>
  <c r="R64" i="72"/>
  <c r="J64" i="72"/>
  <c r="B64" i="72"/>
  <c r="V62" i="72"/>
  <c r="N62" i="72"/>
  <c r="F62" i="72"/>
  <c r="V61" i="72"/>
  <c r="N61" i="72"/>
  <c r="F61" i="72"/>
  <c r="V60" i="72"/>
  <c r="N60" i="72"/>
  <c r="F60" i="72"/>
  <c r="X59" i="72"/>
  <c r="V59" i="72"/>
  <c r="P59" i="72"/>
  <c r="O61" i="72" s="1"/>
  <c r="O59" i="72"/>
  <c r="N59" i="72"/>
  <c r="H59" i="72"/>
  <c r="G62" i="72" s="1"/>
  <c r="F59" i="72"/>
  <c r="U58" i="72"/>
  <c r="T58" i="72"/>
  <c r="S58" i="72"/>
  <c r="M58" i="72"/>
  <c r="L58" i="72"/>
  <c r="K58" i="72"/>
  <c r="E58" i="72"/>
  <c r="D58" i="72"/>
  <c r="C58" i="72"/>
  <c r="B57" i="72"/>
  <c r="J57" i="72" s="1"/>
  <c r="R57" i="72" s="1"/>
  <c r="V56" i="72"/>
  <c r="N56" i="72"/>
  <c r="F56" i="72"/>
  <c r="V55" i="72"/>
  <c r="N55" i="72"/>
  <c r="F55" i="72"/>
  <c r="V54" i="72"/>
  <c r="N54" i="72"/>
  <c r="F54" i="72"/>
  <c r="X53" i="72"/>
  <c r="W55" i="72" s="1"/>
  <c r="V53" i="72"/>
  <c r="P53" i="72"/>
  <c r="O56" i="72" s="1"/>
  <c r="N53" i="72"/>
  <c r="H53" i="72"/>
  <c r="G56" i="72" s="1"/>
  <c r="F53" i="72"/>
  <c r="U52" i="72"/>
  <c r="T52" i="72"/>
  <c r="S52" i="72"/>
  <c r="M52" i="72"/>
  <c r="L52" i="72"/>
  <c r="K52" i="72"/>
  <c r="E52" i="72"/>
  <c r="D52" i="72"/>
  <c r="C52" i="72"/>
  <c r="B51" i="72"/>
  <c r="J51" i="72" s="1"/>
  <c r="R51" i="72" s="1"/>
  <c r="W50" i="72"/>
  <c r="V50" i="72"/>
  <c r="F149" i="72" s="1"/>
  <c r="N50" i="72"/>
  <c r="F50" i="72"/>
  <c r="V49" i="72"/>
  <c r="N49" i="72"/>
  <c r="F49" i="72"/>
  <c r="V48" i="72"/>
  <c r="N48" i="72"/>
  <c r="F48" i="72"/>
  <c r="V47" i="72"/>
  <c r="N47" i="72"/>
  <c r="F47" i="72"/>
  <c r="V46" i="72"/>
  <c r="N46" i="72"/>
  <c r="F46" i="72"/>
  <c r="X45" i="72"/>
  <c r="W49" i="72" s="1"/>
  <c r="V45" i="72"/>
  <c r="P45" i="72"/>
  <c r="O50" i="72" s="1"/>
  <c r="N45" i="72"/>
  <c r="H45" i="72"/>
  <c r="G46" i="72" s="1"/>
  <c r="F45" i="72"/>
  <c r="U44" i="72"/>
  <c r="T44" i="72"/>
  <c r="S44" i="72"/>
  <c r="M44" i="72"/>
  <c r="L44" i="72"/>
  <c r="K44" i="72"/>
  <c r="E44" i="72"/>
  <c r="D44" i="72"/>
  <c r="C44" i="72"/>
  <c r="W42" i="72"/>
  <c r="V42" i="72"/>
  <c r="N42" i="72"/>
  <c r="F42" i="72"/>
  <c r="V41" i="72"/>
  <c r="N41" i="72"/>
  <c r="F41" i="72"/>
  <c r="V40" i="72"/>
  <c r="N40" i="72"/>
  <c r="F40" i="72"/>
  <c r="V39" i="72"/>
  <c r="O39" i="72"/>
  <c r="N39" i="72"/>
  <c r="F39" i="72"/>
  <c r="V38" i="72"/>
  <c r="N38" i="72"/>
  <c r="F38" i="72"/>
  <c r="X37" i="72"/>
  <c r="W41" i="72" s="1"/>
  <c r="W37" i="72"/>
  <c r="V37" i="72"/>
  <c r="P37" i="72"/>
  <c r="N37" i="72"/>
  <c r="H37" i="72"/>
  <c r="G38" i="72" s="1"/>
  <c r="F37" i="72"/>
  <c r="R33" i="72"/>
  <c r="J33" i="72"/>
  <c r="B33" i="72"/>
  <c r="V31" i="72"/>
  <c r="N31" i="72"/>
  <c r="F31" i="72"/>
  <c r="V30" i="72"/>
  <c r="N30" i="72"/>
  <c r="F30" i="72"/>
  <c r="V29" i="72"/>
  <c r="O29" i="72"/>
  <c r="N29" i="72"/>
  <c r="F29" i="72"/>
  <c r="X28" i="72"/>
  <c r="W30" i="72" s="1"/>
  <c r="V28" i="72"/>
  <c r="P28" i="72"/>
  <c r="O30" i="72" s="1"/>
  <c r="O28" i="72"/>
  <c r="N28" i="72"/>
  <c r="H28" i="72"/>
  <c r="G31" i="72" s="1"/>
  <c r="F28" i="72"/>
  <c r="U27" i="72"/>
  <c r="T27" i="72"/>
  <c r="S27" i="72"/>
  <c r="M27" i="72"/>
  <c r="L27" i="72"/>
  <c r="K27" i="72"/>
  <c r="E27" i="72"/>
  <c r="D27" i="72"/>
  <c r="C27" i="72"/>
  <c r="R26" i="72"/>
  <c r="J26" i="72"/>
  <c r="V25" i="72"/>
  <c r="N25" i="72"/>
  <c r="F25" i="72"/>
  <c r="V24" i="72"/>
  <c r="N24" i="72"/>
  <c r="F24" i="72"/>
  <c r="V23" i="72"/>
  <c r="N23" i="72"/>
  <c r="F23" i="72"/>
  <c r="X22" i="72"/>
  <c r="W24" i="72" s="1"/>
  <c r="V22" i="72"/>
  <c r="P22" i="72"/>
  <c r="O25" i="72" s="1"/>
  <c r="N22" i="72"/>
  <c r="F22" i="72"/>
  <c r="U21" i="72"/>
  <c r="T21" i="72"/>
  <c r="S21" i="72"/>
  <c r="M21" i="72"/>
  <c r="L21" i="72"/>
  <c r="K21" i="72"/>
  <c r="R20" i="72"/>
  <c r="J20" i="72"/>
  <c r="V19" i="72"/>
  <c r="N19" i="72"/>
  <c r="F19" i="72"/>
  <c r="V18" i="72"/>
  <c r="N18" i="72"/>
  <c r="F18" i="72"/>
  <c r="V17" i="72"/>
  <c r="N17" i="72"/>
  <c r="F17" i="72"/>
  <c r="V16" i="72"/>
  <c r="N16" i="72"/>
  <c r="F16" i="72"/>
  <c r="V15" i="72"/>
  <c r="N15" i="72"/>
  <c r="F15" i="72"/>
  <c r="X14" i="72"/>
  <c r="W18" i="72" s="1"/>
  <c r="V14" i="72"/>
  <c r="P14" i="72"/>
  <c r="O18" i="72" s="1"/>
  <c r="N14" i="72"/>
  <c r="H14" i="72"/>
  <c r="G19" i="72" s="1"/>
  <c r="F14" i="72"/>
  <c r="U13" i="72"/>
  <c r="T13" i="72"/>
  <c r="S13" i="72"/>
  <c r="M13" i="72"/>
  <c r="L13" i="72"/>
  <c r="K13" i="72"/>
  <c r="E13" i="72"/>
  <c r="D13" i="72"/>
  <c r="C13" i="72"/>
  <c r="V11" i="72"/>
  <c r="N11" i="72"/>
  <c r="F11" i="72"/>
  <c r="V10" i="72"/>
  <c r="N10" i="72"/>
  <c r="F10" i="72"/>
  <c r="V9" i="72"/>
  <c r="N9" i="72"/>
  <c r="F9" i="72"/>
  <c r="V8" i="72"/>
  <c r="N8" i="72"/>
  <c r="F8" i="72"/>
  <c r="V7" i="72"/>
  <c r="N7" i="72"/>
  <c r="F7" i="72"/>
  <c r="X6" i="72"/>
  <c r="W10" i="72" s="1"/>
  <c r="V6" i="72"/>
  <c r="P6" i="72"/>
  <c r="O10" i="72" s="1"/>
  <c r="N6" i="72"/>
  <c r="H6" i="72"/>
  <c r="G11" i="72" s="1"/>
  <c r="G6" i="72"/>
  <c r="F6" i="72"/>
  <c r="R2" i="72"/>
  <c r="J2" i="72"/>
  <c r="B2" i="72"/>
  <c r="B103" i="53"/>
  <c r="C103" i="53"/>
  <c r="A103" i="53"/>
  <c r="C153" i="72" l="1"/>
  <c r="W54" i="72"/>
  <c r="O70" i="72"/>
  <c r="G10" i="72"/>
  <c r="G18" i="72"/>
  <c r="O47" i="72"/>
  <c r="W91" i="72"/>
  <c r="W93" i="72"/>
  <c r="G8" i="72"/>
  <c r="W38" i="72"/>
  <c r="G91" i="72"/>
  <c r="O14" i="72"/>
  <c r="W22" i="72"/>
  <c r="O23" i="72"/>
  <c r="G28" i="72"/>
  <c r="G30" i="72"/>
  <c r="O55" i="72"/>
  <c r="O72" i="72"/>
  <c r="C145" i="72"/>
  <c r="E147" i="72"/>
  <c r="W71" i="72"/>
  <c r="O62" i="72"/>
  <c r="W77" i="72"/>
  <c r="O7" i="72"/>
  <c r="B157" i="72"/>
  <c r="O9" i="72"/>
  <c r="W25" i="72"/>
  <c r="G48" i="72"/>
  <c r="O17" i="72"/>
  <c r="W69" i="72"/>
  <c r="O15" i="72"/>
  <c r="O60" i="72"/>
  <c r="D159" i="72"/>
  <c r="W40" i="72"/>
  <c r="W48" i="72"/>
  <c r="C139" i="72"/>
  <c r="O11" i="72"/>
  <c r="G14" i="72"/>
  <c r="G16" i="72"/>
  <c r="O24" i="72"/>
  <c r="W53" i="72"/>
  <c r="G61" i="72"/>
  <c r="D140" i="72"/>
  <c r="E136" i="72"/>
  <c r="D161" i="72"/>
  <c r="O31" i="72"/>
  <c r="O19" i="72"/>
  <c r="O22" i="72"/>
  <c r="W46" i="72"/>
  <c r="O49" i="72"/>
  <c r="W56" i="72"/>
  <c r="O6" i="72"/>
  <c r="W76" i="72"/>
  <c r="W79" i="72"/>
  <c r="B143" i="72"/>
  <c r="B134" i="72"/>
  <c r="G150" i="72"/>
  <c r="G42" i="72"/>
  <c r="G87" i="72"/>
  <c r="G85" i="72"/>
  <c r="G84" i="72"/>
  <c r="G86" i="72"/>
  <c r="I141" i="72"/>
  <c r="G7" i="72"/>
  <c r="W7" i="72"/>
  <c r="O8" i="72"/>
  <c r="G9" i="72"/>
  <c r="W9" i="72"/>
  <c r="W11" i="72"/>
  <c r="G15" i="72"/>
  <c r="W15" i="72"/>
  <c r="O16" i="72"/>
  <c r="G17" i="72"/>
  <c r="W17" i="72"/>
  <c r="W19" i="72"/>
  <c r="W23" i="72"/>
  <c r="G29" i="72"/>
  <c r="W29" i="72"/>
  <c r="W31" i="72"/>
  <c r="O42" i="72"/>
  <c r="O40" i="72"/>
  <c r="O38" i="72"/>
  <c r="O37" i="72"/>
  <c r="O41" i="72"/>
  <c r="W59" i="72"/>
  <c r="W62" i="72"/>
  <c r="G161" i="72" s="1"/>
  <c r="W60" i="72"/>
  <c r="G69" i="72"/>
  <c r="G90" i="72"/>
  <c r="G92" i="72"/>
  <c r="C135" i="72"/>
  <c r="C137" i="72"/>
  <c r="D138" i="72"/>
  <c r="C141" i="72"/>
  <c r="G142" i="72"/>
  <c r="B144" i="72"/>
  <c r="C146" i="72"/>
  <c r="D148" i="72"/>
  <c r="E151" i="72"/>
  <c r="E154" i="72"/>
  <c r="B158" i="72"/>
  <c r="F160" i="72"/>
  <c r="W6" i="72"/>
  <c r="W14" i="72"/>
  <c r="W28" i="72"/>
  <c r="G37" i="72"/>
  <c r="G45" i="72"/>
  <c r="G49" i="72"/>
  <c r="G47" i="72"/>
  <c r="G50" i="72"/>
  <c r="W61" i="72"/>
  <c r="G160" i="72" s="1"/>
  <c r="P138" i="72"/>
  <c r="H24" i="57" s="1"/>
  <c r="I137" i="72"/>
  <c r="G141" i="72"/>
  <c r="F144" i="72"/>
  <c r="B149" i="72"/>
  <c r="E152" i="72"/>
  <c r="C155" i="72"/>
  <c r="F158" i="72"/>
  <c r="W8" i="72"/>
  <c r="W16" i="72"/>
  <c r="G41" i="72"/>
  <c r="G39" i="72"/>
  <c r="G40" i="72"/>
  <c r="G68" i="72"/>
  <c r="G72" i="72"/>
  <c r="G70" i="72"/>
  <c r="G73" i="72"/>
  <c r="C161" i="72"/>
  <c r="E160" i="72"/>
  <c r="C159" i="72"/>
  <c r="E158" i="72"/>
  <c r="E157" i="72"/>
  <c r="G156" i="72"/>
  <c r="F155" i="72"/>
  <c r="B155" i="72"/>
  <c r="D154" i="72"/>
  <c r="F153" i="72"/>
  <c r="B153" i="72"/>
  <c r="D152" i="72"/>
  <c r="D151" i="72"/>
  <c r="F150" i="72"/>
  <c r="E149" i="72"/>
  <c r="G148" i="72"/>
  <c r="C148" i="72"/>
  <c r="D147" i="72"/>
  <c r="F146" i="72"/>
  <c r="B146" i="72"/>
  <c r="F145" i="72"/>
  <c r="B145" i="72"/>
  <c r="E144" i="72"/>
  <c r="E143" i="72"/>
  <c r="F142" i="72"/>
  <c r="F141" i="72"/>
  <c r="B141" i="72"/>
  <c r="G140" i="72"/>
  <c r="C140" i="72"/>
  <c r="F139" i="72"/>
  <c r="B139" i="72"/>
  <c r="C138" i="72"/>
  <c r="F137" i="72"/>
  <c r="B137" i="72"/>
  <c r="D136" i="72"/>
  <c r="B135" i="72"/>
  <c r="B133" i="72"/>
  <c r="A178" i="72"/>
  <c r="N165" i="72" s="1"/>
  <c r="O178" i="72" s="1"/>
  <c r="F161" i="72"/>
  <c r="B161" i="72"/>
  <c r="D160" i="72"/>
  <c r="F159" i="72"/>
  <c r="B159" i="72"/>
  <c r="D158" i="72"/>
  <c r="D157" i="72"/>
  <c r="F156" i="72"/>
  <c r="E155" i="72"/>
  <c r="G154" i="72"/>
  <c r="C154" i="72"/>
  <c r="E153" i="72"/>
  <c r="G152" i="72"/>
  <c r="C152" i="72"/>
  <c r="C151" i="72"/>
  <c r="B150" i="72"/>
  <c r="D149" i="72"/>
  <c r="F148" i="72"/>
  <c r="B148" i="72"/>
  <c r="C147" i="72"/>
  <c r="E146" i="72"/>
  <c r="E145" i="72"/>
  <c r="D144" i="72"/>
  <c r="D143" i="72"/>
  <c r="B142" i="72"/>
  <c r="E141" i="72"/>
  <c r="F140" i="72"/>
  <c r="B140" i="72"/>
  <c r="E139" i="72"/>
  <c r="F138" i="72"/>
  <c r="B138" i="72"/>
  <c r="E137" i="72"/>
  <c r="G136" i="72"/>
  <c r="C136" i="72"/>
  <c r="E135" i="72"/>
  <c r="G134" i="72"/>
  <c r="B132" i="72"/>
  <c r="E161" i="72"/>
  <c r="C160" i="72"/>
  <c r="E159" i="72"/>
  <c r="C158" i="72"/>
  <c r="C157" i="72"/>
  <c r="B156" i="72"/>
  <c r="D155" i="72"/>
  <c r="F154" i="72"/>
  <c r="B154" i="72"/>
  <c r="D153" i="72"/>
  <c r="F152" i="72"/>
  <c r="B152" i="72"/>
  <c r="B151" i="72"/>
  <c r="G149" i="72"/>
  <c r="C149" i="72"/>
  <c r="E148" i="72"/>
  <c r="F147" i="72"/>
  <c r="B147" i="72"/>
  <c r="D146" i="72"/>
  <c r="D145" i="72"/>
  <c r="C144" i="72"/>
  <c r="C143" i="72"/>
  <c r="D141" i="72"/>
  <c r="E140" i="72"/>
  <c r="D139" i="72"/>
  <c r="E138" i="72"/>
  <c r="D137" i="72"/>
  <c r="F136" i="72"/>
  <c r="B136" i="72"/>
  <c r="D135" i="72"/>
  <c r="F134" i="72"/>
  <c r="A132" i="72"/>
  <c r="W45" i="72"/>
  <c r="G144" i="72" s="1"/>
  <c r="O53" i="72"/>
  <c r="O54" i="72"/>
  <c r="G55" i="72"/>
  <c r="G59" i="72"/>
  <c r="W68" i="72"/>
  <c r="O76" i="72"/>
  <c r="O77" i="72"/>
  <c r="G145" i="72" s="1"/>
  <c r="G78" i="72"/>
  <c r="W78" i="72"/>
  <c r="O79" i="72"/>
  <c r="G147" i="72" s="1"/>
  <c r="G80" i="72"/>
  <c r="W80" i="72"/>
  <c r="O81" i="72"/>
  <c r="O85" i="72"/>
  <c r="G153" i="72" s="1"/>
  <c r="O87" i="72"/>
  <c r="W90" i="72"/>
  <c r="I139" i="72"/>
  <c r="W39" i="72"/>
  <c r="G138" i="72" s="1"/>
  <c r="O45" i="72"/>
  <c r="O46" i="72"/>
  <c r="W47" i="72"/>
  <c r="O48" i="72"/>
  <c r="G53" i="72"/>
  <c r="G60" i="72"/>
  <c r="O68" i="72"/>
  <c r="O69" i="72"/>
  <c r="G137" i="72" s="1"/>
  <c r="W70" i="72"/>
  <c r="O71" i="72"/>
  <c r="G139" i="72" s="1"/>
  <c r="O90" i="72"/>
  <c r="G158" i="72" s="1"/>
  <c r="O91" i="72"/>
  <c r="G159" i="72" s="1"/>
  <c r="G54" i="72"/>
  <c r="G77" i="72"/>
  <c r="O78" i="72"/>
  <c r="G146" i="72" s="1"/>
  <c r="G79" i="72"/>
  <c r="B45" i="71"/>
  <c r="B46" i="71" s="1"/>
  <c r="B43" i="71"/>
  <c r="A17" i="71"/>
  <c r="D4" i="71"/>
  <c r="D23" i="71" s="1"/>
  <c r="A3" i="71"/>
  <c r="F6" i="71" s="1"/>
  <c r="E26" i="71"/>
  <c r="D12" i="71"/>
  <c r="F11" i="71"/>
  <c r="D11" i="71"/>
  <c r="G155" i="72" l="1"/>
  <c r="K145" i="72"/>
  <c r="O142" i="72" s="1"/>
  <c r="P142" i="72" s="1"/>
  <c r="K135" i="72"/>
  <c r="O137" i="72" s="1"/>
  <c r="P137" i="72" s="1"/>
  <c r="N143" i="72" s="1"/>
  <c r="E16" i="58" s="1"/>
  <c r="K143" i="72"/>
  <c r="O141" i="72" s="1"/>
  <c r="P141" i="72" s="1"/>
  <c r="K141" i="72"/>
  <c r="O140" i="72" s="1"/>
  <c r="P140" i="72" s="1"/>
  <c r="H26" i="57" s="1"/>
  <c r="K137" i="72"/>
  <c r="O138" i="72" s="1"/>
  <c r="K139" i="72"/>
  <c r="O139" i="72" s="1"/>
  <c r="P139" i="72" s="1"/>
  <c r="H25" i="57" s="1"/>
  <c r="B50" i="71"/>
  <c r="O147" i="72" l="1"/>
  <c r="O143" i="72"/>
  <c r="A21" i="71"/>
  <c r="A20" i="71"/>
  <c r="A19" i="71"/>
  <c r="A22" i="71"/>
  <c r="N144" i="72" l="1"/>
  <c r="G16" i="58"/>
  <c r="N147" i="72" l="1"/>
  <c r="P147" i="72" s="1"/>
  <c r="E16" i="57"/>
  <c r="H15" i="58"/>
  <c r="F15" i="58"/>
  <c r="F16" i="58" s="1"/>
  <c r="H14" i="58"/>
  <c r="F14" i="58"/>
  <c r="J24" i="57" l="1"/>
  <c r="Y24" i="57" l="1"/>
  <c r="P220" i="67" l="1"/>
  <c r="P204" i="67"/>
  <c r="P203" i="67"/>
  <c r="P9" i="57" l="1"/>
  <c r="N7" i="57" l="1"/>
  <c r="K37" i="23" l="1"/>
  <c r="K36" i="23"/>
  <c r="A139" i="54" s="1"/>
  <c r="E8" i="58" l="1"/>
  <c r="D19" i="71" s="1"/>
  <c r="B54" i="71" s="1"/>
  <c r="B55" i="71" s="1"/>
  <c r="E7" i="58"/>
  <c r="D18" i="71" s="1"/>
  <c r="A8" i="58"/>
  <c r="E7" i="57"/>
  <c r="A7" i="57"/>
  <c r="A7" i="58"/>
  <c r="E8" i="57"/>
  <c r="J146" i="54"/>
  <c r="J145" i="54"/>
  <c r="J150" i="54"/>
  <c r="J151" i="54"/>
  <c r="B59" i="71" l="1"/>
  <c r="B58" i="71"/>
  <c r="B57" i="71" s="1"/>
  <c r="A115" i="51"/>
  <c r="A128" i="51" s="1"/>
  <c r="H115" i="51" s="1"/>
  <c r="H128" i="51" s="1"/>
  <c r="B43" i="23" s="1"/>
  <c r="D32" i="23"/>
  <c r="K35" i="23" l="1"/>
  <c r="M37" i="23"/>
  <c r="M36" i="23"/>
  <c r="T32" i="36"/>
  <c r="T31" i="36"/>
  <c r="T30" i="36"/>
  <c r="T7" i="36"/>
  <c r="T6" i="36"/>
  <c r="T5" i="36"/>
  <c r="T20" i="36"/>
  <c r="T19" i="36"/>
  <c r="T18" i="36"/>
  <c r="H32" i="36"/>
  <c r="H31" i="36"/>
  <c r="H30" i="36"/>
  <c r="H20" i="36"/>
  <c r="H19" i="36"/>
  <c r="H18" i="36"/>
  <c r="H6" i="36"/>
  <c r="A33" i="54"/>
  <c r="A32" i="54"/>
  <c r="B31" i="54" l="1"/>
  <c r="C116" i="53"/>
  <c r="J124" i="53"/>
  <c r="J125" i="53"/>
  <c r="J126" i="53"/>
  <c r="J127" i="53"/>
  <c r="J128" i="53"/>
  <c r="J129" i="53"/>
  <c r="J130" i="53"/>
  <c r="J131" i="53"/>
  <c r="J132" i="53"/>
  <c r="J133" i="53"/>
  <c r="J134" i="53"/>
  <c r="J135" i="53"/>
  <c r="J136" i="53"/>
  <c r="J137" i="53"/>
  <c r="J138" i="53"/>
  <c r="J139" i="53"/>
  <c r="J140" i="53"/>
  <c r="J141" i="53"/>
  <c r="J142" i="53"/>
  <c r="J123" i="53"/>
  <c r="A101" i="53"/>
  <c r="K123" i="53" l="1"/>
  <c r="P76" i="51" l="1"/>
  <c r="J76" i="51"/>
  <c r="D76" i="51"/>
  <c r="P75" i="51"/>
  <c r="J75" i="51"/>
  <c r="D75" i="51"/>
  <c r="P74" i="51"/>
  <c r="J74" i="51"/>
  <c r="D74" i="51"/>
  <c r="P73" i="51"/>
  <c r="J73" i="51"/>
  <c r="D73" i="51"/>
  <c r="P72" i="51"/>
  <c r="J72" i="51"/>
  <c r="D72" i="51"/>
  <c r="P71" i="51"/>
  <c r="J71" i="51"/>
  <c r="D71" i="51"/>
  <c r="P70" i="51"/>
  <c r="J70" i="51"/>
  <c r="D70" i="51"/>
  <c r="P69" i="51"/>
  <c r="J69" i="51"/>
  <c r="D69" i="51"/>
  <c r="P68" i="51"/>
  <c r="J68" i="51"/>
  <c r="D68" i="51"/>
  <c r="P67" i="51"/>
  <c r="J67" i="51"/>
  <c r="D67" i="51"/>
  <c r="P66" i="51"/>
  <c r="J66" i="51"/>
  <c r="D66" i="51"/>
  <c r="P65" i="51"/>
  <c r="J65" i="51"/>
  <c r="D65" i="51"/>
  <c r="P64" i="51"/>
  <c r="J64" i="51"/>
  <c r="D64" i="51"/>
  <c r="P63" i="51"/>
  <c r="J63" i="51"/>
  <c r="D63" i="51"/>
  <c r="A87" i="51"/>
  <c r="P58" i="51"/>
  <c r="P57" i="51"/>
  <c r="P56" i="51"/>
  <c r="P55" i="51"/>
  <c r="P54" i="51"/>
  <c r="P53" i="51"/>
  <c r="P52" i="51"/>
  <c r="P51" i="51"/>
  <c r="P50" i="51"/>
  <c r="P49" i="51"/>
  <c r="P48" i="51"/>
  <c r="P47" i="51"/>
  <c r="P46" i="51"/>
  <c r="P45" i="51"/>
  <c r="J58" i="51"/>
  <c r="J57" i="51"/>
  <c r="J56" i="51"/>
  <c r="J55" i="51"/>
  <c r="J54" i="51"/>
  <c r="J53" i="51"/>
  <c r="J52" i="51"/>
  <c r="J51" i="51"/>
  <c r="J50" i="51"/>
  <c r="J49" i="51"/>
  <c r="J48" i="51"/>
  <c r="J47" i="51"/>
  <c r="J46" i="51"/>
  <c r="J45" i="51"/>
  <c r="D81" i="51"/>
  <c r="B101" i="51" l="1"/>
  <c r="E92" i="51"/>
  <c r="E98" i="51"/>
  <c r="E104" i="51"/>
  <c r="C93" i="51"/>
  <c r="C97" i="51"/>
  <c r="C101" i="51"/>
  <c r="A89" i="51"/>
  <c r="E90" i="51"/>
  <c r="B92" i="51"/>
  <c r="B104" i="51"/>
  <c r="C92" i="51"/>
  <c r="B93" i="51"/>
  <c r="A90" i="51"/>
  <c r="A94" i="51"/>
  <c r="A98" i="51"/>
  <c r="A102" i="51"/>
  <c r="B88" i="51"/>
  <c r="A88" i="51"/>
  <c r="C90" i="51"/>
  <c r="C94" i="51"/>
  <c r="C102" i="51"/>
  <c r="E94" i="51"/>
  <c r="A91" i="51"/>
  <c r="A95" i="51"/>
  <c r="A99" i="51"/>
  <c r="A103" i="51"/>
  <c r="B103" i="51"/>
  <c r="A104" i="51"/>
  <c r="E93" i="51"/>
  <c r="E99" i="51"/>
  <c r="B90" i="51"/>
  <c r="B94" i="51"/>
  <c r="B98" i="51"/>
  <c r="B102" i="51"/>
  <c r="C98" i="51"/>
  <c r="E100" i="51"/>
  <c r="B91" i="51"/>
  <c r="B95" i="51"/>
  <c r="B99" i="51"/>
  <c r="A92" i="51"/>
  <c r="B97" i="51"/>
  <c r="B89" i="51"/>
  <c r="A100" i="51"/>
  <c r="C96" i="51"/>
  <c r="C104" i="51"/>
  <c r="E103" i="51"/>
  <c r="C89" i="51"/>
  <c r="A96" i="51"/>
  <c r="E95" i="51"/>
  <c r="E101" i="51"/>
  <c r="C91" i="51"/>
  <c r="C95" i="51"/>
  <c r="C99" i="51"/>
  <c r="C103" i="51"/>
  <c r="E96" i="51"/>
  <c r="E102" i="51"/>
  <c r="B96" i="51"/>
  <c r="B100" i="51"/>
  <c r="C100" i="51"/>
  <c r="E91" i="51"/>
  <c r="E97" i="51"/>
  <c r="A93" i="51"/>
  <c r="A97" i="51"/>
  <c r="A101" i="51"/>
  <c r="D104" i="51"/>
  <c r="D97" i="52"/>
  <c r="D83" i="52"/>
  <c r="D69" i="52"/>
  <c r="D55" i="52"/>
  <c r="D41" i="52"/>
  <c r="D27" i="52"/>
  <c r="D13" i="52"/>
  <c r="H81" i="51" l="1"/>
  <c r="H82" i="51"/>
  <c r="G82" i="51"/>
  <c r="G81" i="51"/>
  <c r="G19" i="36"/>
  <c r="G17" i="36"/>
  <c r="G5" i="36" l="1"/>
  <c r="K34" i="23" l="1"/>
  <c r="B33" i="54"/>
  <c r="B32" i="54"/>
  <c r="C31" i="54" l="1"/>
  <c r="M72" i="54"/>
  <c r="A91" i="54"/>
  <c r="K111" i="54"/>
  <c r="H136" i="54"/>
  <c r="B110" i="54"/>
  <c r="A136" i="54"/>
  <c r="A72" i="54"/>
  <c r="A118" i="54"/>
  <c r="N111" i="54" l="1"/>
  <c r="B177" i="54"/>
  <c r="B121" i="54" s="1"/>
  <c r="I121" i="54" s="1"/>
  <c r="B178" i="54"/>
  <c r="B122" i="54" s="1"/>
  <c r="I122" i="54" s="1"/>
  <c r="B179" i="54"/>
  <c r="B123" i="54" s="1"/>
  <c r="I123" i="54" s="1"/>
  <c r="B180" i="54"/>
  <c r="B124" i="54" s="1"/>
  <c r="I124" i="54" s="1"/>
  <c r="B181" i="54"/>
  <c r="B125" i="54" s="1"/>
  <c r="I125" i="54" s="1"/>
  <c r="B182" i="54"/>
  <c r="B126" i="54" s="1"/>
  <c r="I126" i="54" s="1"/>
  <c r="B183" i="54"/>
  <c r="B127" i="54" s="1"/>
  <c r="I127" i="54" s="1"/>
  <c r="B184" i="54"/>
  <c r="B128" i="54" s="1"/>
  <c r="I128" i="54" s="1"/>
  <c r="A177" i="54"/>
  <c r="A181" i="54"/>
  <c r="H125" i="54" s="1"/>
  <c r="A176" i="54"/>
  <c r="A120" i="54" s="1"/>
  <c r="H120" i="54" s="1"/>
  <c r="C177" i="54"/>
  <c r="C121" i="54" s="1"/>
  <c r="J121" i="54" s="1"/>
  <c r="C178" i="54"/>
  <c r="C122" i="54" s="1"/>
  <c r="J122" i="54" s="1"/>
  <c r="C179" i="54"/>
  <c r="C123" i="54" s="1"/>
  <c r="J123" i="54" s="1"/>
  <c r="C180" i="54"/>
  <c r="C124" i="54" s="1"/>
  <c r="J124" i="54" s="1"/>
  <c r="C181" i="54"/>
  <c r="C125" i="54" s="1"/>
  <c r="J125" i="54" s="1"/>
  <c r="C182" i="54"/>
  <c r="C126" i="54" s="1"/>
  <c r="J126" i="54" s="1"/>
  <c r="C183" i="54"/>
  <c r="C127" i="54" s="1"/>
  <c r="J127" i="54" s="1"/>
  <c r="C184" i="54"/>
  <c r="C128" i="54" s="1"/>
  <c r="J128" i="54" s="1"/>
  <c r="A178" i="54"/>
  <c r="H122" i="54" s="1"/>
  <c r="A182" i="54"/>
  <c r="H126" i="54" s="1"/>
  <c r="A174" i="54"/>
  <c r="C176" i="54"/>
  <c r="C120" i="54" s="1"/>
  <c r="J120" i="54" s="1"/>
  <c r="E178" i="54"/>
  <c r="E122" i="54" s="1"/>
  <c r="L122" i="54" s="1"/>
  <c r="E180" i="54"/>
  <c r="E124" i="54" s="1"/>
  <c r="L124" i="54" s="1"/>
  <c r="E182" i="54"/>
  <c r="E126" i="54" s="1"/>
  <c r="L126" i="54" s="1"/>
  <c r="E184" i="54"/>
  <c r="E128" i="54" s="1"/>
  <c r="L128" i="54" s="1"/>
  <c r="A184" i="54"/>
  <c r="H128" i="54" s="1"/>
  <c r="E177" i="54"/>
  <c r="E121" i="54" s="1"/>
  <c r="L121" i="54" s="1"/>
  <c r="E181" i="54"/>
  <c r="E125" i="54" s="1"/>
  <c r="L125" i="54" s="1"/>
  <c r="A180" i="54"/>
  <c r="H124" i="54" s="1"/>
  <c r="D177" i="54"/>
  <c r="D121" i="54" s="1"/>
  <c r="K121" i="54" s="1"/>
  <c r="A179" i="54"/>
  <c r="H123" i="54" s="1"/>
  <c r="E179" i="54"/>
  <c r="E123" i="54" s="1"/>
  <c r="L123" i="54" s="1"/>
  <c r="E183" i="54"/>
  <c r="E127" i="54" s="1"/>
  <c r="L127" i="54" s="1"/>
  <c r="B176" i="54"/>
  <c r="B120" i="54" s="1"/>
  <c r="I120" i="54" s="1"/>
  <c r="A183" i="54"/>
  <c r="H127" i="54" s="1"/>
  <c r="K130" i="54"/>
  <c r="K131" i="54"/>
  <c r="H131" i="54"/>
  <c r="L131" i="54"/>
  <c r="L130" i="54"/>
  <c r="K132" i="54"/>
  <c r="J131" i="54"/>
  <c r="H133" i="54"/>
  <c r="K133" i="54"/>
  <c r="I132" i="54"/>
  <c r="L133" i="54"/>
  <c r="J132" i="54"/>
  <c r="H118" i="54"/>
  <c r="L166" i="54"/>
  <c r="F27" i="36" s="1"/>
  <c r="I130" i="54"/>
  <c r="J133" i="54"/>
  <c r="I133" i="54"/>
  <c r="H130" i="54"/>
  <c r="J130" i="54"/>
  <c r="I131" i="54"/>
  <c r="L132" i="54"/>
  <c r="J147" i="54"/>
  <c r="J148" i="54"/>
  <c r="J149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V32" i="52"/>
  <c r="AE33" i="52"/>
  <c r="AG33" i="52"/>
  <c r="AE34" i="52"/>
  <c r="AG34" i="52"/>
  <c r="AE35" i="52"/>
  <c r="AG35" i="52"/>
  <c r="AE36" i="52"/>
  <c r="AG36" i="52"/>
  <c r="AE37" i="52"/>
  <c r="AG37" i="52"/>
  <c r="AE38" i="52"/>
  <c r="AG38" i="52"/>
  <c r="AE39" i="52"/>
  <c r="AG39" i="52"/>
  <c r="AE40" i="52"/>
  <c r="AG40" i="52"/>
  <c r="AE41" i="52"/>
  <c r="AG41" i="52"/>
  <c r="AE42" i="52"/>
  <c r="AG42" i="52"/>
  <c r="AH13" i="52"/>
  <c r="AG13" i="52"/>
  <c r="AE13" i="52"/>
  <c r="AE11" i="52"/>
  <c r="AH5" i="52"/>
  <c r="Y5" i="52"/>
  <c r="V28" i="52"/>
  <c r="O115" i="54" l="1"/>
  <c r="O113" i="54"/>
  <c r="Q116" i="54"/>
  <c r="Q110" i="54"/>
  <c r="O116" i="54"/>
  <c r="O112" i="54"/>
  <c r="Q118" i="54"/>
  <c r="O110" i="54"/>
  <c r="O118" i="54"/>
  <c r="Q112" i="54"/>
  <c r="H121" i="54"/>
  <c r="F30" i="36"/>
  <c r="Q27" i="36"/>
  <c r="R30" i="36" s="1"/>
  <c r="H132" i="54"/>
  <c r="K145" i="54"/>
  <c r="AF35" i="52"/>
  <c r="AF33" i="52"/>
  <c r="B44" i="23" s="1"/>
  <c r="P111" i="54" l="1"/>
  <c r="B111" i="54" s="1"/>
  <c r="A145" i="53"/>
  <c r="A144" i="53"/>
  <c r="A166" i="54"/>
  <c r="B45" i="23" s="1"/>
  <c r="A167" i="54"/>
  <c r="B46" i="23" s="1"/>
  <c r="Y13" i="52"/>
  <c r="X13" i="52"/>
  <c r="V11" i="52"/>
  <c r="W5" i="52"/>
  <c r="N114" i="54" l="1"/>
  <c r="W6" i="52"/>
  <c r="W28" i="52" s="1"/>
  <c r="Q14" i="36"/>
  <c r="R18" i="36" s="1"/>
  <c r="N117" i="54" l="1"/>
  <c r="P117" i="54" s="1"/>
  <c r="B113" i="54" s="1"/>
  <c r="P114" i="54"/>
  <c r="B112" i="54" s="1"/>
  <c r="Z28" i="52"/>
  <c r="AF34" i="23"/>
  <c r="L34" i="23" s="1"/>
  <c r="F34" i="57" s="1"/>
  <c r="X6" i="52"/>
  <c r="W7" i="52" s="1"/>
  <c r="E15" i="36"/>
  <c r="F18" i="36" s="1"/>
  <c r="Q2" i="36"/>
  <c r="W8" i="52" l="1"/>
  <c r="F20" i="36" s="1"/>
  <c r="I20" i="36" s="1"/>
  <c r="K20" i="36" s="1"/>
  <c r="M20" i="36" s="1"/>
  <c r="X34" i="57"/>
  <c r="P96" i="52"/>
  <c r="P95" i="52"/>
  <c r="P94" i="52"/>
  <c r="P93" i="52"/>
  <c r="P92" i="52"/>
  <c r="P91" i="52"/>
  <c r="P90" i="52"/>
  <c r="P89" i="52"/>
  <c r="P88" i="52"/>
  <c r="P82" i="52"/>
  <c r="P81" i="52"/>
  <c r="P80" i="52"/>
  <c r="P79" i="52"/>
  <c r="P78" i="52"/>
  <c r="P77" i="52"/>
  <c r="P76" i="52"/>
  <c r="P75" i="52"/>
  <c r="P74" i="52"/>
  <c r="P68" i="52"/>
  <c r="P67" i="52"/>
  <c r="P66" i="52"/>
  <c r="P65" i="52"/>
  <c r="P64" i="52"/>
  <c r="P63" i="52"/>
  <c r="P62" i="52"/>
  <c r="P61" i="52"/>
  <c r="P60" i="52"/>
  <c r="P54" i="52"/>
  <c r="P53" i="52"/>
  <c r="P52" i="52"/>
  <c r="P51" i="52"/>
  <c r="P50" i="52"/>
  <c r="P48" i="52"/>
  <c r="P47" i="52"/>
  <c r="P46" i="52"/>
  <c r="D40" i="52"/>
  <c r="D39" i="52"/>
  <c r="D38" i="52"/>
  <c r="D37" i="52"/>
  <c r="D36" i="52"/>
  <c r="D35" i="52"/>
  <c r="D34" i="52"/>
  <c r="D33" i="52"/>
  <c r="D32" i="52"/>
  <c r="D26" i="52"/>
  <c r="D25" i="52"/>
  <c r="D24" i="52"/>
  <c r="D23" i="52"/>
  <c r="D22" i="52"/>
  <c r="D21" i="52"/>
  <c r="D20" i="52"/>
  <c r="D19" i="52"/>
  <c r="D18" i="52"/>
  <c r="D101" i="54"/>
  <c r="D100" i="54"/>
  <c r="D99" i="54"/>
  <c r="D98" i="54"/>
  <c r="D97" i="54"/>
  <c r="D96" i="54"/>
  <c r="D95" i="54"/>
  <c r="D94" i="54"/>
  <c r="K82" i="54"/>
  <c r="E82" i="54"/>
  <c r="Q65" i="54"/>
  <c r="E65" i="54"/>
  <c r="K47" i="54"/>
  <c r="P50" i="54"/>
  <c r="P49" i="54"/>
  <c r="P48" i="54"/>
  <c r="P47" i="54"/>
  <c r="P46" i="54"/>
  <c r="P45" i="54"/>
  <c r="P44" i="54"/>
  <c r="P43" i="54"/>
  <c r="P42" i="54"/>
  <c r="P41" i="54"/>
  <c r="P40" i="54"/>
  <c r="L20" i="36" l="1"/>
  <c r="J40" i="54"/>
  <c r="N65" i="54"/>
  <c r="B82" i="54"/>
  <c r="H82" i="54"/>
  <c r="B65" i="54"/>
  <c r="G72" i="54" l="1"/>
  <c r="P82" i="54"/>
  <c r="P81" i="54"/>
  <c r="P80" i="54"/>
  <c r="P79" i="54"/>
  <c r="P78" i="54"/>
  <c r="P77" i="54"/>
  <c r="P76" i="54"/>
  <c r="P75" i="54"/>
  <c r="J82" i="54"/>
  <c r="J81" i="54"/>
  <c r="J80" i="54"/>
  <c r="J79" i="54"/>
  <c r="J78" i="54"/>
  <c r="J77" i="54"/>
  <c r="J76" i="54"/>
  <c r="J75" i="54"/>
  <c r="D82" i="54"/>
  <c r="D81" i="54"/>
  <c r="D80" i="54"/>
  <c r="D79" i="54"/>
  <c r="D78" i="54"/>
  <c r="D77" i="54"/>
  <c r="D76" i="54"/>
  <c r="D75" i="54"/>
  <c r="P65" i="54"/>
  <c r="P64" i="54"/>
  <c r="P63" i="54"/>
  <c r="P62" i="54"/>
  <c r="P61" i="54"/>
  <c r="P60" i="54"/>
  <c r="P59" i="54"/>
  <c r="P58" i="54"/>
  <c r="AJ84" i="53"/>
  <c r="AK91" i="53"/>
  <c r="AJ91" i="53"/>
  <c r="AI91" i="53"/>
  <c r="AK90" i="53"/>
  <c r="AJ90" i="53"/>
  <c r="AI90" i="53"/>
  <c r="AK89" i="53"/>
  <c r="AJ89" i="53"/>
  <c r="AI89" i="53"/>
  <c r="AK88" i="53"/>
  <c r="AJ88" i="53"/>
  <c r="AI88" i="53"/>
  <c r="AK87" i="53"/>
  <c r="AJ87" i="53"/>
  <c r="AI87" i="53"/>
  <c r="AK86" i="53"/>
  <c r="AJ86" i="53"/>
  <c r="AI86" i="53"/>
  <c r="AK85" i="53"/>
  <c r="AJ85" i="53"/>
  <c r="AI85" i="53"/>
  <c r="AK84" i="53"/>
  <c r="AI84" i="53"/>
  <c r="AE91" i="53"/>
  <c r="AD91" i="53"/>
  <c r="AC91" i="53"/>
  <c r="AE90" i="53"/>
  <c r="AD90" i="53"/>
  <c r="AC90" i="53"/>
  <c r="AE89" i="53"/>
  <c r="AD89" i="53"/>
  <c r="AC89" i="53"/>
  <c r="AE88" i="53"/>
  <c r="AD88" i="53"/>
  <c r="AC88" i="53"/>
  <c r="AE87" i="53"/>
  <c r="AD87" i="53"/>
  <c r="AC87" i="53"/>
  <c r="AE86" i="53"/>
  <c r="AD86" i="53"/>
  <c r="AC86" i="53"/>
  <c r="AE85" i="53"/>
  <c r="AD85" i="53"/>
  <c r="AC85" i="53"/>
  <c r="AE84" i="53"/>
  <c r="AD84" i="53"/>
  <c r="AC84" i="53"/>
  <c r="Y91" i="53"/>
  <c r="X91" i="53"/>
  <c r="W91" i="53"/>
  <c r="Y90" i="53"/>
  <c r="X90" i="53"/>
  <c r="W90" i="53"/>
  <c r="Y89" i="53"/>
  <c r="X89" i="53"/>
  <c r="W89" i="53"/>
  <c r="Y88" i="53"/>
  <c r="X88" i="53"/>
  <c r="W88" i="53"/>
  <c r="Y87" i="53"/>
  <c r="X87" i="53"/>
  <c r="W87" i="53"/>
  <c r="Y86" i="53"/>
  <c r="X86" i="53"/>
  <c r="W86" i="53"/>
  <c r="Y85" i="53"/>
  <c r="X85" i="53"/>
  <c r="W85" i="53"/>
  <c r="Y84" i="53"/>
  <c r="X84" i="53"/>
  <c r="W84" i="53"/>
  <c r="AK78" i="53"/>
  <c r="AJ78" i="53"/>
  <c r="AI78" i="53"/>
  <c r="AK77" i="53"/>
  <c r="AJ77" i="53"/>
  <c r="AI77" i="53"/>
  <c r="AK76" i="53"/>
  <c r="AJ76" i="53"/>
  <c r="AI76" i="53"/>
  <c r="AK75" i="53"/>
  <c r="AJ75" i="53"/>
  <c r="AI75" i="53"/>
  <c r="AK74" i="53"/>
  <c r="AJ74" i="53"/>
  <c r="AI74" i="53"/>
  <c r="AK73" i="53"/>
  <c r="AJ73" i="53"/>
  <c r="AI73" i="53"/>
  <c r="AK72" i="53"/>
  <c r="AJ72" i="53"/>
  <c r="AI72" i="53"/>
  <c r="AK71" i="53"/>
  <c r="AJ71" i="53"/>
  <c r="AI71" i="53"/>
  <c r="AE78" i="53"/>
  <c r="AD78" i="53"/>
  <c r="AC78" i="53"/>
  <c r="AE77" i="53"/>
  <c r="AD77" i="53"/>
  <c r="AC77" i="53"/>
  <c r="AE76" i="53"/>
  <c r="AD76" i="53"/>
  <c r="AC76" i="53"/>
  <c r="AE75" i="53"/>
  <c r="AD75" i="53"/>
  <c r="AC75" i="53"/>
  <c r="AE74" i="53"/>
  <c r="AD74" i="53"/>
  <c r="AC74" i="53"/>
  <c r="AE73" i="53"/>
  <c r="AD73" i="53"/>
  <c r="AC73" i="53"/>
  <c r="AE72" i="53"/>
  <c r="AD72" i="53"/>
  <c r="AC72" i="53"/>
  <c r="AE71" i="53"/>
  <c r="AD71" i="53"/>
  <c r="AC71" i="53"/>
  <c r="Y78" i="53"/>
  <c r="X78" i="53"/>
  <c r="W78" i="53"/>
  <c r="Y77" i="53"/>
  <c r="X77" i="53"/>
  <c r="W77" i="53"/>
  <c r="Y76" i="53"/>
  <c r="X76" i="53"/>
  <c r="W76" i="53"/>
  <c r="Y75" i="53"/>
  <c r="X75" i="53"/>
  <c r="W75" i="53"/>
  <c r="Y74" i="53"/>
  <c r="X74" i="53"/>
  <c r="W74" i="53"/>
  <c r="Y73" i="53"/>
  <c r="X73" i="53"/>
  <c r="W73" i="53"/>
  <c r="Y72" i="53"/>
  <c r="X72" i="53"/>
  <c r="W72" i="53"/>
  <c r="Y71" i="53"/>
  <c r="X71" i="53"/>
  <c r="W71" i="53"/>
  <c r="AK58" i="53"/>
  <c r="AK59" i="53"/>
  <c r="AK60" i="53"/>
  <c r="AK61" i="53"/>
  <c r="AK62" i="53"/>
  <c r="AK63" i="53"/>
  <c r="AK64" i="53"/>
  <c r="AJ58" i="53"/>
  <c r="AJ59" i="53"/>
  <c r="AJ60" i="53"/>
  <c r="AJ61" i="53"/>
  <c r="AJ62" i="53"/>
  <c r="AJ63" i="53"/>
  <c r="AJ64" i="53"/>
  <c r="AI58" i="53"/>
  <c r="AI59" i="53"/>
  <c r="AI60" i="53"/>
  <c r="AI61" i="53"/>
  <c r="AI62" i="53"/>
  <c r="AI63" i="53"/>
  <c r="AI64" i="53"/>
  <c r="AJ57" i="53"/>
  <c r="AK57" i="53"/>
  <c r="AI57" i="53"/>
  <c r="AC58" i="53"/>
  <c r="AC59" i="53"/>
  <c r="AC60" i="53"/>
  <c r="AC61" i="53"/>
  <c r="AC62" i="53"/>
  <c r="AC63" i="53"/>
  <c r="AC64" i="53"/>
  <c r="AD58" i="53"/>
  <c r="AE58" i="53"/>
  <c r="AD59" i="53"/>
  <c r="AE59" i="53"/>
  <c r="AD60" i="53"/>
  <c r="AE60" i="53"/>
  <c r="AD61" i="53"/>
  <c r="AE61" i="53"/>
  <c r="AD62" i="53"/>
  <c r="AE62" i="53"/>
  <c r="AD63" i="53"/>
  <c r="AE63" i="53"/>
  <c r="AD64" i="53"/>
  <c r="AE64" i="53"/>
  <c r="AD57" i="53"/>
  <c r="AE57" i="53"/>
  <c r="AC57" i="53"/>
  <c r="W58" i="53"/>
  <c r="X58" i="53"/>
  <c r="Y58" i="53"/>
  <c r="W59" i="53"/>
  <c r="X59" i="53"/>
  <c r="Y59" i="53"/>
  <c r="W60" i="53"/>
  <c r="X60" i="53"/>
  <c r="Y60" i="53"/>
  <c r="W61" i="53"/>
  <c r="X61" i="53"/>
  <c r="Y61" i="53"/>
  <c r="W62" i="53"/>
  <c r="X62" i="53"/>
  <c r="Y62" i="53"/>
  <c r="W63" i="53"/>
  <c r="X63" i="53"/>
  <c r="Y63" i="53"/>
  <c r="W64" i="53"/>
  <c r="X64" i="53"/>
  <c r="Y64" i="53"/>
  <c r="X57" i="53"/>
  <c r="Y57" i="53"/>
  <c r="W57" i="53"/>
  <c r="AI45" i="53"/>
  <c r="AJ45" i="53"/>
  <c r="AK45" i="53"/>
  <c r="AI46" i="53"/>
  <c r="AJ46" i="53"/>
  <c r="AK46" i="53"/>
  <c r="AI47" i="53"/>
  <c r="AJ47" i="53"/>
  <c r="AK47" i="53"/>
  <c r="AI48" i="53"/>
  <c r="AJ48" i="53"/>
  <c r="AK48" i="53"/>
  <c r="AI49" i="53"/>
  <c r="AJ49" i="53"/>
  <c r="AK49" i="53"/>
  <c r="AI50" i="53"/>
  <c r="AJ50" i="53"/>
  <c r="AK50" i="53"/>
  <c r="AI51" i="53"/>
  <c r="AJ51" i="53"/>
  <c r="AK51" i="53"/>
  <c r="AJ44" i="53"/>
  <c r="AK44" i="53"/>
  <c r="AI44" i="53"/>
  <c r="M81" i="53"/>
  <c r="AI81" i="53" s="1"/>
  <c r="G81" i="53"/>
  <c r="AC81" i="53" s="1"/>
  <c r="P91" i="53"/>
  <c r="P90" i="53"/>
  <c r="P89" i="53"/>
  <c r="P88" i="53"/>
  <c r="P87" i="53"/>
  <c r="P86" i="53"/>
  <c r="P85" i="53"/>
  <c r="P84" i="53"/>
  <c r="J91" i="53"/>
  <c r="J90" i="53"/>
  <c r="J89" i="53"/>
  <c r="J88" i="53"/>
  <c r="J87" i="53"/>
  <c r="J86" i="53"/>
  <c r="J85" i="53"/>
  <c r="J84" i="53"/>
  <c r="A81" i="53"/>
  <c r="W81" i="53" s="1"/>
  <c r="D91" i="53"/>
  <c r="D90" i="53"/>
  <c r="D89" i="53"/>
  <c r="D88" i="53"/>
  <c r="D87" i="53"/>
  <c r="D86" i="53"/>
  <c r="D85" i="53"/>
  <c r="D84" i="53"/>
  <c r="M68" i="53"/>
  <c r="AI68" i="53" s="1"/>
  <c r="P78" i="53"/>
  <c r="P77" i="53"/>
  <c r="P76" i="53"/>
  <c r="P75" i="53"/>
  <c r="P74" i="53"/>
  <c r="P73" i="53"/>
  <c r="P72" i="53"/>
  <c r="P71" i="53"/>
  <c r="G68" i="53"/>
  <c r="AC68" i="53" s="1"/>
  <c r="J78" i="53"/>
  <c r="J77" i="53"/>
  <c r="J76" i="53"/>
  <c r="J75" i="53"/>
  <c r="J74" i="53"/>
  <c r="J73" i="53"/>
  <c r="J72" i="53"/>
  <c r="J71" i="53"/>
  <c r="A68" i="53"/>
  <c r="W68" i="53" s="1"/>
  <c r="M54" i="53"/>
  <c r="AI54" i="53" s="1"/>
  <c r="G54" i="53"/>
  <c r="AC54" i="53" s="1"/>
  <c r="A54" i="53"/>
  <c r="W54" i="53" s="1"/>
  <c r="M41" i="53"/>
  <c r="AI41" i="53" s="1"/>
  <c r="W5" i="53"/>
  <c r="D78" i="53"/>
  <c r="D77" i="53"/>
  <c r="D76" i="53"/>
  <c r="D75" i="53"/>
  <c r="D74" i="53"/>
  <c r="D73" i="53"/>
  <c r="D72" i="53"/>
  <c r="D71" i="53"/>
  <c r="P64" i="53"/>
  <c r="P63" i="53"/>
  <c r="P62" i="53"/>
  <c r="P61" i="53"/>
  <c r="P60" i="53"/>
  <c r="P59" i="53"/>
  <c r="P58" i="53"/>
  <c r="P57" i="53"/>
  <c r="J64" i="53"/>
  <c r="J63" i="53"/>
  <c r="J62" i="53"/>
  <c r="J61" i="53"/>
  <c r="J60" i="53"/>
  <c r="J59" i="53"/>
  <c r="J58" i="53"/>
  <c r="J57" i="53"/>
  <c r="D64" i="53"/>
  <c r="D63" i="53"/>
  <c r="D62" i="53"/>
  <c r="D61" i="53"/>
  <c r="D60" i="53"/>
  <c r="D59" i="53"/>
  <c r="D58" i="53"/>
  <c r="D57" i="53"/>
  <c r="P51" i="53"/>
  <c r="P50" i="53"/>
  <c r="P49" i="53"/>
  <c r="P48" i="53"/>
  <c r="P47" i="53"/>
  <c r="P46" i="53"/>
  <c r="P45" i="53"/>
  <c r="P44" i="53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P38" i="51"/>
  <c r="P37" i="51"/>
  <c r="P36" i="51"/>
  <c r="P35" i="51"/>
  <c r="P34" i="51"/>
  <c r="P33" i="51"/>
  <c r="P32" i="51"/>
  <c r="P31" i="51"/>
  <c r="P30" i="51"/>
  <c r="P29" i="51"/>
  <c r="P28" i="51"/>
  <c r="P27" i="51"/>
  <c r="P26" i="51"/>
  <c r="P25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P138" i="52"/>
  <c r="P137" i="52"/>
  <c r="P136" i="52"/>
  <c r="P135" i="52"/>
  <c r="P134" i="52"/>
  <c r="P133" i="52"/>
  <c r="P132" i="52"/>
  <c r="P131" i="52"/>
  <c r="P130" i="52"/>
  <c r="P124" i="52"/>
  <c r="P123" i="52"/>
  <c r="P122" i="52"/>
  <c r="P121" i="52"/>
  <c r="P120" i="52"/>
  <c r="P119" i="52"/>
  <c r="P118" i="52"/>
  <c r="P117" i="52"/>
  <c r="P116" i="52"/>
  <c r="P110" i="52"/>
  <c r="P109" i="52"/>
  <c r="P108" i="52"/>
  <c r="P107" i="52"/>
  <c r="P106" i="52"/>
  <c r="P105" i="52"/>
  <c r="P104" i="52"/>
  <c r="P103" i="52"/>
  <c r="P102" i="52"/>
  <c r="D138" i="52"/>
  <c r="D137" i="52"/>
  <c r="D136" i="52"/>
  <c r="D135" i="52"/>
  <c r="D134" i="52"/>
  <c r="D133" i="52"/>
  <c r="D132" i="52"/>
  <c r="D131" i="52"/>
  <c r="D130" i="52"/>
  <c r="D124" i="52"/>
  <c r="D123" i="52"/>
  <c r="D122" i="52"/>
  <c r="D121" i="52"/>
  <c r="D120" i="52"/>
  <c r="D119" i="52"/>
  <c r="D118" i="52"/>
  <c r="D117" i="52"/>
  <c r="D116" i="52"/>
  <c r="D110" i="52"/>
  <c r="D109" i="52"/>
  <c r="D108" i="52"/>
  <c r="D107" i="52"/>
  <c r="D106" i="52"/>
  <c r="D105" i="52"/>
  <c r="D104" i="52"/>
  <c r="D103" i="52"/>
  <c r="D102" i="52"/>
  <c r="AL85" i="53" l="1"/>
  <c r="Z77" i="53"/>
  <c r="AF77" i="53"/>
  <c r="AL77" i="53"/>
  <c r="Z90" i="53"/>
  <c r="AF90" i="53"/>
  <c r="AL62" i="53"/>
  <c r="AL58" i="53"/>
  <c r="Z59" i="53"/>
  <c r="Z71" i="53"/>
  <c r="AL71" i="53"/>
  <c r="Z84" i="53"/>
  <c r="AF84" i="53"/>
  <c r="AF71" i="53"/>
  <c r="AL63" i="53"/>
  <c r="Z57" i="53"/>
  <c r="Z62" i="53"/>
  <c r="AF61" i="53"/>
  <c r="AL57" i="53"/>
  <c r="AL46" i="53"/>
  <c r="AL49" i="53"/>
  <c r="AL47" i="53"/>
  <c r="Z60" i="53"/>
  <c r="Z61" i="53"/>
  <c r="AL84" i="53"/>
  <c r="AL50" i="53"/>
  <c r="AL45" i="53"/>
  <c r="Z63" i="53"/>
  <c r="Z58" i="53"/>
  <c r="AF63" i="53"/>
  <c r="AF59" i="53"/>
  <c r="AL59" i="53"/>
  <c r="Z78" i="53"/>
  <c r="AF78" i="53"/>
  <c r="AL78" i="53"/>
  <c r="Z91" i="53"/>
  <c r="AF91" i="53"/>
  <c r="AL86" i="53"/>
  <c r="AL87" i="53"/>
  <c r="AL44" i="53"/>
  <c r="AF57" i="53"/>
  <c r="AF64" i="53"/>
  <c r="AF60" i="53"/>
  <c r="AL61" i="53"/>
  <c r="Z72" i="53"/>
  <c r="AF72" i="53"/>
  <c r="AL72" i="53"/>
  <c r="Z85" i="53"/>
  <c r="AF85" i="53"/>
  <c r="AL88" i="53"/>
  <c r="AL51" i="53"/>
  <c r="Z64" i="53"/>
  <c r="AL48" i="53"/>
  <c r="Z75" i="53"/>
  <c r="AF75" i="53"/>
  <c r="AL75" i="53"/>
  <c r="Z88" i="53"/>
  <c r="AF88" i="53"/>
  <c r="AL91" i="53"/>
  <c r="AF62" i="53"/>
  <c r="AF58" i="53"/>
  <c r="Z73" i="53"/>
  <c r="AF73" i="53"/>
  <c r="AL73" i="53"/>
  <c r="Z86" i="53"/>
  <c r="AF86" i="53"/>
  <c r="AL89" i="53"/>
  <c r="Z76" i="53"/>
  <c r="AF76" i="53"/>
  <c r="AL76" i="53"/>
  <c r="Z89" i="53"/>
  <c r="AF89" i="53"/>
  <c r="Z74" i="53"/>
  <c r="AF74" i="53"/>
  <c r="AL74" i="53"/>
  <c r="Z87" i="53"/>
  <c r="AF87" i="53"/>
  <c r="AL90" i="53"/>
  <c r="AL64" i="53"/>
  <c r="AL60" i="53"/>
  <c r="AF23" i="23"/>
  <c r="J66" i="54" l="1"/>
  <c r="J65" i="54"/>
  <c r="J64" i="54"/>
  <c r="J63" i="54"/>
  <c r="J62" i="54"/>
  <c r="J61" i="54"/>
  <c r="J60" i="54"/>
  <c r="J59" i="54"/>
  <c r="J58" i="54"/>
  <c r="D65" i="54"/>
  <c r="D64" i="54"/>
  <c r="D63" i="54"/>
  <c r="D62" i="54"/>
  <c r="D61" i="54"/>
  <c r="D60" i="54"/>
  <c r="D59" i="54"/>
  <c r="D58" i="54"/>
  <c r="J47" i="54"/>
  <c r="D184" i="54" s="1"/>
  <c r="D128" i="54" s="1"/>
  <c r="K128" i="54" s="1"/>
  <c r="J46" i="54"/>
  <c r="D183" i="54" s="1"/>
  <c r="D127" i="54" s="1"/>
  <c r="K127" i="54" s="1"/>
  <c r="J45" i="54"/>
  <c r="D182" i="54" s="1"/>
  <c r="D126" i="54" s="1"/>
  <c r="K126" i="54" s="1"/>
  <c r="J44" i="54"/>
  <c r="D181" i="54" s="1"/>
  <c r="D125" i="54" s="1"/>
  <c r="K125" i="54" s="1"/>
  <c r="J43" i="54"/>
  <c r="D180" i="54" s="1"/>
  <c r="D124" i="54" s="1"/>
  <c r="K124" i="54" s="1"/>
  <c r="J42" i="54"/>
  <c r="D179" i="54" s="1"/>
  <c r="D123" i="54" s="1"/>
  <c r="K123" i="54" s="1"/>
  <c r="J41" i="54"/>
  <c r="D178" i="54" s="1"/>
  <c r="D122" i="54" s="1"/>
  <c r="AG20" i="23"/>
  <c r="K122" i="54" l="1"/>
  <c r="A356" i="67"/>
  <c r="N342" i="67"/>
  <c r="N341" i="67"/>
  <c r="L342" i="67"/>
  <c r="L341" i="67"/>
  <c r="J374" i="67" l="1"/>
  <c r="I374" i="67"/>
  <c r="J373" i="67"/>
  <c r="I373" i="67"/>
  <c r="J372" i="67"/>
  <c r="I372" i="67"/>
  <c r="J371" i="67"/>
  <c r="I371" i="67"/>
  <c r="J370" i="67"/>
  <c r="I370" i="67"/>
  <c r="J369" i="67"/>
  <c r="I369" i="67"/>
  <c r="J368" i="67"/>
  <c r="I368" i="67"/>
  <c r="J367" i="67"/>
  <c r="I367" i="67"/>
  <c r="J366" i="67"/>
  <c r="I366" i="67"/>
  <c r="J365" i="67"/>
  <c r="I365" i="67"/>
  <c r="J364" i="67"/>
  <c r="I364" i="67"/>
  <c r="J363" i="67"/>
  <c r="I363" i="67"/>
  <c r="J362" i="67"/>
  <c r="I362" i="67"/>
  <c r="J361" i="67"/>
  <c r="I361" i="67"/>
  <c r="J360" i="67"/>
  <c r="I360" i="67"/>
  <c r="J359" i="67"/>
  <c r="I359" i="67"/>
  <c r="J358" i="67"/>
  <c r="I358" i="67"/>
  <c r="J357" i="67"/>
  <c r="I357" i="67"/>
  <c r="F350" i="67"/>
  <c r="L335" i="67"/>
  <c r="K335" i="67"/>
  <c r="J335" i="67"/>
  <c r="E335" i="67"/>
  <c r="D335" i="67"/>
  <c r="C335" i="67"/>
  <c r="L334" i="67"/>
  <c r="K334" i="67"/>
  <c r="J334" i="67"/>
  <c r="E334" i="67"/>
  <c r="D334" i="67"/>
  <c r="C334" i="67"/>
  <c r="L333" i="67"/>
  <c r="K333" i="67"/>
  <c r="J333" i="67"/>
  <c r="E333" i="67"/>
  <c r="D333" i="67"/>
  <c r="C333" i="67"/>
  <c r="L332" i="67"/>
  <c r="K332" i="67"/>
  <c r="J332" i="67"/>
  <c r="E332" i="67"/>
  <c r="D332" i="67"/>
  <c r="C332" i="67"/>
  <c r="L331" i="67"/>
  <c r="K331" i="67"/>
  <c r="J331" i="67"/>
  <c r="E331" i="67"/>
  <c r="D331" i="67"/>
  <c r="C331" i="67"/>
  <c r="L330" i="67"/>
  <c r="K330" i="67"/>
  <c r="J330" i="67"/>
  <c r="E330" i="67"/>
  <c r="D330" i="67"/>
  <c r="C330" i="67"/>
  <c r="L329" i="67"/>
  <c r="K329" i="67"/>
  <c r="J329" i="67"/>
  <c r="E329" i="67"/>
  <c r="D329" i="67"/>
  <c r="C329" i="67"/>
  <c r="L328" i="67"/>
  <c r="K328" i="67"/>
  <c r="J328" i="67"/>
  <c r="E328" i="67"/>
  <c r="D328" i="67"/>
  <c r="C328" i="67"/>
  <c r="L327" i="67"/>
  <c r="K327" i="67"/>
  <c r="J327" i="67"/>
  <c r="E327" i="67"/>
  <c r="D327" i="67"/>
  <c r="C327" i="67"/>
  <c r="L326" i="67"/>
  <c r="K326" i="67"/>
  <c r="J326" i="67"/>
  <c r="E326" i="67"/>
  <c r="D326" i="67"/>
  <c r="C326" i="67"/>
  <c r="L325" i="67"/>
  <c r="K325" i="67"/>
  <c r="J325" i="67"/>
  <c r="E325" i="67"/>
  <c r="D325" i="67"/>
  <c r="C325" i="67"/>
  <c r="L324" i="67"/>
  <c r="K324" i="67"/>
  <c r="J324" i="67"/>
  <c r="E324" i="67"/>
  <c r="D324" i="67"/>
  <c r="C324" i="67"/>
  <c r="L323" i="67"/>
  <c r="K323" i="67"/>
  <c r="J323" i="67"/>
  <c r="E323" i="67"/>
  <c r="D323" i="67"/>
  <c r="C323" i="67"/>
  <c r="L322" i="67"/>
  <c r="K322" i="67"/>
  <c r="J322" i="67"/>
  <c r="E322" i="67"/>
  <c r="D322" i="67"/>
  <c r="C322" i="67"/>
  <c r="L321" i="67"/>
  <c r="K321" i="67"/>
  <c r="J321" i="67"/>
  <c r="E321" i="67"/>
  <c r="D321" i="67"/>
  <c r="C321" i="67"/>
  <c r="L320" i="67"/>
  <c r="K320" i="67"/>
  <c r="J320" i="67"/>
  <c r="E320" i="67"/>
  <c r="D320" i="67"/>
  <c r="C320" i="67"/>
  <c r="L319" i="67"/>
  <c r="K319" i="67"/>
  <c r="J319" i="67"/>
  <c r="E319" i="67"/>
  <c r="D319" i="67"/>
  <c r="C319" i="67"/>
  <c r="L318" i="67"/>
  <c r="K318" i="67"/>
  <c r="J318" i="67"/>
  <c r="E318" i="67"/>
  <c r="D318" i="67"/>
  <c r="C318" i="67"/>
  <c r="L316" i="67"/>
  <c r="K316" i="67"/>
  <c r="J316" i="67"/>
  <c r="E316" i="67"/>
  <c r="D316" i="67"/>
  <c r="C316" i="67"/>
  <c r="L315" i="67"/>
  <c r="K315" i="67"/>
  <c r="J315" i="67"/>
  <c r="E315" i="67"/>
  <c r="D315" i="67"/>
  <c r="C315" i="67"/>
  <c r="L314" i="67"/>
  <c r="K314" i="67"/>
  <c r="J314" i="67"/>
  <c r="E314" i="67"/>
  <c r="D314" i="67"/>
  <c r="C314" i="67"/>
  <c r="L313" i="67"/>
  <c r="K313" i="67"/>
  <c r="J313" i="67"/>
  <c r="E313" i="67"/>
  <c r="D313" i="67"/>
  <c r="C313" i="67"/>
  <c r="L312" i="67"/>
  <c r="K312" i="67"/>
  <c r="J312" i="67"/>
  <c r="E312" i="67"/>
  <c r="D312" i="67"/>
  <c r="C312" i="67"/>
  <c r="L311" i="67"/>
  <c r="K311" i="67"/>
  <c r="J311" i="67"/>
  <c r="E311" i="67"/>
  <c r="D311" i="67"/>
  <c r="C311" i="67"/>
  <c r="L310" i="67"/>
  <c r="K310" i="67"/>
  <c r="J310" i="67"/>
  <c r="E310" i="67"/>
  <c r="D310" i="67"/>
  <c r="C310" i="67"/>
  <c r="L309" i="67"/>
  <c r="K309" i="67"/>
  <c r="J309" i="67"/>
  <c r="E309" i="67"/>
  <c r="D309" i="67"/>
  <c r="C309" i="67"/>
  <c r="L308" i="67"/>
  <c r="K308" i="67"/>
  <c r="J308" i="67"/>
  <c r="E308" i="67"/>
  <c r="D308" i="67"/>
  <c r="C308" i="67"/>
  <c r="L307" i="67"/>
  <c r="K307" i="67"/>
  <c r="J307" i="67"/>
  <c r="E307" i="67"/>
  <c r="D307" i="67"/>
  <c r="C307" i="67"/>
  <c r="L306" i="67"/>
  <c r="K306" i="67"/>
  <c r="J306" i="67"/>
  <c r="E306" i="67"/>
  <c r="D306" i="67"/>
  <c r="C306" i="67"/>
  <c r="L305" i="67"/>
  <c r="K305" i="67"/>
  <c r="J305" i="67"/>
  <c r="E305" i="67"/>
  <c r="D305" i="67"/>
  <c r="C305" i="67"/>
  <c r="L304" i="67"/>
  <c r="K304" i="67"/>
  <c r="J304" i="67"/>
  <c r="E304" i="67"/>
  <c r="D304" i="67"/>
  <c r="C304" i="67"/>
  <c r="L303" i="67"/>
  <c r="K303" i="67"/>
  <c r="J303" i="67"/>
  <c r="E303" i="67"/>
  <c r="D303" i="67"/>
  <c r="C303" i="67"/>
  <c r="L302" i="67"/>
  <c r="K302" i="67"/>
  <c r="J302" i="67"/>
  <c r="E302" i="67"/>
  <c r="D302" i="67"/>
  <c r="C302" i="67"/>
  <c r="L301" i="67"/>
  <c r="K301" i="67"/>
  <c r="J301" i="67"/>
  <c r="E301" i="67"/>
  <c r="D301" i="67"/>
  <c r="C301" i="67"/>
  <c r="L300" i="67"/>
  <c r="K300" i="67"/>
  <c r="J300" i="67"/>
  <c r="E300" i="67"/>
  <c r="D300" i="67"/>
  <c r="C300" i="67"/>
  <c r="L299" i="67"/>
  <c r="K299" i="67"/>
  <c r="J299" i="67"/>
  <c r="E299" i="67"/>
  <c r="D299" i="67"/>
  <c r="C299" i="67"/>
  <c r="L297" i="67"/>
  <c r="K297" i="67"/>
  <c r="J297" i="67"/>
  <c r="E297" i="67"/>
  <c r="D297" i="67"/>
  <c r="C297" i="67"/>
  <c r="L296" i="67"/>
  <c r="K296" i="67"/>
  <c r="J296" i="67"/>
  <c r="E296" i="67"/>
  <c r="D296" i="67"/>
  <c r="C296" i="67"/>
  <c r="L295" i="67"/>
  <c r="K295" i="67"/>
  <c r="J295" i="67"/>
  <c r="E295" i="67"/>
  <c r="D295" i="67"/>
  <c r="C295" i="67"/>
  <c r="L294" i="67"/>
  <c r="K294" i="67"/>
  <c r="J294" i="67"/>
  <c r="E294" i="67"/>
  <c r="D294" i="67"/>
  <c r="C294" i="67"/>
  <c r="L293" i="67"/>
  <c r="K293" i="67"/>
  <c r="J293" i="67"/>
  <c r="E293" i="67"/>
  <c r="D293" i="67"/>
  <c r="C293" i="67"/>
  <c r="L292" i="67"/>
  <c r="K292" i="67"/>
  <c r="J292" i="67"/>
  <c r="E292" i="67"/>
  <c r="D292" i="67"/>
  <c r="C292" i="67"/>
  <c r="L291" i="67"/>
  <c r="K291" i="67"/>
  <c r="J291" i="67"/>
  <c r="E291" i="67"/>
  <c r="D291" i="67"/>
  <c r="C291" i="67"/>
  <c r="L290" i="67"/>
  <c r="K290" i="67"/>
  <c r="J290" i="67"/>
  <c r="E290" i="67"/>
  <c r="D290" i="67"/>
  <c r="C290" i="67"/>
  <c r="L289" i="67"/>
  <c r="K289" i="67"/>
  <c r="J289" i="67"/>
  <c r="E289" i="67"/>
  <c r="D289" i="67"/>
  <c r="C289" i="67"/>
  <c r="L288" i="67"/>
  <c r="K288" i="67"/>
  <c r="J288" i="67"/>
  <c r="E288" i="67"/>
  <c r="D288" i="67"/>
  <c r="C288" i="67"/>
  <c r="L287" i="67"/>
  <c r="K287" i="67"/>
  <c r="J287" i="67"/>
  <c r="E287" i="67"/>
  <c r="D287" i="67"/>
  <c r="C287" i="67"/>
  <c r="L286" i="67"/>
  <c r="K286" i="67"/>
  <c r="J286" i="67"/>
  <c r="E286" i="67"/>
  <c r="D286" i="67"/>
  <c r="C286" i="67"/>
  <c r="L285" i="67"/>
  <c r="K285" i="67"/>
  <c r="J285" i="67"/>
  <c r="E285" i="67"/>
  <c r="D285" i="67"/>
  <c r="C285" i="67"/>
  <c r="L284" i="67"/>
  <c r="K284" i="67"/>
  <c r="J284" i="67"/>
  <c r="E284" i="67"/>
  <c r="D284" i="67"/>
  <c r="C284" i="67"/>
  <c r="L283" i="67"/>
  <c r="K283" i="67"/>
  <c r="J283" i="67"/>
  <c r="E283" i="67"/>
  <c r="D283" i="67"/>
  <c r="C283" i="67"/>
  <c r="L282" i="67"/>
  <c r="K282" i="67"/>
  <c r="J282" i="67"/>
  <c r="E282" i="67"/>
  <c r="D282" i="67"/>
  <c r="C282" i="67"/>
  <c r="L281" i="67"/>
  <c r="K281" i="67"/>
  <c r="J281" i="67"/>
  <c r="E281" i="67"/>
  <c r="D281" i="67"/>
  <c r="C281" i="67"/>
  <c r="L280" i="67"/>
  <c r="K280" i="67"/>
  <c r="J280" i="67"/>
  <c r="E280" i="67"/>
  <c r="D280" i="67"/>
  <c r="C280" i="67"/>
  <c r="L278" i="67"/>
  <c r="K278" i="67"/>
  <c r="J278" i="67"/>
  <c r="E278" i="67"/>
  <c r="D278" i="67"/>
  <c r="C278" i="67"/>
  <c r="L277" i="67"/>
  <c r="K277" i="67"/>
  <c r="J277" i="67"/>
  <c r="E277" i="67"/>
  <c r="D277" i="67"/>
  <c r="C277" i="67"/>
  <c r="L276" i="67"/>
  <c r="K276" i="67"/>
  <c r="J276" i="67"/>
  <c r="E276" i="67"/>
  <c r="D276" i="67"/>
  <c r="C276" i="67"/>
  <c r="L275" i="67"/>
  <c r="K275" i="67"/>
  <c r="J275" i="67"/>
  <c r="E275" i="67"/>
  <c r="D275" i="67"/>
  <c r="C275" i="67"/>
  <c r="L274" i="67"/>
  <c r="K274" i="67"/>
  <c r="J274" i="67"/>
  <c r="E274" i="67"/>
  <c r="D274" i="67"/>
  <c r="C274" i="67"/>
  <c r="L273" i="67"/>
  <c r="K273" i="67"/>
  <c r="J273" i="67"/>
  <c r="E273" i="67"/>
  <c r="D273" i="67"/>
  <c r="C273" i="67"/>
  <c r="L272" i="67"/>
  <c r="K272" i="67"/>
  <c r="J272" i="67"/>
  <c r="E272" i="67"/>
  <c r="D272" i="67"/>
  <c r="C272" i="67"/>
  <c r="L271" i="67"/>
  <c r="K271" i="67"/>
  <c r="J271" i="67"/>
  <c r="E271" i="67"/>
  <c r="D271" i="67"/>
  <c r="C271" i="67"/>
  <c r="L270" i="67"/>
  <c r="K270" i="67"/>
  <c r="J270" i="67"/>
  <c r="E270" i="67"/>
  <c r="D270" i="67"/>
  <c r="C270" i="67"/>
  <c r="L269" i="67"/>
  <c r="K269" i="67"/>
  <c r="J269" i="67"/>
  <c r="E269" i="67"/>
  <c r="D269" i="67"/>
  <c r="C269" i="67"/>
  <c r="L268" i="67"/>
  <c r="K268" i="67"/>
  <c r="J268" i="67"/>
  <c r="E268" i="67"/>
  <c r="D268" i="67"/>
  <c r="C268" i="67"/>
  <c r="L267" i="67"/>
  <c r="K267" i="67"/>
  <c r="J267" i="67"/>
  <c r="E267" i="67"/>
  <c r="D267" i="67"/>
  <c r="C267" i="67"/>
  <c r="L266" i="67"/>
  <c r="K266" i="67"/>
  <c r="J266" i="67"/>
  <c r="E266" i="67"/>
  <c r="D266" i="67"/>
  <c r="C266" i="67"/>
  <c r="L265" i="67"/>
  <c r="K265" i="67"/>
  <c r="J265" i="67"/>
  <c r="E265" i="67"/>
  <c r="D265" i="67"/>
  <c r="C265" i="67"/>
  <c r="L264" i="67"/>
  <c r="K264" i="67"/>
  <c r="J264" i="67"/>
  <c r="E264" i="67"/>
  <c r="D264" i="67"/>
  <c r="C264" i="67"/>
  <c r="L263" i="67"/>
  <c r="K263" i="67"/>
  <c r="J263" i="67"/>
  <c r="E263" i="67"/>
  <c r="D263" i="67"/>
  <c r="C263" i="67"/>
  <c r="L262" i="67"/>
  <c r="K262" i="67"/>
  <c r="J262" i="67"/>
  <c r="E262" i="67"/>
  <c r="D262" i="67"/>
  <c r="C262" i="67"/>
  <c r="L261" i="67"/>
  <c r="K261" i="67"/>
  <c r="J261" i="67"/>
  <c r="E261" i="67"/>
  <c r="D261" i="67"/>
  <c r="C261" i="67"/>
  <c r="L259" i="67"/>
  <c r="K259" i="67"/>
  <c r="J259" i="67"/>
  <c r="E259" i="67"/>
  <c r="D259" i="67"/>
  <c r="C259" i="67"/>
  <c r="L258" i="67"/>
  <c r="K258" i="67"/>
  <c r="J258" i="67"/>
  <c r="E258" i="67"/>
  <c r="D258" i="67"/>
  <c r="C258" i="67"/>
  <c r="L257" i="67"/>
  <c r="K257" i="67"/>
  <c r="J257" i="67"/>
  <c r="E257" i="67"/>
  <c r="D257" i="67"/>
  <c r="C257" i="67"/>
  <c r="L256" i="67"/>
  <c r="K256" i="67"/>
  <c r="J256" i="67"/>
  <c r="E256" i="67"/>
  <c r="D256" i="67"/>
  <c r="C256" i="67"/>
  <c r="L255" i="67"/>
  <c r="K255" i="67"/>
  <c r="J255" i="67"/>
  <c r="E255" i="67"/>
  <c r="D255" i="67"/>
  <c r="C255" i="67"/>
  <c r="L254" i="67"/>
  <c r="K254" i="67"/>
  <c r="J254" i="67"/>
  <c r="E254" i="67"/>
  <c r="D254" i="67"/>
  <c r="C254" i="67"/>
  <c r="L253" i="67"/>
  <c r="K253" i="67"/>
  <c r="J253" i="67"/>
  <c r="E253" i="67"/>
  <c r="D253" i="67"/>
  <c r="C253" i="67"/>
  <c r="L252" i="67"/>
  <c r="K252" i="67"/>
  <c r="J252" i="67"/>
  <c r="E252" i="67"/>
  <c r="D252" i="67"/>
  <c r="C252" i="67"/>
  <c r="L251" i="67"/>
  <c r="K251" i="67"/>
  <c r="J251" i="67"/>
  <c r="E251" i="67"/>
  <c r="D251" i="67"/>
  <c r="C251" i="67"/>
  <c r="L250" i="67"/>
  <c r="K250" i="67"/>
  <c r="J250" i="67"/>
  <c r="E250" i="67"/>
  <c r="D250" i="67"/>
  <c r="C250" i="67"/>
  <c r="L249" i="67"/>
  <c r="K249" i="67"/>
  <c r="J249" i="67"/>
  <c r="E249" i="67"/>
  <c r="D249" i="67"/>
  <c r="C249" i="67"/>
  <c r="L248" i="67"/>
  <c r="K248" i="67"/>
  <c r="J248" i="67"/>
  <c r="E248" i="67"/>
  <c r="D248" i="67"/>
  <c r="C248" i="67"/>
  <c r="L247" i="67"/>
  <c r="K247" i="67"/>
  <c r="J247" i="67"/>
  <c r="E247" i="67"/>
  <c r="D247" i="67"/>
  <c r="C247" i="67"/>
  <c r="L246" i="67"/>
  <c r="K246" i="67"/>
  <c r="J246" i="67"/>
  <c r="E246" i="67"/>
  <c r="D246" i="67"/>
  <c r="C246" i="67"/>
  <c r="L245" i="67"/>
  <c r="K245" i="67"/>
  <c r="J245" i="67"/>
  <c r="E245" i="67"/>
  <c r="D245" i="67"/>
  <c r="C245" i="67"/>
  <c r="L244" i="67"/>
  <c r="K244" i="67"/>
  <c r="J244" i="67"/>
  <c r="E244" i="67"/>
  <c r="D244" i="67"/>
  <c r="C244" i="67"/>
  <c r="L243" i="67"/>
  <c r="K243" i="67"/>
  <c r="J243" i="67"/>
  <c r="E243" i="67"/>
  <c r="D243" i="67"/>
  <c r="C243" i="67"/>
  <c r="Q220" i="67"/>
  <c r="L242" i="67"/>
  <c r="K242" i="67"/>
  <c r="J242" i="67"/>
  <c r="E242" i="67"/>
  <c r="D242" i="67"/>
  <c r="C242" i="67"/>
  <c r="Q219" i="67"/>
  <c r="Q218" i="67"/>
  <c r="L240" i="67"/>
  <c r="K240" i="67"/>
  <c r="J240" i="67"/>
  <c r="E240" i="67"/>
  <c r="D240" i="67"/>
  <c r="C240" i="67"/>
  <c r="Q217" i="67"/>
  <c r="L239" i="67"/>
  <c r="K239" i="67"/>
  <c r="J239" i="67"/>
  <c r="E239" i="67"/>
  <c r="D239" i="67"/>
  <c r="C239" i="67"/>
  <c r="Q216" i="67"/>
  <c r="L238" i="67"/>
  <c r="K238" i="67"/>
  <c r="J238" i="67"/>
  <c r="E238" i="67"/>
  <c r="D238" i="67"/>
  <c r="C238" i="67"/>
  <c r="Q215" i="67"/>
  <c r="L237" i="67"/>
  <c r="K237" i="67"/>
  <c r="J237" i="67"/>
  <c r="E237" i="67"/>
  <c r="D237" i="67"/>
  <c r="C237" i="67"/>
  <c r="Q214" i="67"/>
  <c r="L236" i="67"/>
  <c r="K236" i="67"/>
  <c r="J236" i="67"/>
  <c r="E236" i="67"/>
  <c r="D236" i="67"/>
  <c r="C236" i="67"/>
  <c r="Q213" i="67"/>
  <c r="L235" i="67"/>
  <c r="K235" i="67"/>
  <c r="J235" i="67"/>
  <c r="E235" i="67"/>
  <c r="D235" i="67"/>
  <c r="C235" i="67"/>
  <c r="Q212" i="67"/>
  <c r="L234" i="67"/>
  <c r="K234" i="67"/>
  <c r="J234" i="67"/>
  <c r="E234" i="67"/>
  <c r="D234" i="67"/>
  <c r="C234" i="67"/>
  <c r="Q211" i="67"/>
  <c r="L233" i="67"/>
  <c r="K233" i="67"/>
  <c r="J233" i="67"/>
  <c r="E233" i="67"/>
  <c r="D233" i="67"/>
  <c r="C233" i="67"/>
  <c r="Q210" i="67"/>
  <c r="L232" i="67"/>
  <c r="K232" i="67"/>
  <c r="J232" i="67"/>
  <c r="E232" i="67"/>
  <c r="D232" i="67"/>
  <c r="C232" i="67"/>
  <c r="Q209" i="67"/>
  <c r="L231" i="67"/>
  <c r="K231" i="67"/>
  <c r="J231" i="67"/>
  <c r="E231" i="67"/>
  <c r="D231" i="67"/>
  <c r="C231" i="67"/>
  <c r="Q208" i="67"/>
  <c r="L230" i="67"/>
  <c r="K230" i="67"/>
  <c r="J230" i="67"/>
  <c r="E230" i="67"/>
  <c r="D230" i="67"/>
  <c r="C230" i="67"/>
  <c r="Q207" i="67"/>
  <c r="L229" i="67"/>
  <c r="K229" i="67"/>
  <c r="J229" i="67"/>
  <c r="E229" i="67"/>
  <c r="D229" i="67"/>
  <c r="C229" i="67"/>
  <c r="Q206" i="67"/>
  <c r="L228" i="67"/>
  <c r="K228" i="67"/>
  <c r="J228" i="67"/>
  <c r="E228" i="67"/>
  <c r="D228" i="67"/>
  <c r="C228" i="67"/>
  <c r="Q205" i="67"/>
  <c r="L227" i="67"/>
  <c r="K227" i="67"/>
  <c r="J227" i="67"/>
  <c r="E227" i="67"/>
  <c r="D227" i="67"/>
  <c r="C227" i="67"/>
  <c r="Q204" i="67"/>
  <c r="L226" i="67"/>
  <c r="K226" i="67"/>
  <c r="J226" i="67"/>
  <c r="E226" i="67"/>
  <c r="D226" i="67"/>
  <c r="C226" i="67"/>
  <c r="Q203" i="67"/>
  <c r="L225" i="67"/>
  <c r="K225" i="67"/>
  <c r="J225" i="67"/>
  <c r="E225" i="67"/>
  <c r="D225" i="67"/>
  <c r="C225" i="67"/>
  <c r="L224" i="67"/>
  <c r="K224" i="67"/>
  <c r="J224" i="67"/>
  <c r="E224" i="67"/>
  <c r="D224" i="67"/>
  <c r="C224" i="67"/>
  <c r="L223" i="67"/>
  <c r="K223" i="67"/>
  <c r="J223" i="67"/>
  <c r="E223" i="67"/>
  <c r="D223" i="67"/>
  <c r="C223" i="67"/>
  <c r="L221" i="67"/>
  <c r="K221" i="67"/>
  <c r="J221" i="67"/>
  <c r="E221" i="67"/>
  <c r="D221" i="67"/>
  <c r="C221" i="67"/>
  <c r="L220" i="67"/>
  <c r="K220" i="67"/>
  <c r="J220" i="67"/>
  <c r="E220" i="67"/>
  <c r="D220" i="67"/>
  <c r="C220" i="67"/>
  <c r="P219" i="67"/>
  <c r="L219" i="67"/>
  <c r="K219" i="67"/>
  <c r="J219" i="67"/>
  <c r="E219" i="67"/>
  <c r="D219" i="67"/>
  <c r="C219" i="67"/>
  <c r="P218" i="67"/>
  <c r="L218" i="67"/>
  <c r="K218" i="67"/>
  <c r="J218" i="67"/>
  <c r="E218" i="67"/>
  <c r="D218" i="67"/>
  <c r="C218" i="67"/>
  <c r="P217" i="67"/>
  <c r="L217" i="67"/>
  <c r="K217" i="67"/>
  <c r="J217" i="67"/>
  <c r="E217" i="67"/>
  <c r="D217" i="67"/>
  <c r="C217" i="67"/>
  <c r="P216" i="67"/>
  <c r="L216" i="67"/>
  <c r="K216" i="67"/>
  <c r="J216" i="67"/>
  <c r="E216" i="67"/>
  <c r="D216" i="67"/>
  <c r="C216" i="67"/>
  <c r="P215" i="67"/>
  <c r="L215" i="67"/>
  <c r="K215" i="67"/>
  <c r="J215" i="67"/>
  <c r="E215" i="67"/>
  <c r="D215" i="67"/>
  <c r="C215" i="67"/>
  <c r="P214" i="67"/>
  <c r="L214" i="67"/>
  <c r="K214" i="67"/>
  <c r="J214" i="67"/>
  <c r="E214" i="67"/>
  <c r="D214" i="67"/>
  <c r="C214" i="67"/>
  <c r="P213" i="67"/>
  <c r="L213" i="67"/>
  <c r="K213" i="67"/>
  <c r="J213" i="67"/>
  <c r="E213" i="67"/>
  <c r="D213" i="67"/>
  <c r="C213" i="67"/>
  <c r="P212" i="67"/>
  <c r="L212" i="67"/>
  <c r="K212" i="67"/>
  <c r="J212" i="67"/>
  <c r="E212" i="67"/>
  <c r="D212" i="67"/>
  <c r="C212" i="67"/>
  <c r="P211" i="67"/>
  <c r="L211" i="67"/>
  <c r="K211" i="67"/>
  <c r="J211" i="67"/>
  <c r="E211" i="67"/>
  <c r="D211" i="67"/>
  <c r="C211" i="67"/>
  <c r="P210" i="67"/>
  <c r="L210" i="67"/>
  <c r="K210" i="67"/>
  <c r="J210" i="67"/>
  <c r="E210" i="67"/>
  <c r="D210" i="67"/>
  <c r="C210" i="67"/>
  <c r="P209" i="67"/>
  <c r="L209" i="67"/>
  <c r="K209" i="67"/>
  <c r="J209" i="67"/>
  <c r="E209" i="67"/>
  <c r="D209" i="67"/>
  <c r="C209" i="67"/>
  <c r="P208" i="67"/>
  <c r="L208" i="67"/>
  <c r="K208" i="67"/>
  <c r="J208" i="67"/>
  <c r="E208" i="67"/>
  <c r="D208" i="67"/>
  <c r="C208" i="67"/>
  <c r="P207" i="67"/>
  <c r="L207" i="67"/>
  <c r="K207" i="67"/>
  <c r="J207" i="67"/>
  <c r="E207" i="67"/>
  <c r="D207" i="67"/>
  <c r="C207" i="67"/>
  <c r="P206" i="67"/>
  <c r="L206" i="67"/>
  <c r="K206" i="67"/>
  <c r="J206" i="67"/>
  <c r="E206" i="67"/>
  <c r="D206" i="67"/>
  <c r="C206" i="67"/>
  <c r="P205" i="67"/>
  <c r="L205" i="67"/>
  <c r="K205" i="67"/>
  <c r="J205" i="67"/>
  <c r="E205" i="67"/>
  <c r="D205" i="67"/>
  <c r="C205" i="67"/>
  <c r="L204" i="67"/>
  <c r="K204" i="67"/>
  <c r="J204" i="67"/>
  <c r="E204" i="67"/>
  <c r="D204" i="67"/>
  <c r="C204" i="67"/>
  <c r="L198" i="67"/>
  <c r="M335" i="67" s="1"/>
  <c r="F198" i="67"/>
  <c r="F335" i="67" s="1"/>
  <c r="L197" i="67"/>
  <c r="M316" i="67" s="1"/>
  <c r="F197" i="67"/>
  <c r="F316" i="67" s="1"/>
  <c r="L196" i="67"/>
  <c r="M297" i="67" s="1"/>
  <c r="F196" i="67"/>
  <c r="F297" i="67" s="1"/>
  <c r="L195" i="67"/>
  <c r="M278" i="67" s="1"/>
  <c r="F195" i="67"/>
  <c r="F278" i="67" s="1"/>
  <c r="L194" i="67"/>
  <c r="M259" i="67" s="1"/>
  <c r="F194" i="67"/>
  <c r="F259" i="67" s="1"/>
  <c r="L193" i="67"/>
  <c r="M240" i="67" s="1"/>
  <c r="F193" i="67"/>
  <c r="F240" i="67" s="1"/>
  <c r="L192" i="67"/>
  <c r="M221" i="67" s="1"/>
  <c r="F192" i="67"/>
  <c r="F221" i="67" s="1"/>
  <c r="K191" i="67"/>
  <c r="J191" i="67"/>
  <c r="H189" i="67"/>
  <c r="L187" i="67"/>
  <c r="M334" i="67" s="1"/>
  <c r="F187" i="67"/>
  <c r="F334" i="67" s="1"/>
  <c r="L186" i="67"/>
  <c r="M315" i="67" s="1"/>
  <c r="F186" i="67"/>
  <c r="F315" i="67" s="1"/>
  <c r="L185" i="67"/>
  <c r="M296" i="67" s="1"/>
  <c r="F185" i="67"/>
  <c r="F296" i="67" s="1"/>
  <c r="L184" i="67"/>
  <c r="M277" i="67" s="1"/>
  <c r="F184" i="67"/>
  <c r="F277" i="67" s="1"/>
  <c r="L183" i="67"/>
  <c r="M258" i="67" s="1"/>
  <c r="F183" i="67"/>
  <c r="F258" i="67" s="1"/>
  <c r="L182" i="67"/>
  <c r="M239" i="67" s="1"/>
  <c r="F182" i="67"/>
  <c r="F239" i="67" s="1"/>
  <c r="L181" i="67"/>
  <c r="M220" i="67" s="1"/>
  <c r="F181" i="67"/>
  <c r="F220" i="67" s="1"/>
  <c r="K180" i="67"/>
  <c r="J180" i="67"/>
  <c r="H178" i="67"/>
  <c r="L176" i="67"/>
  <c r="M333" i="67" s="1"/>
  <c r="F176" i="67"/>
  <c r="F333" i="67" s="1"/>
  <c r="L175" i="67"/>
  <c r="M314" i="67" s="1"/>
  <c r="F175" i="67"/>
  <c r="F314" i="67" s="1"/>
  <c r="L174" i="67"/>
  <c r="M295" i="67" s="1"/>
  <c r="F174" i="67"/>
  <c r="F295" i="67" s="1"/>
  <c r="L173" i="67"/>
  <c r="M276" i="67" s="1"/>
  <c r="F173" i="67"/>
  <c r="F276" i="67" s="1"/>
  <c r="L172" i="67"/>
  <c r="M257" i="67" s="1"/>
  <c r="F172" i="67"/>
  <c r="F257" i="67" s="1"/>
  <c r="L171" i="67"/>
  <c r="M238" i="67" s="1"/>
  <c r="F171" i="67"/>
  <c r="F238" i="67" s="1"/>
  <c r="L170" i="67"/>
  <c r="M219" i="67" s="1"/>
  <c r="F170" i="67"/>
  <c r="F219" i="67" s="1"/>
  <c r="K169" i="67"/>
  <c r="J169" i="67"/>
  <c r="H167" i="67"/>
  <c r="L165" i="67"/>
  <c r="M332" i="67" s="1"/>
  <c r="F165" i="67"/>
  <c r="F332" i="67" s="1"/>
  <c r="L164" i="67"/>
  <c r="M313" i="67" s="1"/>
  <c r="F164" i="67"/>
  <c r="F313" i="67" s="1"/>
  <c r="L163" i="67"/>
  <c r="M294" i="67" s="1"/>
  <c r="F163" i="67"/>
  <c r="F294" i="67" s="1"/>
  <c r="L162" i="67"/>
  <c r="M275" i="67" s="1"/>
  <c r="F162" i="67"/>
  <c r="F275" i="67" s="1"/>
  <c r="L161" i="67"/>
  <c r="M256" i="67" s="1"/>
  <c r="F161" i="67"/>
  <c r="F256" i="67" s="1"/>
  <c r="L160" i="67"/>
  <c r="M237" i="67" s="1"/>
  <c r="F160" i="67"/>
  <c r="F237" i="67" s="1"/>
  <c r="L159" i="67"/>
  <c r="M218" i="67" s="1"/>
  <c r="F159" i="67"/>
  <c r="F218" i="67" s="1"/>
  <c r="K158" i="67"/>
  <c r="J158" i="67"/>
  <c r="H156" i="67"/>
  <c r="L154" i="67"/>
  <c r="M331" i="67" s="1"/>
  <c r="F154" i="67"/>
  <c r="F331" i="67" s="1"/>
  <c r="L153" i="67"/>
  <c r="M312" i="67" s="1"/>
  <c r="F153" i="67"/>
  <c r="F312" i="67" s="1"/>
  <c r="L152" i="67"/>
  <c r="M293" i="67" s="1"/>
  <c r="F152" i="67"/>
  <c r="F293" i="67" s="1"/>
  <c r="L151" i="67"/>
  <c r="M274" i="67" s="1"/>
  <c r="F151" i="67"/>
  <c r="F274" i="67" s="1"/>
  <c r="L150" i="67"/>
  <c r="M255" i="67" s="1"/>
  <c r="F150" i="67"/>
  <c r="F255" i="67" s="1"/>
  <c r="L149" i="67"/>
  <c r="M236" i="67" s="1"/>
  <c r="F149" i="67"/>
  <c r="F236" i="67" s="1"/>
  <c r="L148" i="67"/>
  <c r="M217" i="67" s="1"/>
  <c r="F148" i="67"/>
  <c r="F217" i="67" s="1"/>
  <c r="K147" i="67"/>
  <c r="J147" i="67"/>
  <c r="H145" i="67"/>
  <c r="L143" i="67"/>
  <c r="M330" i="67" s="1"/>
  <c r="F143" i="67"/>
  <c r="F330" i="67" s="1"/>
  <c r="L142" i="67"/>
  <c r="M311" i="67" s="1"/>
  <c r="F142" i="67"/>
  <c r="F311" i="67" s="1"/>
  <c r="L141" i="67"/>
  <c r="M292" i="67" s="1"/>
  <c r="F141" i="67"/>
  <c r="F292" i="67" s="1"/>
  <c r="L140" i="67"/>
  <c r="M273" i="67" s="1"/>
  <c r="F140" i="67"/>
  <c r="F273" i="67" s="1"/>
  <c r="L139" i="67"/>
  <c r="M254" i="67" s="1"/>
  <c r="F139" i="67"/>
  <c r="F254" i="67" s="1"/>
  <c r="L138" i="67"/>
  <c r="M235" i="67" s="1"/>
  <c r="F138" i="67"/>
  <c r="F235" i="67" s="1"/>
  <c r="L137" i="67"/>
  <c r="M216" i="67" s="1"/>
  <c r="F137" i="67"/>
  <c r="F216" i="67" s="1"/>
  <c r="K136" i="67"/>
  <c r="J136" i="67"/>
  <c r="H134" i="67"/>
  <c r="L132" i="67"/>
  <c r="M329" i="67" s="1"/>
  <c r="F132" i="67"/>
  <c r="F329" i="67" s="1"/>
  <c r="L131" i="67"/>
  <c r="M310" i="67" s="1"/>
  <c r="F131" i="67"/>
  <c r="F310" i="67" s="1"/>
  <c r="L130" i="67"/>
  <c r="M291" i="67" s="1"/>
  <c r="F130" i="67"/>
  <c r="F291" i="67" s="1"/>
  <c r="L129" i="67"/>
  <c r="M272" i="67" s="1"/>
  <c r="F129" i="67"/>
  <c r="F272" i="67" s="1"/>
  <c r="L128" i="67"/>
  <c r="M253" i="67" s="1"/>
  <c r="F128" i="67"/>
  <c r="F253" i="67" s="1"/>
  <c r="L127" i="67"/>
  <c r="M234" i="67" s="1"/>
  <c r="F127" i="67"/>
  <c r="F234" i="67" s="1"/>
  <c r="L126" i="67"/>
  <c r="M215" i="67" s="1"/>
  <c r="F126" i="67"/>
  <c r="F215" i="67" s="1"/>
  <c r="K125" i="67"/>
  <c r="J125" i="67"/>
  <c r="H123" i="67"/>
  <c r="L121" i="67"/>
  <c r="M328" i="67" s="1"/>
  <c r="F121" i="67"/>
  <c r="F328" i="67" s="1"/>
  <c r="L120" i="67"/>
  <c r="M309" i="67" s="1"/>
  <c r="F120" i="67"/>
  <c r="F309" i="67" s="1"/>
  <c r="L119" i="67"/>
  <c r="M290" i="67" s="1"/>
  <c r="F119" i="67"/>
  <c r="F290" i="67" s="1"/>
  <c r="L118" i="67"/>
  <c r="M271" i="67" s="1"/>
  <c r="F118" i="67"/>
  <c r="F271" i="67" s="1"/>
  <c r="L117" i="67"/>
  <c r="M252" i="67" s="1"/>
  <c r="F117" i="67"/>
  <c r="F252" i="67" s="1"/>
  <c r="L116" i="67"/>
  <c r="M233" i="67" s="1"/>
  <c r="F116" i="67"/>
  <c r="F233" i="67" s="1"/>
  <c r="L115" i="67"/>
  <c r="M214" i="67" s="1"/>
  <c r="F115" i="67"/>
  <c r="F214" i="67" s="1"/>
  <c r="K114" i="67"/>
  <c r="J114" i="67"/>
  <c r="H112" i="67"/>
  <c r="L110" i="67"/>
  <c r="M327" i="67" s="1"/>
  <c r="F110" i="67"/>
  <c r="F327" i="67" s="1"/>
  <c r="L109" i="67"/>
  <c r="M308" i="67" s="1"/>
  <c r="F109" i="67"/>
  <c r="F308" i="67" s="1"/>
  <c r="L108" i="67"/>
  <c r="M289" i="67" s="1"/>
  <c r="F108" i="67"/>
  <c r="F289" i="67" s="1"/>
  <c r="L107" i="67"/>
  <c r="M270" i="67" s="1"/>
  <c r="F107" i="67"/>
  <c r="F270" i="67" s="1"/>
  <c r="L106" i="67"/>
  <c r="M251" i="67" s="1"/>
  <c r="F106" i="67"/>
  <c r="F251" i="67" s="1"/>
  <c r="L105" i="67"/>
  <c r="M232" i="67" s="1"/>
  <c r="F105" i="67"/>
  <c r="F232" i="67" s="1"/>
  <c r="L104" i="67"/>
  <c r="M213" i="67" s="1"/>
  <c r="F104" i="67"/>
  <c r="F213" i="67" s="1"/>
  <c r="K103" i="67"/>
  <c r="J103" i="67"/>
  <c r="H101" i="67"/>
  <c r="L99" i="67"/>
  <c r="M326" i="67" s="1"/>
  <c r="F99" i="67"/>
  <c r="F326" i="67" s="1"/>
  <c r="L98" i="67"/>
  <c r="M307" i="67" s="1"/>
  <c r="F98" i="67"/>
  <c r="F307" i="67" s="1"/>
  <c r="L97" i="67"/>
  <c r="M288" i="67" s="1"/>
  <c r="F97" i="67"/>
  <c r="F288" i="67" s="1"/>
  <c r="L96" i="67"/>
  <c r="M269" i="67" s="1"/>
  <c r="F96" i="67"/>
  <c r="F269" i="67" s="1"/>
  <c r="L95" i="67"/>
  <c r="M250" i="67" s="1"/>
  <c r="F95" i="67"/>
  <c r="F250" i="67" s="1"/>
  <c r="L94" i="67"/>
  <c r="M231" i="67" s="1"/>
  <c r="F94" i="67"/>
  <c r="F231" i="67" s="1"/>
  <c r="L93" i="67"/>
  <c r="M212" i="67" s="1"/>
  <c r="F93" i="67"/>
  <c r="F212" i="67" s="1"/>
  <c r="K92" i="67"/>
  <c r="J92" i="67"/>
  <c r="H90" i="67"/>
  <c r="L88" i="67"/>
  <c r="M325" i="67" s="1"/>
  <c r="F88" i="67"/>
  <c r="F325" i="67" s="1"/>
  <c r="L87" i="67"/>
  <c r="M306" i="67" s="1"/>
  <c r="F87" i="67"/>
  <c r="F306" i="67" s="1"/>
  <c r="L86" i="67"/>
  <c r="M287" i="67" s="1"/>
  <c r="F86" i="67"/>
  <c r="F287" i="67" s="1"/>
  <c r="L85" i="67"/>
  <c r="M268" i="67" s="1"/>
  <c r="F85" i="67"/>
  <c r="F268" i="67" s="1"/>
  <c r="L84" i="67"/>
  <c r="M249" i="67" s="1"/>
  <c r="F84" i="67"/>
  <c r="F249" i="67" s="1"/>
  <c r="L83" i="67"/>
  <c r="M230" i="67" s="1"/>
  <c r="F83" i="67"/>
  <c r="F230" i="67" s="1"/>
  <c r="L82" i="67"/>
  <c r="M211" i="67" s="1"/>
  <c r="F82" i="67"/>
  <c r="F211" i="67" s="1"/>
  <c r="K81" i="67"/>
  <c r="J81" i="67"/>
  <c r="H79" i="67"/>
  <c r="L77" i="67"/>
  <c r="M324" i="67" s="1"/>
  <c r="F77" i="67"/>
  <c r="F324" i="67" s="1"/>
  <c r="L76" i="67"/>
  <c r="M305" i="67" s="1"/>
  <c r="F76" i="67"/>
  <c r="F305" i="67" s="1"/>
  <c r="L75" i="67"/>
  <c r="M286" i="67" s="1"/>
  <c r="F75" i="67"/>
  <c r="F286" i="67" s="1"/>
  <c r="L74" i="67"/>
  <c r="M267" i="67" s="1"/>
  <c r="F74" i="67"/>
  <c r="F267" i="67" s="1"/>
  <c r="L73" i="67"/>
  <c r="M248" i="67" s="1"/>
  <c r="F73" i="67"/>
  <c r="F248" i="67" s="1"/>
  <c r="L72" i="67"/>
  <c r="M229" i="67" s="1"/>
  <c r="F72" i="67"/>
  <c r="F229" i="67" s="1"/>
  <c r="L71" i="67"/>
  <c r="M210" i="67" s="1"/>
  <c r="F71" i="67"/>
  <c r="F210" i="67" s="1"/>
  <c r="K70" i="67"/>
  <c r="J70" i="67"/>
  <c r="H68" i="67"/>
  <c r="L66" i="67"/>
  <c r="M323" i="67" s="1"/>
  <c r="F66" i="67"/>
  <c r="F323" i="67" s="1"/>
  <c r="L65" i="67"/>
  <c r="M304" i="67" s="1"/>
  <c r="F65" i="67"/>
  <c r="F304" i="67" s="1"/>
  <c r="L64" i="67"/>
  <c r="M285" i="67" s="1"/>
  <c r="F64" i="67"/>
  <c r="F285" i="67" s="1"/>
  <c r="L63" i="67"/>
  <c r="M266" i="67" s="1"/>
  <c r="F63" i="67"/>
  <c r="F266" i="67" s="1"/>
  <c r="L62" i="67"/>
  <c r="M247" i="67" s="1"/>
  <c r="F62" i="67"/>
  <c r="F247" i="67" s="1"/>
  <c r="L61" i="67"/>
  <c r="M228" i="67" s="1"/>
  <c r="F61" i="67"/>
  <c r="F228" i="67" s="1"/>
  <c r="L60" i="67"/>
  <c r="M209" i="67" s="1"/>
  <c r="F60" i="67"/>
  <c r="F209" i="67" s="1"/>
  <c r="K59" i="67"/>
  <c r="J59" i="67"/>
  <c r="H57" i="67"/>
  <c r="L55" i="67"/>
  <c r="M322" i="67" s="1"/>
  <c r="F55" i="67"/>
  <c r="F322" i="67" s="1"/>
  <c r="L54" i="67"/>
  <c r="M303" i="67" s="1"/>
  <c r="F54" i="67"/>
  <c r="F303" i="67" s="1"/>
  <c r="L53" i="67"/>
  <c r="M284" i="67" s="1"/>
  <c r="F53" i="67"/>
  <c r="F284" i="67" s="1"/>
  <c r="L52" i="67"/>
  <c r="M265" i="67" s="1"/>
  <c r="F52" i="67"/>
  <c r="F265" i="67" s="1"/>
  <c r="L51" i="67"/>
  <c r="M246" i="67" s="1"/>
  <c r="F51" i="67"/>
  <c r="F246" i="67" s="1"/>
  <c r="L50" i="67"/>
  <c r="M227" i="67" s="1"/>
  <c r="F50" i="67"/>
  <c r="F227" i="67" s="1"/>
  <c r="L49" i="67"/>
  <c r="M208" i="67" s="1"/>
  <c r="F49" i="67"/>
  <c r="F208" i="67" s="1"/>
  <c r="K48" i="67"/>
  <c r="J48" i="67"/>
  <c r="H46" i="67"/>
  <c r="L44" i="67"/>
  <c r="M321" i="67" s="1"/>
  <c r="F44" i="67"/>
  <c r="F321" i="67" s="1"/>
  <c r="L43" i="67"/>
  <c r="M302" i="67" s="1"/>
  <c r="F43" i="67"/>
  <c r="F302" i="67" s="1"/>
  <c r="L42" i="67"/>
  <c r="M283" i="67" s="1"/>
  <c r="F42" i="67"/>
  <c r="F283" i="67" s="1"/>
  <c r="L41" i="67"/>
  <c r="M264" i="67" s="1"/>
  <c r="F41" i="67"/>
  <c r="F264" i="67" s="1"/>
  <c r="L40" i="67"/>
  <c r="M245" i="67" s="1"/>
  <c r="F40" i="67"/>
  <c r="F245" i="67" s="1"/>
  <c r="L39" i="67"/>
  <c r="M226" i="67" s="1"/>
  <c r="F39" i="67"/>
  <c r="F226" i="67" s="1"/>
  <c r="L38" i="67"/>
  <c r="M207" i="67" s="1"/>
  <c r="F38" i="67"/>
  <c r="F207" i="67" s="1"/>
  <c r="K37" i="67"/>
  <c r="J37" i="67"/>
  <c r="H35" i="67"/>
  <c r="L33" i="67"/>
  <c r="M320" i="67" s="1"/>
  <c r="F33" i="67"/>
  <c r="F320" i="67" s="1"/>
  <c r="L32" i="67"/>
  <c r="M301" i="67" s="1"/>
  <c r="F32" i="67"/>
  <c r="F301" i="67" s="1"/>
  <c r="L31" i="67"/>
  <c r="M282" i="67" s="1"/>
  <c r="F31" i="67"/>
  <c r="F282" i="67" s="1"/>
  <c r="L30" i="67"/>
  <c r="M263" i="67" s="1"/>
  <c r="F30" i="67"/>
  <c r="F263" i="67" s="1"/>
  <c r="L29" i="67"/>
  <c r="M244" i="67" s="1"/>
  <c r="F29" i="67"/>
  <c r="F244" i="67" s="1"/>
  <c r="L28" i="67"/>
  <c r="M225" i="67" s="1"/>
  <c r="F28" i="67"/>
  <c r="F225" i="67" s="1"/>
  <c r="L27" i="67"/>
  <c r="M206" i="67" s="1"/>
  <c r="F27" i="67"/>
  <c r="F206" i="67" s="1"/>
  <c r="K26" i="67"/>
  <c r="J26" i="67"/>
  <c r="H24" i="67"/>
  <c r="L22" i="67"/>
  <c r="M319" i="67" s="1"/>
  <c r="F22" i="67"/>
  <c r="F319" i="67" s="1"/>
  <c r="L21" i="67"/>
  <c r="M300" i="67" s="1"/>
  <c r="F21" i="67"/>
  <c r="F300" i="67" s="1"/>
  <c r="L20" i="67"/>
  <c r="F20" i="67"/>
  <c r="F281" i="67" s="1"/>
  <c r="L19" i="67"/>
  <c r="M262" i="67" s="1"/>
  <c r="F19" i="67"/>
  <c r="F262" i="67" s="1"/>
  <c r="L18" i="67"/>
  <c r="M243" i="67" s="1"/>
  <c r="F18" i="67"/>
  <c r="F243" i="67" s="1"/>
  <c r="L17" i="67"/>
  <c r="M224" i="67" s="1"/>
  <c r="F17" i="67"/>
  <c r="F224" i="67" s="1"/>
  <c r="L16" i="67"/>
  <c r="M205" i="67" s="1"/>
  <c r="F16" i="67"/>
  <c r="F205" i="67" s="1"/>
  <c r="K15" i="67"/>
  <c r="J15" i="67"/>
  <c r="H13" i="67"/>
  <c r="L11" i="67"/>
  <c r="M318" i="67" s="1"/>
  <c r="F11" i="67"/>
  <c r="F318" i="67" s="1"/>
  <c r="L10" i="67"/>
  <c r="M299" i="67" s="1"/>
  <c r="F10" i="67"/>
  <c r="F299" i="67" s="1"/>
  <c r="L9" i="67"/>
  <c r="F9" i="67"/>
  <c r="F280" i="67" s="1"/>
  <c r="L8" i="67"/>
  <c r="M261" i="67" s="1"/>
  <c r="F8" i="67"/>
  <c r="F261" i="67" s="1"/>
  <c r="L7" i="67"/>
  <c r="M242" i="67" s="1"/>
  <c r="F7" i="67"/>
  <c r="F242" i="67" s="1"/>
  <c r="L6" i="67"/>
  <c r="F6" i="67"/>
  <c r="F223" i="67" s="1"/>
  <c r="L5" i="67"/>
  <c r="M204" i="67" s="1"/>
  <c r="F5" i="67"/>
  <c r="F204" i="67" s="1"/>
  <c r="K4" i="67"/>
  <c r="J4" i="67"/>
  <c r="H2" i="67"/>
  <c r="M223" i="67" l="1"/>
  <c r="A375" i="67"/>
  <c r="A337" i="67" s="1"/>
  <c r="O341" i="67" s="1"/>
  <c r="N357" i="67" s="1"/>
  <c r="G14" i="58" s="1"/>
  <c r="B337" i="67"/>
  <c r="M281" i="67"/>
  <c r="M280" i="67"/>
  <c r="A350" i="67"/>
  <c r="O342" i="67" l="1"/>
  <c r="N358" i="67" s="1"/>
  <c r="G15" i="58" s="1"/>
  <c r="D342" i="67"/>
  <c r="B342" i="67"/>
  <c r="D346" i="67"/>
  <c r="A342" i="67"/>
  <c r="A346" i="67"/>
  <c r="B345" i="67"/>
  <c r="B344" i="67"/>
  <c r="B343" i="67"/>
  <c r="B341" i="67"/>
  <c r="B340" i="67"/>
  <c r="B346" i="67"/>
  <c r="C344" i="67"/>
  <c r="D341" i="67"/>
  <c r="A344" i="67"/>
  <c r="C341" i="67"/>
  <c r="K337" i="67"/>
  <c r="A341" i="67"/>
  <c r="F337" i="67"/>
  <c r="D345" i="67"/>
  <c r="D343" i="67"/>
  <c r="C342" i="67"/>
  <c r="C345" i="67"/>
  <c r="C343" i="67"/>
  <c r="D340" i="67"/>
  <c r="D344" i="67"/>
  <c r="A345" i="67"/>
  <c r="A343" i="67"/>
  <c r="C340" i="67"/>
  <c r="A340" i="67"/>
  <c r="C346" i="67"/>
  <c r="C339" i="67"/>
  <c r="H339" i="67" s="1"/>
  <c r="B339" i="67"/>
  <c r="G339" i="67" s="1"/>
  <c r="G337" i="67"/>
  <c r="L337" i="67" s="1"/>
  <c r="E350" i="67" l="1"/>
  <c r="M341" i="67" s="1"/>
  <c r="H346" i="67"/>
  <c r="I345" i="67"/>
  <c r="I344" i="67"/>
  <c r="I343" i="67"/>
  <c r="I341" i="67"/>
  <c r="I340" i="67"/>
  <c r="F346" i="67"/>
  <c r="G345" i="67"/>
  <c r="G344" i="67"/>
  <c r="G343" i="67"/>
  <c r="G341" i="67"/>
  <c r="G340" i="67"/>
  <c r="F345" i="67"/>
  <c r="F344" i="67"/>
  <c r="F343" i="67"/>
  <c r="F341" i="67"/>
  <c r="F340" i="67"/>
  <c r="G342" i="67"/>
  <c r="I342" i="67"/>
  <c r="H342" i="67"/>
  <c r="H341" i="67"/>
  <c r="H345" i="67"/>
  <c r="H343" i="67"/>
  <c r="F342" i="67"/>
  <c r="H340" i="67"/>
  <c r="I346" i="67"/>
  <c r="G346" i="67"/>
  <c r="H344" i="67"/>
  <c r="J350" i="67" l="1"/>
  <c r="M342" i="67" s="1"/>
  <c r="M357" i="67" l="1"/>
  <c r="G15" i="23"/>
  <c r="M34" i="23"/>
  <c r="E14" i="58" l="1"/>
  <c r="L345" i="67"/>
  <c r="E14" i="57" s="1"/>
  <c r="X28" i="52"/>
  <c r="Y28" i="52" s="1"/>
  <c r="AB34" i="57" s="1"/>
  <c r="F17" i="36"/>
  <c r="I17" i="36" s="1"/>
  <c r="K17" i="36" s="1"/>
  <c r="AF22" i="23"/>
  <c r="AG22" i="23" s="1"/>
  <c r="M358" i="67"/>
  <c r="G16" i="23"/>
  <c r="L346" i="67" l="1"/>
  <c r="E15" i="57" s="1"/>
  <c r="E15" i="58"/>
  <c r="M17" i="36"/>
  <c r="L17" i="36"/>
  <c r="AF24" i="23"/>
  <c r="AG24" i="23"/>
  <c r="AG23" i="23"/>
  <c r="AE24" i="23" l="1"/>
  <c r="J27" i="23"/>
  <c r="J26" i="57" s="1"/>
  <c r="P55" i="52" l="1"/>
  <c r="P97" i="52" l="1"/>
  <c r="P83" i="52"/>
  <c r="P69" i="52"/>
  <c r="P41" i="52"/>
  <c r="P13" i="52"/>
  <c r="P27" i="52"/>
  <c r="AB101" i="36"/>
  <c r="B96" i="53" l="1"/>
  <c r="A116" i="53"/>
  <c r="F6" i="36"/>
  <c r="R5" i="36"/>
  <c r="J51" i="53"/>
  <c r="AE51" i="53"/>
  <c r="C111" i="53" s="1"/>
  <c r="AD51" i="53"/>
  <c r="B111" i="53" s="1"/>
  <c r="AC51" i="53"/>
  <c r="A111" i="53" s="1"/>
  <c r="AE50" i="53"/>
  <c r="C110" i="53" s="1"/>
  <c r="AD50" i="53"/>
  <c r="B110" i="53" s="1"/>
  <c r="AC50" i="53"/>
  <c r="A110" i="53" s="1"/>
  <c r="AE49" i="53"/>
  <c r="C109" i="53" s="1"/>
  <c r="AD49" i="53"/>
  <c r="B109" i="53" s="1"/>
  <c r="AC49" i="53"/>
  <c r="A109" i="53" s="1"/>
  <c r="AE48" i="53"/>
  <c r="C108" i="53" s="1"/>
  <c r="AD48" i="53"/>
  <c r="B108" i="53" s="1"/>
  <c r="AC48" i="53"/>
  <c r="A108" i="53" s="1"/>
  <c r="AE47" i="53"/>
  <c r="C107" i="53" s="1"/>
  <c r="AD47" i="53"/>
  <c r="B107" i="53" s="1"/>
  <c r="AC47" i="53"/>
  <c r="A107" i="53" s="1"/>
  <c r="AE46" i="53"/>
  <c r="C106" i="53" s="1"/>
  <c r="AD46" i="53"/>
  <c r="B106" i="53" s="1"/>
  <c r="AC46" i="53"/>
  <c r="A106" i="53" s="1"/>
  <c r="AE45" i="53"/>
  <c r="C105" i="53" s="1"/>
  <c r="AD45" i="53"/>
  <c r="B105" i="53" s="1"/>
  <c r="AC45" i="53"/>
  <c r="A105" i="53" s="1"/>
  <c r="AE44" i="53"/>
  <c r="C104" i="53" s="1"/>
  <c r="AD44" i="53"/>
  <c r="B104" i="53" s="1"/>
  <c r="AC44" i="53"/>
  <c r="A104" i="53" s="1"/>
  <c r="AG46" i="53"/>
  <c r="E106" i="53" s="1"/>
  <c r="AG51" i="53"/>
  <c r="E111" i="53" s="1"/>
  <c r="AG50" i="53"/>
  <c r="E110" i="53" s="1"/>
  <c r="AG49" i="53"/>
  <c r="E109" i="53" s="1"/>
  <c r="AG48" i="53"/>
  <c r="E108" i="53" s="1"/>
  <c r="AG47" i="53"/>
  <c r="E107" i="53" s="1"/>
  <c r="AG45" i="53"/>
  <c r="E105" i="53" s="1"/>
  <c r="AG44" i="53"/>
  <c r="E104" i="53" s="1"/>
  <c r="AA45" i="53"/>
  <c r="AA46" i="53"/>
  <c r="AA47" i="53"/>
  <c r="AA48" i="53"/>
  <c r="AA49" i="53"/>
  <c r="AA50" i="53"/>
  <c r="AA51" i="53"/>
  <c r="AA44" i="53"/>
  <c r="W45" i="53"/>
  <c r="X45" i="53"/>
  <c r="Y45" i="53"/>
  <c r="W46" i="53"/>
  <c r="X46" i="53"/>
  <c r="Y46" i="53"/>
  <c r="W47" i="53"/>
  <c r="X47" i="53"/>
  <c r="Y47" i="53"/>
  <c r="W48" i="53"/>
  <c r="X48" i="53"/>
  <c r="Y48" i="53"/>
  <c r="W49" i="53"/>
  <c r="X49" i="53"/>
  <c r="Y49" i="53"/>
  <c r="W50" i="53"/>
  <c r="X50" i="53"/>
  <c r="Y50" i="53"/>
  <c r="W51" i="53"/>
  <c r="X51" i="53"/>
  <c r="Y51" i="53"/>
  <c r="X44" i="53"/>
  <c r="Y44" i="53"/>
  <c r="W44" i="53"/>
  <c r="D51" i="53"/>
  <c r="P38" i="53"/>
  <c r="AI32" i="53"/>
  <c r="AJ32" i="53"/>
  <c r="AK32" i="53"/>
  <c r="AI33" i="53"/>
  <c r="AJ33" i="53"/>
  <c r="AK33" i="53"/>
  <c r="AI34" i="53"/>
  <c r="AJ34" i="53"/>
  <c r="AK34" i="53"/>
  <c r="AI35" i="53"/>
  <c r="AJ35" i="53"/>
  <c r="AK35" i="53"/>
  <c r="AI36" i="53"/>
  <c r="AJ36" i="53"/>
  <c r="AK36" i="53"/>
  <c r="AI37" i="53"/>
  <c r="AJ37" i="53"/>
  <c r="AK37" i="53"/>
  <c r="AI38" i="53"/>
  <c r="AJ38" i="53"/>
  <c r="AK38" i="53"/>
  <c r="AM38" i="53"/>
  <c r="AM37" i="53"/>
  <c r="AM36" i="53"/>
  <c r="AM35" i="53"/>
  <c r="AM34" i="53"/>
  <c r="AM33" i="53"/>
  <c r="AM32" i="53"/>
  <c r="AM31" i="53"/>
  <c r="AJ31" i="53"/>
  <c r="AK31" i="53"/>
  <c r="AI31" i="53"/>
  <c r="J38" i="53"/>
  <c r="AG32" i="53"/>
  <c r="AG33" i="53"/>
  <c r="AG34" i="53"/>
  <c r="AG35" i="53"/>
  <c r="AG36" i="53"/>
  <c r="AG37" i="53"/>
  <c r="AG38" i="53"/>
  <c r="AG31" i="53"/>
  <c r="AC32" i="53"/>
  <c r="AD32" i="53"/>
  <c r="AE32" i="53"/>
  <c r="AC33" i="53"/>
  <c r="AD33" i="53"/>
  <c r="AE33" i="53"/>
  <c r="AC34" i="53"/>
  <c r="AD34" i="53"/>
  <c r="AE34" i="53"/>
  <c r="AC35" i="53"/>
  <c r="AD35" i="53"/>
  <c r="AE35" i="53"/>
  <c r="AC36" i="53"/>
  <c r="AD36" i="53"/>
  <c r="AE36" i="53"/>
  <c r="AC37" i="53"/>
  <c r="AD37" i="53"/>
  <c r="AE37" i="53"/>
  <c r="AC38" i="53"/>
  <c r="AD38" i="53"/>
  <c r="AE38" i="53"/>
  <c r="AD31" i="53"/>
  <c r="AE31" i="53"/>
  <c r="AC31" i="53"/>
  <c r="AA38" i="53"/>
  <c r="AA37" i="53"/>
  <c r="AA36" i="53"/>
  <c r="AA35" i="53"/>
  <c r="AA34" i="53"/>
  <c r="AA33" i="53"/>
  <c r="AA32" i="53"/>
  <c r="AA31" i="53"/>
  <c r="Y38" i="53"/>
  <c r="Z38" i="53" s="1"/>
  <c r="Y37" i="53"/>
  <c r="Z37" i="53" s="1"/>
  <c r="Y36" i="53"/>
  <c r="Z36" i="53" s="1"/>
  <c r="Y35" i="53"/>
  <c r="Z35" i="53" s="1"/>
  <c r="Y34" i="53"/>
  <c r="Z34" i="53" s="1"/>
  <c r="Y33" i="53"/>
  <c r="Z33" i="53" s="1"/>
  <c r="Y32" i="53"/>
  <c r="Z32" i="53" s="1"/>
  <c r="Y31" i="53"/>
  <c r="Z31" i="53" s="1"/>
  <c r="D38" i="53"/>
  <c r="W32" i="53"/>
  <c r="W33" i="53"/>
  <c r="W34" i="53"/>
  <c r="W35" i="53"/>
  <c r="W36" i="53"/>
  <c r="W37" i="53"/>
  <c r="W38" i="53"/>
  <c r="W31" i="53"/>
  <c r="AM20" i="53"/>
  <c r="AM19" i="53"/>
  <c r="AM21" i="53"/>
  <c r="AM22" i="53"/>
  <c r="AM23" i="53"/>
  <c r="AM24" i="53"/>
  <c r="AM25" i="53"/>
  <c r="AM18" i="53"/>
  <c r="P25" i="53"/>
  <c r="AI25" i="53"/>
  <c r="AJ25" i="53"/>
  <c r="AK25" i="53"/>
  <c r="AI19" i="53"/>
  <c r="AJ19" i="53"/>
  <c r="AK19" i="53"/>
  <c r="AI20" i="53"/>
  <c r="AJ20" i="53"/>
  <c r="AK20" i="53"/>
  <c r="AI21" i="53"/>
  <c r="AJ21" i="53"/>
  <c r="AK21" i="53"/>
  <c r="AI22" i="53"/>
  <c r="AJ22" i="53"/>
  <c r="AK22" i="53"/>
  <c r="AI23" i="53"/>
  <c r="AJ23" i="53"/>
  <c r="AK23" i="53"/>
  <c r="AI24" i="53"/>
  <c r="AJ24" i="53"/>
  <c r="AK24" i="53"/>
  <c r="AJ18" i="53"/>
  <c r="AK18" i="53"/>
  <c r="AI18" i="53"/>
  <c r="AG19" i="53"/>
  <c r="AG20" i="53"/>
  <c r="AG21" i="53"/>
  <c r="AG22" i="53"/>
  <c r="AG23" i="53"/>
  <c r="AG24" i="53"/>
  <c r="AG25" i="53"/>
  <c r="AG18" i="53"/>
  <c r="AC19" i="53"/>
  <c r="AD19" i="53"/>
  <c r="AE19" i="53"/>
  <c r="AC20" i="53"/>
  <c r="AD20" i="53"/>
  <c r="AE20" i="53"/>
  <c r="AC21" i="53"/>
  <c r="AD21" i="53"/>
  <c r="AE21" i="53"/>
  <c r="AC22" i="53"/>
  <c r="AD22" i="53"/>
  <c r="AE22" i="53"/>
  <c r="AC23" i="53"/>
  <c r="AD23" i="53"/>
  <c r="AE23" i="53"/>
  <c r="AC24" i="53"/>
  <c r="AD24" i="53"/>
  <c r="AE24" i="53"/>
  <c r="AC25" i="53"/>
  <c r="AD25" i="53"/>
  <c r="AE25" i="53"/>
  <c r="AD18" i="53"/>
  <c r="AE18" i="53"/>
  <c r="AC18" i="53"/>
  <c r="J25" i="53"/>
  <c r="AA19" i="53"/>
  <c r="AA20" i="53"/>
  <c r="AA21" i="53"/>
  <c r="AA22" i="53"/>
  <c r="AA23" i="53"/>
  <c r="AA24" i="53"/>
  <c r="AA25" i="53"/>
  <c r="AA18" i="53"/>
  <c r="W19" i="53"/>
  <c r="X19" i="53"/>
  <c r="Y19" i="53"/>
  <c r="W20" i="53"/>
  <c r="X20" i="53"/>
  <c r="Y20" i="53"/>
  <c r="W21" i="53"/>
  <c r="X21" i="53"/>
  <c r="Y21" i="53"/>
  <c r="W22" i="53"/>
  <c r="X22" i="53"/>
  <c r="Y22" i="53"/>
  <c r="W23" i="53"/>
  <c r="X23" i="53"/>
  <c r="Y23" i="53"/>
  <c r="W24" i="53"/>
  <c r="X24" i="53"/>
  <c r="Y24" i="53"/>
  <c r="W25" i="53"/>
  <c r="X25" i="53"/>
  <c r="Y25" i="53"/>
  <c r="X18" i="53"/>
  <c r="Y18" i="53"/>
  <c r="W18" i="53"/>
  <c r="D25" i="53"/>
  <c r="Z51" i="53" l="1"/>
  <c r="AF48" i="53"/>
  <c r="D108" i="53" s="1"/>
  <c r="AF33" i="53"/>
  <c r="AL32" i="53"/>
  <c r="AL34" i="53"/>
  <c r="AL25" i="53"/>
  <c r="AF34" i="53"/>
  <c r="AF35" i="53"/>
  <c r="Z50" i="53"/>
  <c r="AF25" i="53"/>
  <c r="AL24" i="53"/>
  <c r="Z48" i="53"/>
  <c r="AL36" i="53"/>
  <c r="AF46" i="53"/>
  <c r="D106" i="53" s="1"/>
  <c r="AF49" i="53"/>
  <c r="D109" i="53" s="1"/>
  <c r="AF37" i="53"/>
  <c r="AL35" i="53"/>
  <c r="Z46" i="53"/>
  <c r="AF50" i="53"/>
  <c r="D110" i="53" s="1"/>
  <c r="AF45" i="53"/>
  <c r="D105" i="53" s="1"/>
  <c r="AF38" i="53"/>
  <c r="Z25" i="53"/>
  <c r="AL33" i="53"/>
  <c r="AF32" i="53"/>
  <c r="Z49" i="53"/>
  <c r="Z47" i="53"/>
  <c r="AF47" i="53"/>
  <c r="D107" i="53" s="1"/>
  <c r="AL37" i="53"/>
  <c r="AF36" i="53"/>
  <c r="Z45" i="53"/>
  <c r="AL38" i="53"/>
  <c r="AF51" i="53"/>
  <c r="D111" i="53" s="1"/>
  <c r="P12" i="53"/>
  <c r="AM6" i="53"/>
  <c r="AM7" i="53"/>
  <c r="AM8" i="53"/>
  <c r="AM9" i="53"/>
  <c r="AM10" i="53"/>
  <c r="AM11" i="53"/>
  <c r="AM12" i="53"/>
  <c r="AM5" i="53"/>
  <c r="AI12" i="53"/>
  <c r="AJ12" i="53"/>
  <c r="AK12" i="53"/>
  <c r="AI6" i="53"/>
  <c r="AJ6" i="53"/>
  <c r="AK6" i="53"/>
  <c r="AI7" i="53"/>
  <c r="AJ7" i="53"/>
  <c r="AK7" i="53"/>
  <c r="AI8" i="53"/>
  <c r="AJ8" i="53"/>
  <c r="AK8" i="53"/>
  <c r="AI9" i="53"/>
  <c r="AJ9" i="53"/>
  <c r="AK9" i="53"/>
  <c r="AI10" i="53"/>
  <c r="AJ10" i="53"/>
  <c r="AK10" i="53"/>
  <c r="AI11" i="53"/>
  <c r="AJ11" i="53"/>
  <c r="AK11" i="53"/>
  <c r="AJ5" i="53"/>
  <c r="AK5" i="53"/>
  <c r="AI5" i="53"/>
  <c r="AG6" i="53"/>
  <c r="AG7" i="53"/>
  <c r="AG8" i="53"/>
  <c r="AG9" i="53"/>
  <c r="AG10" i="53"/>
  <c r="AG11" i="53"/>
  <c r="AG12" i="53"/>
  <c r="AG5" i="53"/>
  <c r="AC6" i="53"/>
  <c r="AD6" i="53"/>
  <c r="AE6" i="53"/>
  <c r="AC7" i="53"/>
  <c r="AD7" i="53"/>
  <c r="AE7" i="53"/>
  <c r="AC8" i="53"/>
  <c r="AD8" i="53"/>
  <c r="AE8" i="53"/>
  <c r="AC9" i="53"/>
  <c r="AD9" i="53"/>
  <c r="AE9" i="53"/>
  <c r="AC10" i="53"/>
  <c r="AD10" i="53"/>
  <c r="AE10" i="53"/>
  <c r="AC11" i="53"/>
  <c r="AD11" i="53"/>
  <c r="AE11" i="53"/>
  <c r="AC12" i="53"/>
  <c r="AD5" i="53"/>
  <c r="AE5" i="53"/>
  <c r="AA11" i="53"/>
  <c r="I12" i="53"/>
  <c r="AE12" i="53" s="1"/>
  <c r="H12" i="53"/>
  <c r="AD12" i="53" s="1"/>
  <c r="AC5" i="53"/>
  <c r="AC4" i="53"/>
  <c r="W12" i="53"/>
  <c r="C12" i="53"/>
  <c r="E12" i="53"/>
  <c r="AA12" i="53" s="1"/>
  <c r="B12" i="53"/>
  <c r="AA6" i="53"/>
  <c r="AA7" i="53"/>
  <c r="AA8" i="53"/>
  <c r="AA9" i="53"/>
  <c r="AA10" i="53"/>
  <c r="AA5" i="53"/>
  <c r="W6" i="53"/>
  <c r="X6" i="53"/>
  <c r="Y6" i="53"/>
  <c r="W7" i="53"/>
  <c r="X7" i="53"/>
  <c r="Y7" i="53"/>
  <c r="W8" i="53"/>
  <c r="X8" i="53"/>
  <c r="Y8" i="53"/>
  <c r="W9" i="53"/>
  <c r="X9" i="53"/>
  <c r="Y9" i="53"/>
  <c r="W10" i="53"/>
  <c r="X10" i="53"/>
  <c r="Y10" i="53"/>
  <c r="W11" i="53"/>
  <c r="X11" i="53"/>
  <c r="Y11" i="53"/>
  <c r="X5" i="53"/>
  <c r="Y5" i="53"/>
  <c r="AF44" i="53"/>
  <c r="D104" i="53" s="1"/>
  <c r="Z44" i="53"/>
  <c r="AL31" i="53"/>
  <c r="AF31" i="53"/>
  <c r="AL23" i="53"/>
  <c r="AL22" i="53"/>
  <c r="AL21" i="53"/>
  <c r="AL20" i="53"/>
  <c r="AL19" i="53"/>
  <c r="AL18" i="53"/>
  <c r="AF24" i="53"/>
  <c r="AF23" i="53"/>
  <c r="AF22" i="53"/>
  <c r="AF21" i="53"/>
  <c r="AF20" i="53"/>
  <c r="AF19" i="53"/>
  <c r="AF18" i="53"/>
  <c r="Z24" i="53"/>
  <c r="Z23" i="53"/>
  <c r="Z22" i="53"/>
  <c r="Z21" i="53"/>
  <c r="Z20" i="53"/>
  <c r="Z19" i="53"/>
  <c r="Z18" i="53"/>
  <c r="AF10" i="53" l="1"/>
  <c r="AL5" i="53"/>
  <c r="AF9" i="53"/>
  <c r="AL6" i="53"/>
  <c r="AL8" i="53"/>
  <c r="AI4" i="53"/>
  <c r="W17" i="53" s="1"/>
  <c r="B97" i="53" s="1"/>
  <c r="B116" i="53" s="1"/>
  <c r="C96" i="53" s="1"/>
  <c r="C98" i="53" s="1"/>
  <c r="B98" i="53" s="1"/>
  <c r="AF6" i="53"/>
  <c r="AL12" i="53"/>
  <c r="Z7" i="53"/>
  <c r="AF11" i="53"/>
  <c r="AF12" i="53" s="1"/>
  <c r="Y12" i="53"/>
  <c r="AF8" i="53"/>
  <c r="AL10" i="53"/>
  <c r="Z6" i="53"/>
  <c r="AL7" i="53"/>
  <c r="Z11" i="53"/>
  <c r="AF5" i="53"/>
  <c r="AF7" i="53"/>
  <c r="AL9" i="53"/>
  <c r="AL11" i="53"/>
  <c r="Z5" i="53"/>
  <c r="Z9" i="53"/>
  <c r="Z10" i="53"/>
  <c r="X12" i="53"/>
  <c r="Z8" i="53"/>
  <c r="B99" i="53" l="1"/>
  <c r="AF35" i="23"/>
  <c r="E116" i="53"/>
  <c r="D116" i="53"/>
  <c r="Z12" i="53"/>
  <c r="K32" i="23" l="1"/>
  <c r="AF32" i="23" l="1"/>
  <c r="B81" i="51"/>
  <c r="A110" i="51"/>
  <c r="B110" i="51" s="1"/>
  <c r="B62" i="57"/>
  <c r="C25" i="57"/>
  <c r="C81" i="51" l="1"/>
  <c r="E110" i="51"/>
  <c r="B82" i="51"/>
  <c r="E81" i="51" s="1"/>
  <c r="D33" i="23"/>
  <c r="B84" i="51" l="1"/>
  <c r="AE119" i="36"/>
  <c r="AE114" i="36"/>
  <c r="AE113" i="36"/>
  <c r="AD110" i="36"/>
  <c r="D33" i="58" l="1"/>
  <c r="C25" i="58"/>
  <c r="B13" i="57" l="1"/>
  <c r="B13" i="58" s="1"/>
  <c r="B50" i="23"/>
  <c r="B29" i="23"/>
  <c r="B29" i="57" s="1"/>
  <c r="B29" i="58" s="1"/>
  <c r="B22" i="57"/>
  <c r="B22" i="58" s="1"/>
  <c r="B19" i="23"/>
  <c r="B18" i="57" s="1"/>
  <c r="B18" i="58" s="1"/>
  <c r="B50" i="57" l="1"/>
  <c r="B50" i="58" s="1"/>
  <c r="B33" i="68"/>
  <c r="S6" i="36"/>
  <c r="Z95" i="36" l="1"/>
  <c r="P6" i="54"/>
  <c r="P7" i="54"/>
  <c r="P8" i="54"/>
  <c r="P9" i="54"/>
  <c r="P10" i="54"/>
  <c r="P11" i="54"/>
  <c r="P12" i="54"/>
  <c r="P13" i="54"/>
  <c r="P14" i="54"/>
  <c r="P15" i="54"/>
  <c r="P5" i="54"/>
  <c r="J6" i="54"/>
  <c r="J7" i="54"/>
  <c r="J8" i="54"/>
  <c r="J9" i="54"/>
  <c r="J10" i="54"/>
  <c r="J11" i="54"/>
  <c r="J12" i="54"/>
  <c r="J13" i="54"/>
  <c r="J5" i="54"/>
  <c r="D6" i="54"/>
  <c r="D7" i="54"/>
  <c r="D8" i="54"/>
  <c r="D9" i="54"/>
  <c r="D10" i="54"/>
  <c r="D11" i="54"/>
  <c r="D12" i="54"/>
  <c r="D13" i="54"/>
  <c r="D5" i="54"/>
  <c r="D6" i="53"/>
  <c r="D5" i="53"/>
  <c r="D7" i="53"/>
  <c r="D8" i="53"/>
  <c r="D9" i="53"/>
  <c r="D10" i="53"/>
  <c r="D11" i="53"/>
  <c r="D12" i="53" s="1"/>
  <c r="J5" i="53"/>
  <c r="J45" i="53"/>
  <c r="J46" i="53"/>
  <c r="J47" i="53"/>
  <c r="J48" i="53"/>
  <c r="J49" i="53"/>
  <c r="J50" i="53"/>
  <c r="J44" i="53"/>
  <c r="D47" i="53"/>
  <c r="D45" i="53"/>
  <c r="D46" i="53"/>
  <c r="D48" i="53"/>
  <c r="D49" i="53"/>
  <c r="D50" i="53"/>
  <c r="D44" i="53"/>
  <c r="P32" i="53"/>
  <c r="P33" i="53"/>
  <c r="P34" i="53"/>
  <c r="P35" i="53"/>
  <c r="P36" i="53"/>
  <c r="P37" i="53"/>
  <c r="P31" i="53"/>
  <c r="J32" i="53"/>
  <c r="J33" i="53"/>
  <c r="J34" i="53"/>
  <c r="J35" i="53"/>
  <c r="J36" i="53"/>
  <c r="J37" i="53"/>
  <c r="J31" i="53"/>
  <c r="D31" i="53"/>
  <c r="D32" i="53"/>
  <c r="D33" i="53"/>
  <c r="D34" i="53"/>
  <c r="D35" i="53"/>
  <c r="D36" i="53"/>
  <c r="D37" i="53"/>
  <c r="P22" i="53"/>
  <c r="P19" i="53"/>
  <c r="P20" i="53"/>
  <c r="P21" i="53"/>
  <c r="P23" i="53"/>
  <c r="P24" i="53"/>
  <c r="P18" i="53"/>
  <c r="J19" i="53"/>
  <c r="J20" i="53"/>
  <c r="J21" i="53"/>
  <c r="J22" i="53"/>
  <c r="J23" i="53"/>
  <c r="J24" i="53"/>
  <c r="J18" i="53"/>
  <c r="D24" i="53"/>
  <c r="D19" i="53"/>
  <c r="D20" i="53"/>
  <c r="D21" i="53"/>
  <c r="D22" i="53"/>
  <c r="D23" i="53"/>
  <c r="D18" i="53"/>
  <c r="P6" i="53"/>
  <c r="P7" i="53"/>
  <c r="P8" i="53"/>
  <c r="P9" i="53"/>
  <c r="P10" i="53"/>
  <c r="P11" i="53"/>
  <c r="P5" i="53"/>
  <c r="J11" i="53"/>
  <c r="J12" i="53" s="1"/>
  <c r="J6" i="53"/>
  <c r="J7" i="53"/>
  <c r="J8" i="53"/>
  <c r="J9" i="53"/>
  <c r="J10" i="53"/>
  <c r="D4" i="52"/>
  <c r="D32" i="58"/>
  <c r="B60" i="58" l="1"/>
  <c r="D20" i="71" s="1"/>
  <c r="D37" i="58" l="1"/>
  <c r="S31" i="36"/>
  <c r="S30" i="36"/>
  <c r="S29" i="36"/>
  <c r="E37" i="57"/>
  <c r="D37" i="23"/>
  <c r="S5" i="36"/>
  <c r="U5" i="36" s="1"/>
  <c r="W5" i="36" s="1"/>
  <c r="S4" i="36"/>
  <c r="S19" i="36"/>
  <c r="S18" i="36"/>
  <c r="U18" i="36" s="1"/>
  <c r="W18" i="36" s="1"/>
  <c r="S17" i="36"/>
  <c r="P5" i="51"/>
  <c r="U30" i="36" l="1"/>
  <c r="W30" i="36" s="1"/>
  <c r="R29" i="36"/>
  <c r="U29" i="36" s="1"/>
  <c r="W29" i="36" s="1"/>
  <c r="X29" i="36" s="1"/>
  <c r="J139" i="54"/>
  <c r="H139" i="54"/>
  <c r="I110" i="54" s="1"/>
  <c r="F29" i="36"/>
  <c r="C139" i="54"/>
  <c r="X5" i="36"/>
  <c r="Y5" i="36"/>
  <c r="Y18" i="36"/>
  <c r="X18" i="36"/>
  <c r="Y30" i="36" l="1"/>
  <c r="X30" i="36"/>
  <c r="Y29" i="36"/>
  <c r="M35" i="23"/>
  <c r="M33" i="23"/>
  <c r="AG28" i="52" s="1"/>
  <c r="M32" i="23"/>
  <c r="C110" i="51" s="1"/>
  <c r="D110" i="51" s="1"/>
  <c r="AB32" i="57" s="1"/>
  <c r="X114" i="36"/>
  <c r="B54" i="58"/>
  <c r="B53" i="58"/>
  <c r="B52" i="58"/>
  <c r="B51" i="58"/>
  <c r="B41" i="58"/>
  <c r="B40" i="58"/>
  <c r="D36" i="58"/>
  <c r="D34" i="58"/>
  <c r="I27" i="58"/>
  <c r="C26" i="58"/>
  <c r="I24" i="58"/>
  <c r="E20" i="58"/>
  <c r="E19" i="58"/>
  <c r="E10" i="58"/>
  <c r="D17" i="71" s="1"/>
  <c r="E9" i="58"/>
  <c r="D21" i="71" s="1"/>
  <c r="E6" i="58"/>
  <c r="D10" i="71" s="1"/>
  <c r="E5" i="58"/>
  <c r="D9" i="71" s="1"/>
  <c r="E4" i="58"/>
  <c r="D8" i="71" s="1"/>
  <c r="F5" i="36" l="1"/>
  <c r="R4" i="36"/>
  <c r="U4" i="36" s="1"/>
  <c r="W4" i="36" s="1"/>
  <c r="X4" i="36" s="1"/>
  <c r="V114" i="36"/>
  <c r="V115" i="36" s="1"/>
  <c r="R17" i="36"/>
  <c r="U17" i="36" s="1"/>
  <c r="W17" i="36" s="1"/>
  <c r="R7" i="36" l="1"/>
  <c r="U7" i="36" s="1"/>
  <c r="W7" i="36" s="1"/>
  <c r="R6" i="36"/>
  <c r="U6" i="36" s="1"/>
  <c r="W6" i="36" s="1"/>
  <c r="Y4" i="36"/>
  <c r="Y17" i="36"/>
  <c r="X17" i="36"/>
  <c r="D65" i="57"/>
  <c r="G65" i="57"/>
  <c r="L35" i="23" l="1"/>
  <c r="Y6" i="36"/>
  <c r="X6" i="36"/>
  <c r="X7" i="36"/>
  <c r="Y7" i="36"/>
  <c r="V116" i="36" l="1"/>
  <c r="V117" i="36"/>
  <c r="F35" i="57" l="1"/>
  <c r="E5" i="57"/>
  <c r="E6" i="57"/>
  <c r="E9" i="57"/>
  <c r="E10" i="57"/>
  <c r="E4" i="57"/>
  <c r="B52" i="57"/>
  <c r="B53" i="57"/>
  <c r="B54" i="57"/>
  <c r="B55" i="57"/>
  <c r="B51" i="57"/>
  <c r="B41" i="57"/>
  <c r="B40" i="57"/>
  <c r="J27" i="57"/>
  <c r="C26" i="57"/>
  <c r="O15" i="57" l="1"/>
  <c r="N15" i="57"/>
  <c r="X35" i="57"/>
  <c r="V8" i="68"/>
  <c r="AB35" i="57"/>
  <c r="Y9" i="36"/>
  <c r="E20" i="57"/>
  <c r="Y20" i="57" s="1"/>
  <c r="E19" i="57"/>
  <c r="Y19" i="57" s="1"/>
  <c r="E36" i="57"/>
  <c r="E34" i="57"/>
  <c r="E32" i="57"/>
  <c r="Q85" i="52"/>
  <c r="Q99" i="52" s="1"/>
  <c r="Q113" i="52" s="1"/>
  <c r="Q127" i="52" s="1"/>
  <c r="P40" i="52"/>
  <c r="P39" i="52"/>
  <c r="P38" i="52"/>
  <c r="P37" i="52"/>
  <c r="P36" i="52"/>
  <c r="P35" i="52"/>
  <c r="P34" i="52"/>
  <c r="P33" i="52"/>
  <c r="P32" i="52"/>
  <c r="P26" i="52"/>
  <c r="P25" i="52"/>
  <c r="P24" i="52"/>
  <c r="P23" i="52"/>
  <c r="P22" i="52"/>
  <c r="P21" i="52"/>
  <c r="P20" i="52"/>
  <c r="P19" i="52"/>
  <c r="P18" i="52"/>
  <c r="P12" i="52"/>
  <c r="P11" i="52"/>
  <c r="P10" i="52"/>
  <c r="P9" i="52"/>
  <c r="P8" i="52"/>
  <c r="P7" i="52"/>
  <c r="P6" i="52"/>
  <c r="P5" i="52"/>
  <c r="Y21" i="57" l="1"/>
  <c r="F35" i="58"/>
  <c r="X9" i="36"/>
  <c r="W35" i="57" l="1"/>
  <c r="G35" i="58"/>
  <c r="X10" i="36"/>
  <c r="X11" i="36" l="1"/>
  <c r="X12" i="36" s="1"/>
  <c r="X13" i="36" s="1"/>
  <c r="F116" i="53" s="1"/>
  <c r="E48" i="54"/>
  <c r="D48" i="54"/>
  <c r="D46" i="54"/>
  <c r="D45" i="54"/>
  <c r="D44" i="54"/>
  <c r="D43" i="54"/>
  <c r="D42" i="54"/>
  <c r="D41" i="54"/>
  <c r="D40" i="54"/>
  <c r="D30" i="54"/>
  <c r="D29" i="54"/>
  <c r="D28" i="54"/>
  <c r="D27" i="54"/>
  <c r="D26" i="54"/>
  <c r="D25" i="54"/>
  <c r="D24" i="54"/>
  <c r="D23" i="54"/>
  <c r="J25" i="54" l="1"/>
  <c r="J26" i="54"/>
  <c r="J27" i="54"/>
  <c r="J29" i="54"/>
  <c r="J28" i="54"/>
  <c r="J23" i="54"/>
  <c r="J24" i="54"/>
  <c r="X14" i="36"/>
  <c r="AD35" i="57" s="1"/>
  <c r="P24" i="54"/>
  <c r="P28" i="54"/>
  <c r="P25" i="54"/>
  <c r="P29" i="54"/>
  <c r="P26" i="54"/>
  <c r="P23" i="54"/>
  <c r="P27" i="54"/>
  <c r="D47" i="54"/>
  <c r="P30" i="54"/>
  <c r="J30" i="54"/>
  <c r="D96" i="52"/>
  <c r="D95" i="52"/>
  <c r="D94" i="52"/>
  <c r="D93" i="52"/>
  <c r="D92" i="52"/>
  <c r="D91" i="52"/>
  <c r="D90" i="52"/>
  <c r="D89" i="52"/>
  <c r="D88" i="52"/>
  <c r="E85" i="52"/>
  <c r="E99" i="52" s="1"/>
  <c r="E113" i="52" s="1"/>
  <c r="E127" i="52" s="1"/>
  <c r="D82" i="52"/>
  <c r="D81" i="52"/>
  <c r="D80" i="52"/>
  <c r="D79" i="52"/>
  <c r="D78" i="52"/>
  <c r="D77" i="52"/>
  <c r="D76" i="52"/>
  <c r="D75" i="52"/>
  <c r="D74" i="52"/>
  <c r="D68" i="52"/>
  <c r="D67" i="52"/>
  <c r="D66" i="52"/>
  <c r="D65" i="52"/>
  <c r="D64" i="52"/>
  <c r="D63" i="52"/>
  <c r="D62" i="52"/>
  <c r="D61" i="52"/>
  <c r="D60" i="52"/>
  <c r="D54" i="52"/>
  <c r="D53" i="52"/>
  <c r="D52" i="52"/>
  <c r="D51" i="52"/>
  <c r="D50" i="52"/>
  <c r="D48" i="52"/>
  <c r="D47" i="52"/>
  <c r="D46" i="52"/>
  <c r="D12" i="52"/>
  <c r="D11" i="52"/>
  <c r="D10" i="52"/>
  <c r="D9" i="52"/>
  <c r="D8" i="52"/>
  <c r="D7" i="52"/>
  <c r="D6" i="52"/>
  <c r="D5" i="52"/>
  <c r="D35" i="51"/>
  <c r="D34" i="51"/>
  <c r="D33" i="51"/>
  <c r="D32" i="51"/>
  <c r="D31" i="51"/>
  <c r="D30" i="51"/>
  <c r="D29" i="51"/>
  <c r="D28" i="51"/>
  <c r="D27" i="51"/>
  <c r="D26" i="51"/>
  <c r="D25" i="51"/>
  <c r="P8" i="51"/>
  <c r="P7" i="51"/>
  <c r="P6" i="51"/>
  <c r="J18" i="51"/>
  <c r="D103" i="51" s="1"/>
  <c r="J17" i="51"/>
  <c r="D102" i="51" s="1"/>
  <c r="J16" i="51"/>
  <c r="D101" i="51" s="1"/>
  <c r="J15" i="51"/>
  <c r="D100" i="51" s="1"/>
  <c r="J14" i="51"/>
  <c r="D99" i="51" s="1"/>
  <c r="J13" i="51"/>
  <c r="D98" i="51" s="1"/>
  <c r="J12" i="51"/>
  <c r="D97" i="51" s="1"/>
  <c r="J11" i="51"/>
  <c r="D96" i="51" s="1"/>
  <c r="J10" i="51"/>
  <c r="D95" i="51" s="1"/>
  <c r="J9" i="51"/>
  <c r="D94" i="51" s="1"/>
  <c r="J8" i="51"/>
  <c r="D93" i="51" s="1"/>
  <c r="J7" i="51"/>
  <c r="D92" i="51" s="1"/>
  <c r="J6" i="51"/>
  <c r="D91" i="51" s="1"/>
  <c r="J5" i="51"/>
  <c r="D90" i="51" s="1"/>
  <c r="F19" i="36" l="1"/>
  <c r="I19" i="36" s="1"/>
  <c r="K19" i="36" s="1"/>
  <c r="M19" i="36" s="1"/>
  <c r="I35" i="57"/>
  <c r="J35" i="58" s="1"/>
  <c r="D31" i="54"/>
  <c r="J31" i="54"/>
  <c r="P31" i="54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B83" i="51" l="1"/>
  <c r="H35" i="57"/>
  <c r="I35" i="58" s="1"/>
  <c r="L19" i="36"/>
  <c r="B42" i="23"/>
  <c r="B44" i="58" l="1"/>
  <c r="B44" i="57"/>
  <c r="B42" i="58"/>
  <c r="B42" i="57"/>
  <c r="B45" i="57"/>
  <c r="B45" i="58"/>
  <c r="B43" i="57"/>
  <c r="B43" i="58"/>
  <c r="B46" i="57"/>
  <c r="B46" i="58"/>
  <c r="K33" i="23"/>
  <c r="AF5" i="52" s="1"/>
  <c r="J26" i="23"/>
  <c r="AF28" i="52" l="1"/>
  <c r="AG6" i="52" s="1"/>
  <c r="AF7" i="52" s="1"/>
  <c r="L139" i="54"/>
  <c r="AF37" i="23"/>
  <c r="L37" i="23" s="1"/>
  <c r="F37" i="57" s="1"/>
  <c r="K139" i="54"/>
  <c r="N125" i="54"/>
  <c r="G27" i="58"/>
  <c r="AE28" i="52"/>
  <c r="G25" i="58"/>
  <c r="I24" i="57"/>
  <c r="H24" i="58" s="1"/>
  <c r="G24" i="58"/>
  <c r="I26" i="57"/>
  <c r="H26" i="58" s="1"/>
  <c r="G26" i="58"/>
  <c r="L27" i="57"/>
  <c r="I27" i="57"/>
  <c r="I25" i="57"/>
  <c r="H25" i="58" s="1"/>
  <c r="J25" i="57"/>
  <c r="Y25" i="57" s="1"/>
  <c r="I25" i="58"/>
  <c r="I26" i="58"/>
  <c r="Q124" i="54" l="1"/>
  <c r="Q126" i="54"/>
  <c r="O126" i="54"/>
  <c r="O124" i="54"/>
  <c r="N128" i="54"/>
  <c r="F37" i="58"/>
  <c r="V37" i="57"/>
  <c r="W37" i="57" s="1"/>
  <c r="X37" i="57"/>
  <c r="K37" i="57" s="1"/>
  <c r="AB37" i="57"/>
  <c r="G37" i="58"/>
  <c r="M20" i="57"/>
  <c r="AF33" i="23"/>
  <c r="L33" i="23" s="1"/>
  <c r="F33" i="57" s="1"/>
  <c r="V7" i="68"/>
  <c r="H27" i="58"/>
  <c r="L32" i="23"/>
  <c r="P125" i="54" l="1"/>
  <c r="I112" i="54" s="1"/>
  <c r="R31" i="36" s="1"/>
  <c r="U31" i="36" s="1"/>
  <c r="W31" i="36" s="1"/>
  <c r="X31" i="36" s="1"/>
  <c r="Q127" i="54"/>
  <c r="O129" i="54"/>
  <c r="O127" i="54"/>
  <c r="Q129" i="54"/>
  <c r="X33" i="57"/>
  <c r="Y31" i="36"/>
  <c r="F33" i="58"/>
  <c r="F32" i="57"/>
  <c r="F34" i="58"/>
  <c r="W34" i="57"/>
  <c r="P128" i="54" l="1"/>
  <c r="I113" i="54" s="1"/>
  <c r="R32" i="36" s="1"/>
  <c r="U32" i="36" s="1"/>
  <c r="W32" i="36" s="1"/>
  <c r="X32" i="36" s="1"/>
  <c r="X34" i="36" s="1"/>
  <c r="X35" i="36" s="1"/>
  <c r="X32" i="57"/>
  <c r="F32" i="58"/>
  <c r="AH28" i="52"/>
  <c r="AB33" i="57" s="1"/>
  <c r="AI28" i="52"/>
  <c r="W32" i="57"/>
  <c r="Y32" i="36" l="1"/>
  <c r="Y34" i="36" s="1"/>
  <c r="X36" i="36" s="1"/>
  <c r="X37" i="36" s="1"/>
  <c r="X38" i="36" s="1"/>
  <c r="AD37" i="57" s="1"/>
  <c r="I37" i="57" s="1"/>
  <c r="J37" i="58" s="1"/>
  <c r="R19" i="36"/>
  <c r="U19" i="36" s="1"/>
  <c r="W19" i="36" s="1"/>
  <c r="AF8" i="52"/>
  <c r="R20" i="36" s="1"/>
  <c r="U20" i="36" s="1"/>
  <c r="W20" i="36" s="1"/>
  <c r="G32" i="58"/>
  <c r="G34" i="58"/>
  <c r="W33" i="57"/>
  <c r="W31" i="57" s="1"/>
  <c r="Y32" i="57" s="1"/>
  <c r="M139" i="54" l="1"/>
  <c r="H37" i="57"/>
  <c r="I37" i="58" s="1"/>
  <c r="X19" i="36"/>
  <c r="Y19" i="36"/>
  <c r="X20" i="36"/>
  <c r="Y20" i="36"/>
  <c r="G33" i="58"/>
  <c r="Y22" i="36" l="1"/>
  <c r="X22" i="36"/>
  <c r="X23" i="36" s="1"/>
  <c r="X24" i="36" l="1"/>
  <c r="X25" i="36" s="1"/>
  <c r="X26" i="36" s="1"/>
  <c r="AJ28" i="52" s="1"/>
  <c r="AD33" i="57" l="1"/>
  <c r="D36" i="23"/>
  <c r="D34" i="23"/>
  <c r="I26" i="23"/>
  <c r="I27" i="23"/>
  <c r="I25" i="23"/>
  <c r="I16" i="23"/>
  <c r="I15" i="23"/>
  <c r="I33" i="57" l="1"/>
  <c r="J33" i="58" s="1"/>
  <c r="G31" i="36"/>
  <c r="G30" i="36"/>
  <c r="I30" i="36" s="1"/>
  <c r="K30" i="36" s="1"/>
  <c r="L30" i="36" s="1"/>
  <c r="G29" i="36"/>
  <c r="G18" i="36"/>
  <c r="G7" i="36"/>
  <c r="G6" i="36"/>
  <c r="I5" i="36"/>
  <c r="H33" i="57" l="1"/>
  <c r="I33" i="58" s="1"/>
  <c r="I29" i="36"/>
  <c r="K29" i="36" s="1"/>
  <c r="M29" i="36" s="1"/>
  <c r="M30" i="36"/>
  <c r="I18" i="36"/>
  <c r="K18" i="36" s="1"/>
  <c r="L18" i="36" s="1"/>
  <c r="L22" i="36" s="1"/>
  <c r="L23" i="36" s="1"/>
  <c r="K5" i="36"/>
  <c r="M5" i="36" s="1"/>
  <c r="I6" i="36"/>
  <c r="K6" i="36" s="1"/>
  <c r="L6" i="36" s="1"/>
  <c r="I8" i="36"/>
  <c r="K8" i="36" s="1"/>
  <c r="L29" i="36" l="1"/>
  <c r="M6" i="36"/>
  <c r="M18" i="36"/>
  <c r="M22" i="36" s="1"/>
  <c r="L5" i="36"/>
  <c r="I7" i="36"/>
  <c r="K7" i="36" s="1"/>
  <c r="M7" i="36" s="1"/>
  <c r="L8" i="36"/>
  <c r="M8" i="36"/>
  <c r="L7" i="36" l="1"/>
  <c r="M10" i="36"/>
  <c r="L10" i="36" l="1"/>
  <c r="L11" i="36" s="1"/>
  <c r="L12" i="36" s="1"/>
  <c r="L13" i="36" s="1"/>
  <c r="L14" i="36" s="1"/>
  <c r="L24" i="36"/>
  <c r="L25" i="36" s="1"/>
  <c r="L26" i="36" s="1"/>
  <c r="AA28" i="52" s="1"/>
  <c r="AD34" i="57" s="1"/>
  <c r="I34" i="57" s="1"/>
  <c r="AD32" i="57" l="1"/>
  <c r="I32" i="57" s="1"/>
  <c r="H32" i="57" s="1"/>
  <c r="I32" i="58" s="1"/>
  <c r="F110" i="51"/>
  <c r="J34" i="58"/>
  <c r="J32" i="58" l="1"/>
  <c r="H34" i="57"/>
  <c r="I34" i="58" s="1"/>
  <c r="Q9" i="57" l="1"/>
  <c r="T7" i="57" s="1"/>
  <c r="B47" i="23" l="1"/>
  <c r="Y26" i="57"/>
  <c r="Y28" i="57" l="1"/>
  <c r="J64" i="57" s="1"/>
  <c r="X10" i="68" s="1"/>
  <c r="H2" i="23" s="1"/>
  <c r="A2" i="57" s="1"/>
  <c r="AF27" i="23"/>
  <c r="B47" i="57"/>
  <c r="B47" i="58" s="1"/>
  <c r="AG26" i="23" l="1"/>
  <c r="AF25" i="23"/>
  <c r="AG25" i="23" s="1"/>
  <c r="A2" i="58"/>
  <c r="B58" i="23"/>
  <c r="B57" i="58" l="1"/>
  <c r="B58" i="57"/>
  <c r="AF36" i="23"/>
  <c r="L36" i="23" s="1"/>
  <c r="F36" i="57" s="1"/>
  <c r="D139" i="54"/>
  <c r="AB36" i="57" l="1"/>
  <c r="V36" i="57"/>
  <c r="W36" i="57" s="1"/>
  <c r="G36" i="58"/>
  <c r="F36" i="58"/>
  <c r="X36" i="57"/>
  <c r="K36" i="57" s="1"/>
  <c r="F32" i="36"/>
  <c r="I32" i="36" s="1"/>
  <c r="K32" i="36" s="1"/>
  <c r="M32" i="36" l="1"/>
  <c r="L32" i="36"/>
  <c r="F31" i="36"/>
  <c r="I31" i="36" s="1"/>
  <c r="K31" i="36" s="1"/>
  <c r="M31" i="36" l="1"/>
  <c r="M34" i="36" s="1"/>
  <c r="L31" i="36"/>
  <c r="L34" i="36" s="1"/>
  <c r="L35" i="36" s="1"/>
  <c r="L36" i="36" l="1"/>
  <c r="L37" i="36" s="1"/>
  <c r="L38" i="36" s="1"/>
  <c r="AD36" i="57" l="1"/>
  <c r="I36" i="57" s="1"/>
  <c r="F139" i="54"/>
  <c r="J36" i="58" l="1"/>
  <c r="H36" i="57"/>
  <c r="I36" i="5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AAA55854-168A-44F8-AEB4-EE5927ED870E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D81" authorId="0" shapeId="0" xr:uid="{00000000-0006-0000-0300-000001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Y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Valid</t>
        </r>
      </text>
    </comment>
    <comment ref="AH5" authorId="0" shapeId="0" xr:uid="{00000000-0006-0000-0400-000002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D11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New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Valid</t>
        </r>
      </text>
    </comment>
    <comment ref="K111" authorId="0" shapeId="0" xr:uid="{00000000-0006-0000-0500-000002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</authors>
  <commentList>
    <comment ref="H27" authorId="0" shapeId="0" xr:uid="{00000000-0006-0000-0100-000002000000}">
      <text>
        <r>
          <rPr>
            <sz val="12"/>
            <color indexed="81"/>
            <rFont val="Tahoma"/>
            <family val="2"/>
          </rPr>
          <t>BILA HASILNYA KELUAR, MAKA LAKUKAN PENGUKURAN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 DAN HASILNYA INPUT PADA KOLOM "</t>
        </r>
        <r>
          <rPr>
            <b/>
            <sz val="12"/>
            <color indexed="81"/>
            <rFont val="Tahoma"/>
            <family val="2"/>
          </rPr>
          <t>NC</t>
        </r>
        <r>
          <rPr>
            <sz val="12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DDBC1117-A795-4743-8523-A63E671A0AD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 User</author>
  </authors>
  <commentList>
    <comment ref="Z95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Valid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4" authorId="0" shapeId="0" xr:uid="{00000000-0006-0000-0200-000002000000}">
      <text>
        <r>
          <rPr>
            <b/>
            <sz val="16"/>
            <color indexed="81"/>
            <rFont val="Tahoma"/>
            <family val="2"/>
          </rPr>
          <t>Valid</t>
        </r>
        <r>
          <rPr>
            <sz val="16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<sst xmlns="http://schemas.openxmlformats.org/spreadsheetml/2006/main" count="2832" uniqueCount="581">
  <si>
    <t>LEMBAR KERJA PENGUJIAN DENTAL UNIT</t>
  </si>
  <si>
    <t>Nomor Sertifikat / Nomor Surat Keterangan : 17 /…......./ …….... - ............. / E - ..........DL</t>
  </si>
  <si>
    <t>Merek</t>
  </si>
  <si>
    <t>:</t>
  </si>
  <si>
    <t>Model/Tipe</t>
  </si>
  <si>
    <t>No. Seri</t>
  </si>
  <si>
    <t>Tanggal Penerimaan Alat</t>
  </si>
  <si>
    <t>Tanggal Pengujian</t>
  </si>
  <si>
    <t>Tempat Pengujian</t>
  </si>
  <si>
    <t>Nama Ruang</t>
  </si>
  <si>
    <t>Metode Kerja</t>
  </si>
  <si>
    <t>: MK.089-19</t>
  </si>
  <si>
    <t xml:space="preserve">I. </t>
  </si>
  <si>
    <t>Kondisi Ruang</t>
  </si>
  <si>
    <t>Awal</t>
  </si>
  <si>
    <t>Akhir</t>
  </si>
  <si>
    <t xml:space="preserve">1. Suhu </t>
  </si>
  <si>
    <t>°C</t>
  </si>
  <si>
    <t xml:space="preserve">2. Kelembaban </t>
  </si>
  <si>
    <t>%RH</t>
  </si>
  <si>
    <t>3. Tegangan Jala-jala</t>
  </si>
  <si>
    <t>Volt</t>
  </si>
  <si>
    <t xml:space="preserve">II.     </t>
  </si>
  <si>
    <t>Pemeriksaan Kondisi Fisik dan Fungsi Alat</t>
  </si>
  <si>
    <t>1. Fisik</t>
  </si>
  <si>
    <t>: Baik / Tidak Baik</t>
  </si>
  <si>
    <t>2. Fungsi</t>
  </si>
  <si>
    <t>III.</t>
  </si>
  <si>
    <t>Pengujian keselamatan listrik</t>
  </si>
  <si>
    <t>No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</si>
  <si>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</si>
  <si>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</si>
  <si>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</si>
  <si>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</si>
  <si>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</si>
  <si>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</si>
  <si>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M Ω</t>
  </si>
  <si>
    <t>Resistansi Pembumian Protektif (kabel dapat dilepas)*</t>
  </si>
  <si>
    <t>Ω</t>
  </si>
  <si>
    <t xml:space="preserve">≤ 0.2 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</si>
  <si>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</si>
  <si>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</si>
  <si>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</si>
  <si>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</si>
  <si>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</si>
  <si>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</si>
  <si>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</si>
  <si>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</si>
  <si>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</si>
  <si>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 xml:space="preserve">IV. </t>
  </si>
  <si>
    <t>Pengujian Kinerja</t>
  </si>
  <si>
    <t>No.</t>
  </si>
  <si>
    <t>Setting pada Alat</t>
  </si>
  <si>
    <t>Pembacaan Standar</t>
  </si>
  <si>
    <t>Toleransi</t>
  </si>
  <si>
    <t>SCORE</t>
  </si>
  <si>
    <t>I</t>
  </si>
  <si>
    <t>II</t>
  </si>
  <si>
    <t>III</t>
  </si>
  <si>
    <t>IV</t>
  </si>
  <si>
    <t>V</t>
  </si>
  <si>
    <t>VI</t>
  </si>
  <si>
    <t>Illumination</t>
  </si>
  <si>
    <t>Maks</t>
  </si>
  <si>
    <t>≥ 7.5 Klux</t>
  </si>
  <si>
    <t>(KLux)</t>
  </si>
  <si>
    <t>Kecepatan Bor Gigi
(RPM)</t>
  </si>
  <si>
    <t>High Speed Maks</t>
  </si>
  <si>
    <t>≥ 40.000 rpm</t>
  </si>
  <si>
    <t>Low Speed Maks</t>
  </si>
  <si>
    <t>≥ 20.000 rpm</t>
  </si>
  <si>
    <t>Tekanan Semprot Udara (Psi)</t>
  </si>
  <si>
    <t>10 %</t>
  </si>
  <si>
    <t>Tekanan Hisap</t>
  </si>
  <si>
    <t>≥ 100 mmHg</t>
  </si>
  <si>
    <t>Saliva (mmHg)</t>
  </si>
  <si>
    <t>Blood (mmHg)</t>
  </si>
  <si>
    <t>V.</t>
  </si>
  <si>
    <t xml:space="preserve">Keterangan </t>
  </si>
  <si>
    <t xml:space="preserve"> </t>
  </si>
  <si>
    <t>1. Apakah di ruangan terdapat instalasi grounding ? Ya / Tidak</t>
  </si>
  <si>
    <t>2. Apakah hasil arus bocor peralatan untuk peralatan elektromedik keluar ? Ya / Tidak, "Ya" ukur NC = ……...…….?</t>
  </si>
  <si>
    <t>3. ...................................................................</t>
  </si>
  <si>
    <t>4. ...................................................................</t>
  </si>
  <si>
    <t>VI.</t>
  </si>
  <si>
    <t>Alat Ukur Yang Digunakan</t>
  </si>
  <si>
    <t>1. Digital Lux Meter, Merek : EXTECH, Model : Easy View 30 SN : 110705877 , 110705875, 190102372</t>
  </si>
  <si>
    <t xml:space="preserve">    Digital Lux Meter, Merek : EXTECH, Model : Easy View 30 SN : 190412114, 190509514</t>
  </si>
  <si>
    <t xml:space="preserve">    Digital Lux Meter, Merek : KIMO, Model : LX200 SN : 13100251</t>
  </si>
  <si>
    <t>2. Digital Tachometer, Merek : Compact Instrument, Model : CT6/LSR/ERP SN : 631339 , 631340 , 631341 , 632334</t>
  </si>
  <si>
    <t xml:space="preserve">    Digital Tachometer, Merek : Krisbow, Model : KW06-563 SN : 180812179 , 180812200 , 180812206</t>
  </si>
  <si>
    <t>3. Digital Pressure Meter, Merek : Fluke, Model : DPM 4 2G, SN : 1831021 , 1831023 , 4414016 , 4414018, 4611021</t>
  </si>
  <si>
    <t xml:space="preserve">    Digital Pressure Meter SN : 9490021, 4821027, 4819018, 4813009, 4821028, 4600002</t>
  </si>
  <si>
    <t xml:space="preserve">    Pressure Meter, Merek : Fluke, Model : DPM4 2H SN : 3191005 , 3505041</t>
  </si>
  <si>
    <t xml:space="preserve">    Universal Biometer, Merek : Biotek Instrument, Model : DPM III SN : 126143</t>
  </si>
  <si>
    <t>4. Electrical Safety Analyzer, Merek : FLUKE  Model : ESA 620 SN :1837056, 1834020</t>
  </si>
  <si>
    <t xml:space="preserve">    Electrical Safety Analyzer, Merek : FLUKE  Model : ESA 615 SN : 2853077, 2853078, 3148907, 3148908, 3699030</t>
  </si>
  <si>
    <t>5. Thermohygrometer, Merek : KIMO, KH-210-AO SN: 14082463, 15062872, 15062874, 15062875, 15062873</t>
  </si>
  <si>
    <t xml:space="preserve">    Thermohygrometer, Merek : SEKONIC, ST-50A SN : HE 21-000669, HE 21-000670</t>
  </si>
  <si>
    <t xml:space="preserve">    Thermohygrometer, Merek : Greisinger , GFTB 200 SN : 34903051, 34903053, 34903046, 34904091</t>
  </si>
  <si>
    <t>VII.</t>
  </si>
  <si>
    <t>Kesimpulan</t>
  </si>
  <si>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LAIK PAKAI /  TIDAK LAIK PAKAI</t>
    </r>
  </si>
  <si>
    <t>VIII.</t>
  </si>
  <si>
    <t>Petugas Pengujian</t>
  </si>
  <si>
    <t>Tanggal</t>
  </si>
  <si>
    <t>Revisi</t>
  </si>
  <si>
    <t>Oleh</t>
  </si>
  <si>
    <t>Update serti Tacho</t>
  </si>
  <si>
    <t>Sudah</t>
  </si>
  <si>
    <t>Iqbal</t>
  </si>
  <si>
    <t>Update DPM</t>
  </si>
  <si>
    <t>update kelistrikan</t>
  </si>
  <si>
    <t>sudah</t>
  </si>
  <si>
    <t>7 Maret 2022</t>
  </si>
  <si>
    <t>Update scoring arus</t>
  </si>
  <si>
    <t>Done</t>
  </si>
  <si>
    <t>12 Maret</t>
  </si>
  <si>
    <t>Update 1/1000000</t>
  </si>
  <si>
    <t>13 Maret</t>
  </si>
  <si>
    <t>Update Sertifikat ESA</t>
  </si>
  <si>
    <t>Rev 4 : 7 Maret 2022</t>
  </si>
  <si>
    <t>1. SN. 110705877</t>
  </si>
  <si>
    <t>DRIFT</t>
  </si>
  <si>
    <t>U95 STD</t>
  </si>
  <si>
    <t>2. SN. 110705875</t>
  </si>
  <si>
    <t>3. SN. 13100251</t>
  </si>
  <si>
    <t>Tahun</t>
  </si>
  <si>
    <t>Lux</t>
  </si>
  <si>
    <t>-</t>
  </si>
  <si>
    <t>4. SN. 90130606</t>
  </si>
  <si>
    <t>5. SN. 110705875</t>
  </si>
  <si>
    <t>6. SN. 190102372</t>
  </si>
  <si>
    <t>7. SN. 190412114</t>
  </si>
  <si>
    <t>8. 190509514</t>
  </si>
  <si>
    <t>Interpolasi</t>
  </si>
  <si>
    <t>Correct</t>
  </si>
  <si>
    <t>U95</t>
  </si>
  <si>
    <t>Seting</t>
  </si>
  <si>
    <t>Drift</t>
  </si>
  <si>
    <t>Rata-rata standar</t>
  </si>
  <si>
    <t>Rata-rata Terkoreksi</t>
  </si>
  <si>
    <t>STDEV</t>
  </si>
  <si>
    <t>Presisi</t>
  </si>
  <si>
    <t>Koreksi</t>
  </si>
  <si>
    <t xml:space="preserve">U95 </t>
  </si>
  <si>
    <t>Digital Lux Meter, Merek : EXTECH, Model : Easy View 30, SN : 110705877</t>
  </si>
  <si>
    <t>Hasil pengujian Illumination tertelusur ke Satuan Internasional ( SI ) melalui PT. DELTA INSTRUMENTASI</t>
  </si>
  <si>
    <t>Digital Lux Meter, Merek : EXTECH, Model : Easy View 30, SN : 110705875</t>
  </si>
  <si>
    <t>Hasil pengujian Illumination tertelusur ke Satuan Internasional ( SI ) melalui Pusat Penelitian Metrologi - LIPI</t>
  </si>
  <si>
    <t>Digital Lux Meter, Merek : KIMO, Model : LX200, SN : 13100251</t>
  </si>
  <si>
    <t>Hasil pengujian illuminance tertelusur ke Satuan Internasional ( SI ) melalui KIMO</t>
  </si>
  <si>
    <t>Lux HI Tester, Merek : HIOKI, Model : 3421 SN : 90130606</t>
  </si>
  <si>
    <t>Digital Lux Meter, Merek : EXTECH, Model : Easy View 30 SN : 110705875</t>
  </si>
  <si>
    <t>Hasil pengujian illuminance tertelusur ke Satuan Internasional ( SI ) melalui EXTECH INSTRUMENTS</t>
  </si>
  <si>
    <t>Digital Lux Meter, Merek : EXTECH, Model : Easy View 30 SN : 190102372</t>
  </si>
  <si>
    <t>Digital Lux Meter, Merek : EXTECH, Model : Easy View 30 SN : 190412114</t>
  </si>
  <si>
    <t>Digital Lux Meter, Merek : EXTECH, Model : Easy View 30 SN : 190509514</t>
  </si>
  <si>
    <t>Digital Lux Meter, Merek : EXTECH, Model : Easy View 30 SN : 9</t>
  </si>
  <si>
    <t>Digital Lux Meter, Merek : EXTECH, Model : Easy View 30 SN : 10</t>
  </si>
  <si>
    <t>Digital Lux Meter, Merek : EXTECH, Model : Easy View 30 SN : 11</t>
  </si>
  <si>
    <t>Digital Lux Meter, Merek : EXTECH, Model : Easy View 30 SN : 12</t>
  </si>
  <si>
    <t>8. SN. 190509514</t>
  </si>
  <si>
    <t>1. SN. 631339</t>
  </si>
  <si>
    <t>LOW SPEED</t>
  </si>
  <si>
    <t>HIGH SPEED</t>
  </si>
  <si>
    <t>Kecepatan</t>
  </si>
  <si>
    <t>rpm</t>
  </si>
  <si>
    <t>Low</t>
  </si>
  <si>
    <t>Hasil</t>
  </si>
  <si>
    <t>High</t>
  </si>
  <si>
    <t>Koreksi RPM</t>
  </si>
  <si>
    <t>Setting Kecepatan
(Low Speed)</t>
  </si>
  <si>
    <t>U95    STD</t>
  </si>
  <si>
    <t>Setting Kecepatan
(High Speed)</t>
  </si>
  <si>
    <t>2. SN. 631340</t>
  </si>
  <si>
    <t>3. SN. 631341</t>
  </si>
  <si>
    <t>Resolusi</t>
  </si>
  <si>
    <t>Digital Tachometer, Merek : Compact Instrument, Model : CT6/LSR/ERP, SN : 631339</t>
  </si>
  <si>
    <t>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</si>
  <si>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</si>
  <si>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</si>
  <si>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</si>
  <si>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</si>
  <si>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180812200</t>
  </si>
  <si>
    <t>Digital Tachometer, Merek : Krisbow, Model : KW06-563, SN : 180812206</t>
  </si>
  <si>
    <t>Digital Tachometer, Merek :8</t>
  </si>
  <si>
    <t>Digital Tachometer, Merek :9</t>
  </si>
  <si>
    <t>Digital Tachometer, Merek :10</t>
  </si>
  <si>
    <t>4. SN. 632334</t>
  </si>
  <si>
    <t>5. SN. 180812179</t>
  </si>
  <si>
    <t>6. SN. 180812200</t>
  </si>
  <si>
    <t>7. SN. 180812206</t>
  </si>
  <si>
    <t>8. SN.0</t>
  </si>
  <si>
    <t>9. SN.0</t>
  </si>
  <si>
    <t>10. SN.0</t>
  </si>
  <si>
    <t>1. SN. 1831021</t>
  </si>
  <si>
    <t>2. SN. 1831023</t>
  </si>
  <si>
    <t>3. SN. 126143</t>
  </si>
  <si>
    <t>mmHg</t>
  </si>
  <si>
    <t>4. SN. 3191005</t>
  </si>
  <si>
    <t>5. SN. 4414016</t>
  </si>
  <si>
    <t>6. SN. 4414018</t>
  </si>
  <si>
    <t>7.SN.4611021</t>
  </si>
  <si>
    <t>8.SN. 4821027</t>
  </si>
  <si>
    <t>9.SN. 4600002</t>
  </si>
  <si>
    <t>10. SN.4821028</t>
  </si>
  <si>
    <t>11. SN. 4819018</t>
  </si>
  <si>
    <t>12. SN. 4813009</t>
  </si>
  <si>
    <t>Tekanan Hisap
Saliva</t>
  </si>
  <si>
    <t>Tekanan Hisap
Blood</t>
  </si>
  <si>
    <t>TEKANAN HISAP</t>
  </si>
  <si>
    <t>Digital Pressure Meter, Merek : Fluke, Model : DPM 4 2G, SN : 1831021</t>
  </si>
  <si>
    <t>Digital Pressure Meter, Merek : Fluke, Model : DPM4 2G, SN : 1831023</t>
  </si>
  <si>
    <t>Universal Biometer, Merek : Biotek Instrument, Model : DPM III, SN : 126143</t>
  </si>
  <si>
    <t>LIPI</t>
  </si>
  <si>
    <t>Digital Pressure Meter, Merek : Fluke, Model : DPM4 2H, SN : 3191005</t>
  </si>
  <si>
    <t>SNSU</t>
  </si>
  <si>
    <t>Digital Pressure Meter, Merek : Fluke, Model : DPM4 2G, SN : 4414016</t>
  </si>
  <si>
    <t>Digital Pressure Meter, Merek : Fluke, Model : DPM4 2G, SN : 4414018</t>
  </si>
  <si>
    <t>Digital Pressure Meter, Merek : Fluke, Model : DPM4 2H, SN : 66111021</t>
  </si>
  <si>
    <t xml:space="preserve">Digital Pressure Meter, Merek : Fluke,, Model : DPM4 2G, SN : </t>
  </si>
  <si>
    <t xml:space="preserve">Digital Pressure Meter, Merek : Fluke, Model : DPM4 2G, SN : </t>
  </si>
  <si>
    <t>Digital Pressure Meter, Merek : Fluke, Model : DPM4 2G, SN : 4821027</t>
  </si>
  <si>
    <t>Digital Pressure Meter, Merek : Fluke, Model : DPM4 2G, SN : 4600002</t>
  </si>
  <si>
    <t>Digital Pressure Meter, Merek : Fluke, Model : DPM4 2G, SN : 4611021</t>
  </si>
  <si>
    <t>Digital Pressure Meter, Merek : Fluke, Model : DPM4 2G, SN : 484821028</t>
  </si>
  <si>
    <t>Digital Pressure Meter, Merek : Fluke, Model : DPM4 2G, SN : 9490021</t>
  </si>
  <si>
    <t>Digital Pressure Meter, Merek : Fluke, Model : DPM4 2G, SN : 4819018</t>
  </si>
  <si>
    <t>Digital Pressure Meter, Merek : Fluke, Model : DPM4 2G, SN : 4813009</t>
  </si>
  <si>
    <t>Digital Pressure Meter, Merek : Fluke, Model : DPM4 2G, SN :</t>
  </si>
  <si>
    <t>Digital Pressure Meter, Merek : Fluke, Model : DPM4 2G, SN : 4821028</t>
  </si>
  <si>
    <t>Digital Pressure Meter, Merek : Fluke, Model : DPM4 2H, SN :</t>
  </si>
  <si>
    <t>Digital Pressure Meter, Merek : Fluke, Model : DPM4 2H, SN : 1</t>
  </si>
  <si>
    <t>Digital Pressure Meter, Merek : Fluke, Model : DPM4 2H, SN : 3505041</t>
  </si>
  <si>
    <t>Digital Pressure Meter, Merek : Fluke, Model : DPM4 2H, SN : 2</t>
  </si>
  <si>
    <t>INPUT DATA SERTIFIKAT ESA</t>
  </si>
  <si>
    <t>A</t>
  </si>
  <si>
    <t>B</t>
  </si>
  <si>
    <t>C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</si>
  <si>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</si>
  <si>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</si>
  <si>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</si>
  <si>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</si>
  <si>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</si>
  <si>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</si>
  <si>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</si>
  <si>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</si>
  <si>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</si>
  <si>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</si>
  <si>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</si>
  <si>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</t>
  </si>
  <si>
    <t>F</t>
  </si>
  <si>
    <t>G</t>
  </si>
  <si>
    <t>Tegangan jala-jala listrik</t>
  </si>
  <si>
    <t>Pembacaan terkoreksi</t>
  </si>
  <si>
    <t>Tahanan isolasi kabel catu daya</t>
  </si>
  <si>
    <t>Resistansi pembumian protektif</t>
  </si>
  <si>
    <t>Arus bocor</t>
  </si>
  <si>
    <t>NC</t>
  </si>
  <si>
    <t>Tegangan U 95</t>
  </si>
  <si>
    <t xml:space="preserve">( </t>
  </si>
  <si>
    <t xml:space="preserve"> ± 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</si>
  <si>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</si>
  <si>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</si>
  <si>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</si>
  <si>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</si>
  <si>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</si>
  <si>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</si>
  <si>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</si>
  <si>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</si>
  <si>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</si>
  <si>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</si>
  <si>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</si>
  <si>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</si>
  <si>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</si>
  <si>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</si>
  <si>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DATA PENGUJIAN DENTAL UNIT</t>
  </si>
  <si>
    <t>19 / III - 25 / E - 009.678 DL</t>
  </si>
  <si>
    <t>GNATUS</t>
  </si>
  <si>
    <t>SYNCRUS LS</t>
  </si>
  <si>
    <t>081298408556</t>
  </si>
  <si>
    <t>31 Januari 2020</t>
  </si>
  <si>
    <t>32 Januari 2020</t>
  </si>
  <si>
    <t>LPFK BJB</t>
  </si>
  <si>
    <t>MK.089-19</t>
  </si>
  <si>
    <t>Terkoreksi</t>
  </si>
  <si>
    <t>Baik</t>
  </si>
  <si>
    <t>( SILAHKAN DIINPUT  "NC" )</t>
  </si>
  <si>
    <t>NG</t>
  </si>
  <si>
    <t>( KASIH TANDA "-" )</t>
  </si>
  <si>
    <t>PUTIH</t>
  </si>
  <si>
    <t xml:space="preserve">Pengujian keselamatan listrik </t>
  </si>
  <si>
    <t>MERAH</t>
  </si>
  <si>
    <t>Resistansi Pembumian Protektif (kabel tidak dapat dilepas)</t>
  </si>
  <si>
    <t>NO</t>
  </si>
  <si>
    <t>Arus bocor peralatan untuk peralatan elektromedik kelas I</t>
  </si>
  <si>
    <t>Kelas I</t>
  </si>
  <si>
    <t>Input NC</t>
  </si>
  <si>
    <t>YES</t>
  </si>
  <si>
    <t>Setting Alat</t>
  </si>
  <si>
    <t>Rata - rata</t>
  </si>
  <si>
    <t>Illumination (Klux)</t>
  </si>
  <si>
    <t>Tekanan Hisap 
Saliva (mmHg)</t>
  </si>
  <si>
    <t>Tekanan Hisap 
Blood (mmHg)</t>
  </si>
  <si>
    <t>Ketidakpastian pengukuran dilaporkan pada tingkat kepercayaan 95% dengan faktor cakupan (k) = 2</t>
  </si>
  <si>
    <t>Ketidakpastian pengukuran Ilumination dan Tekanan Semprot Udara dari ketidakpastian tipe A dan Tipe B</t>
  </si>
  <si>
    <t>Thermohygrolight, Merek : Greisinger, Model : GFTB 200, SN : 34903051</t>
  </si>
  <si>
    <t>Wardimanul Abrar</t>
  </si>
  <si>
    <t>23 Juli 2020</t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</si>
  <si>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</si>
  <si>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</si>
  <si>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</si>
  <si>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</si>
  <si>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</si>
  <si>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</si>
  <si>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</si>
  <si>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</si>
  <si>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</si>
  <si>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</si>
  <si>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</si>
  <si>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</si>
  <si>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</si>
  <si>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</si>
  <si>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</si>
  <si>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</si>
  <si>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</si>
  <si>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</si>
  <si>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</si>
  <si>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</si>
  <si>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</si>
  <si>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</si>
  <si>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</si>
  <si>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</si>
  <si>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</si>
  <si>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</si>
  <si>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</si>
  <si>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</si>
  <si>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</si>
  <si>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</si>
  <si>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</si>
  <si>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</si>
  <si>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UNCERTAINTY BUDGET</t>
  </si>
  <si>
    <t>Tekanan Semprot Udara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</si>
  <si>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</si>
  <si>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</si>
  <si>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</si>
  <si>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</si>
  <si>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</si>
  <si>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</si>
  <si>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</si>
  <si>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</si>
  <si>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</si>
  <si>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</si>
  <si>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</si>
  <si>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</si>
  <si>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Psi</t>
  </si>
  <si>
    <t>normal</t>
  </si>
  <si>
    <t>Klux</t>
  </si>
  <si>
    <t>2. DBO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</si>
  <si>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</si>
  <si>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</si>
  <si>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</si>
  <si>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</si>
  <si>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</si>
  <si>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</si>
  <si>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</si>
  <si>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</si>
  <si>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</si>
  <si>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</si>
  <si>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</si>
  <si>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</si>
  <si>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Kecepatan Bor Gigi High</t>
  </si>
  <si>
    <t>%</t>
  </si>
  <si>
    <t>Kecepatan Bor Gigi Low</t>
  </si>
  <si>
    <t>RPM</t>
  </si>
  <si>
    <t>Tekanan Hisap Saliva</t>
  </si>
  <si>
    <t>Tekanan Hisap Blood</t>
  </si>
  <si>
    <t>PSI</t>
  </si>
  <si>
    <t>HASIL PENGUJIAN DENTAL UNIT</t>
  </si>
  <si>
    <t>Tidak terdapat grounding di ruangan</t>
  </si>
  <si>
    <t>Alat tidak boleh digunakan pada instalasi tanpa dilengkapi grounding</t>
  </si>
  <si>
    <t>Catu daya menggunakan baterai</t>
  </si>
  <si>
    <t>Tidak dilakukan pengukuran kelistrikan dikarenakan alat tidak boleh di matikan</t>
  </si>
  <si>
    <t>Arus Bocor</t>
  </si>
  <si>
    <t>Instalasi</t>
  </si>
  <si>
    <t>Resistansi Pembumian Protektif (kabel dapat dilepas)</t>
  </si>
  <si>
    <t>(kabel dapat dilepas)</t>
  </si>
  <si>
    <t>(kabel tidak dapat dilepas)</t>
  </si>
  <si>
    <t>Arus bocor peralatan untuk peralatan elektromedik kelas II</t>
  </si>
  <si>
    <t>II.</t>
  </si>
  <si>
    <t>Ketidakpastian Pengukuran</t>
  </si>
  <si>
    <t>Score</t>
  </si>
  <si>
    <t>±</t>
  </si>
  <si>
    <t>Tekanan Hisap 
 Blood (mmHg)</t>
  </si>
  <si>
    <t xml:space="preserve">NILAI </t>
  </si>
  <si>
    <t>Nama</t>
  </si>
  <si>
    <t>Paraf</t>
  </si>
  <si>
    <t>Dibuat :</t>
  </si>
  <si>
    <t xml:space="preserve">Penyelia : </t>
  </si>
  <si>
    <t>Kecepatan Bor Gigi (RPM)</t>
  </si>
  <si>
    <t>Tekanan Hisap Saliva (mmHg)</t>
  </si>
  <si>
    <t>Tekanan Hisap Blood (mmHg)</t>
  </si>
  <si>
    <t>Menyetujui,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</si>
  <si>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</si>
  <si>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</si>
  <si>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</si>
  <si>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</si>
  <si>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</si>
  <si>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Nomor Sertifikat : 17 /</t>
  </si>
  <si>
    <t>Alat yang diuji dalam batas toleransi dan dinyatakan LAIK PAKAI, dimana hasil atau skor akhir sama dengan atau melampaui 70 % berdasarkan Keputusan Direktur Jenderal Pelayanan Kesehatan No : HK.02.02/V/0412/2020</t>
  </si>
  <si>
    <t>Tidak Baik</t>
  </si>
  <si>
    <t>Nomor Surat Keterangan : 17 /</t>
  </si>
  <si>
    <t>Alat yang diuji melebihi batas toleransi dan dinyatakan TIDAK LAIK PAKAI, dimana hasil atau skor akhir dibawah 70 % berdasarkan Keputusan Direktur Jenderal Pelayanan Kesehatan No : HK.02.02/V/0412/2020</t>
  </si>
  <si>
    <t>Alat tidak boleh digunakan pada ruangan yang tidak dilengkapi instalasi grounding</t>
  </si>
  <si>
    <t>Tidak terdapat instalasi grounding di ruangan</t>
  </si>
  <si>
    <t>≤ 0.2</t>
  </si>
  <si>
    <t>Resistensi Pembumian Protektif (kabel dapat dilepas)</t>
  </si>
  <si>
    <t>Di ruangan tidak terdapat instalasi grounding</t>
  </si>
  <si>
    <t>Alat tidak boleh digunakan pada ruangan tidak dilengkapi instalasi grounding</t>
  </si>
  <si>
    <t>Resistensi Pembumian Protektif (kabel tidak dapat dilepas)</t>
  </si>
  <si>
    <t>√</t>
  </si>
  <si>
    <t>Choirul Huda</t>
  </si>
  <si>
    <t>Siti Fathul Jannah</t>
  </si>
  <si>
    <t>Donny Martha</t>
  </si>
  <si>
    <t>Baterai</t>
  </si>
  <si>
    <t>Rangga Setya Hantoko</t>
  </si>
  <si>
    <t>Adaptor</t>
  </si>
  <si>
    <t>Hamdan Syarif</t>
  </si>
  <si>
    <t>Isra Mahensa</t>
  </si>
  <si>
    <t>Muhammad Zaenuri Sugiasmoro</t>
  </si>
  <si>
    <t>Hasil pengujian Keselamatan Listrik tertelusur ke Satuan Internasional ( SI ) melalui PT. Kaliman</t>
  </si>
  <si>
    <t>Sholihatussa'diah</t>
  </si>
  <si>
    <t>Hasil pengujian Illumination tertelusur ke Satuan Internasional ( SI ) melalui KIMO INSTRUMENTS</t>
  </si>
  <si>
    <t>Hary Ernanto</t>
  </si>
  <si>
    <t xml:space="preserve">Hasil pengujian Illumination tertelusur ke Satuan Internasional ( SI ) melalui PT. DELTA INSTRUMENTASI </t>
  </si>
  <si>
    <t>Gusti Arya Dinata</t>
  </si>
  <si>
    <t>Hasil pengujian Kecepatan Bor Gigi tertelusur ke Satuan Internasional ( SI ) PT. Kaliman</t>
  </si>
  <si>
    <t>Muhammad Irfan Husnuzhzhan</t>
  </si>
  <si>
    <t>Fatimah Novrianisa</t>
  </si>
  <si>
    <t>Taufik Priawan</t>
  </si>
  <si>
    <t>Hasil pengujian Tekanan Semprot Udara tertelusur ke Satuan Internasional ( SI ) melalui Pusat Penelitian Metrologi - LIPI</t>
  </si>
  <si>
    <t>Septia Khairunnisa</t>
  </si>
  <si>
    <t>Hasil pengujian Tekanan Semprot tertelusur ke Satuan Internasional ( SI ) melalui PT. Kaliman</t>
  </si>
  <si>
    <t>Muhammad Iqbal Saiful Rahman</t>
  </si>
  <si>
    <t xml:space="preserve">Hasil pengujian Tekanan Hisap tertelusur ke Satuan Internasional ( SI ) melalui PT. Kaliman </t>
  </si>
  <si>
    <t>Venna Filosofia</t>
  </si>
  <si>
    <t>Muhammad Alpian Hadi</t>
  </si>
  <si>
    <t>Azhar Alamsyah</t>
  </si>
  <si>
    <t>Ahmad Ghazali</t>
  </si>
  <si>
    <t>Ryan Rama Chaesar R</t>
  </si>
  <si>
    <t xml:space="preserve">Nama </t>
  </si>
  <si>
    <t>Model</t>
  </si>
  <si>
    <t>SN</t>
  </si>
  <si>
    <t>Digital Tachometer</t>
  </si>
  <si>
    <t>Compact Instrument</t>
  </si>
  <si>
    <t>CT6/LSR/ER</t>
  </si>
  <si>
    <t>Krisbow</t>
  </si>
  <si>
    <t>KW06-563</t>
  </si>
  <si>
    <t>KW06-564</t>
  </si>
  <si>
    <t>KW06-565</t>
  </si>
  <si>
    <t>Electrical Safety Analyzer</t>
  </si>
  <si>
    <t>Fluke</t>
  </si>
  <si>
    <t>ESA 620</t>
  </si>
  <si>
    <t>ESA 621</t>
  </si>
  <si>
    <t>ESA 615</t>
  </si>
  <si>
    <t>ESA 616</t>
  </si>
  <si>
    <t>ESA 617</t>
  </si>
  <si>
    <t>ESA 618</t>
  </si>
  <si>
    <t>ESA 619</t>
  </si>
  <si>
    <t>Lux HI Tester</t>
  </si>
  <si>
    <t>HIOKI</t>
  </si>
  <si>
    <t>Digital Lux Meter</t>
  </si>
  <si>
    <t>KIMO</t>
  </si>
  <si>
    <t>LX200</t>
  </si>
  <si>
    <t>EXTECH</t>
  </si>
  <si>
    <t>Easy View 30</t>
  </si>
  <si>
    <t>Easy View 31</t>
  </si>
  <si>
    <t>Easy View 32</t>
  </si>
  <si>
    <t>Easy View 33</t>
  </si>
  <si>
    <t>Easy View 34</t>
  </si>
  <si>
    <t>Easy View 35</t>
  </si>
  <si>
    <t>Digital Pressure Meter</t>
  </si>
  <si>
    <t>DPM 4 2G</t>
  </si>
  <si>
    <t>Universal Biometer</t>
  </si>
  <si>
    <t>Biotek Instrument</t>
  </si>
  <si>
    <t>DPM III</t>
  </si>
  <si>
    <t>DPM4 2H</t>
  </si>
  <si>
    <t>Thermohygrolight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</si>
  <si>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</si>
  <si>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</si>
  <si>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</si>
  <si>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</si>
  <si>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</si>
  <si>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</si>
  <si>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</si>
  <si>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</si>
  <si>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</si>
  <si>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</si>
  <si>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</si>
  <si>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</si>
  <si>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</si>
  <si>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</si>
  <si>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</si>
  <si>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</si>
  <si>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</si>
  <si>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</si>
  <si>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</si>
  <si>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</si>
  <si>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</si>
  <si>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</si>
  <si>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</si>
  <si>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</si>
  <si>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INPUT SERTIFIKAT THERMOHYGROMETER</t>
  </si>
  <si>
    <t>KOREKSI KIMO THERMOHYGROMETER 15062873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</si>
  <si>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</si>
  <si>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</si>
  <si>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</si>
  <si>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</si>
  <si>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</si>
  <si>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</si>
  <si>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</si>
  <si>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</si>
  <si>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</si>
  <si>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</si>
  <si>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</si>
  <si>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</si>
  <si>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</si>
  <si>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</si>
  <si>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</si>
  <si>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</si>
  <si>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</si>
  <si>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</si>
  <si>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</si>
  <si>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</si>
  <si>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</si>
  <si>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</si>
  <si>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</si>
  <si>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</si>
  <si>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INTERPOLASI KOREKSI SUHU</t>
  </si>
  <si>
    <t>INTERPOLASI KOREKSI KELEMBABAN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</si>
  <si>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</si>
  <si>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</si>
  <si>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</si>
  <si>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</si>
  <si>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</si>
  <si>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</si>
  <si>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)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</si>
  <si>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</si>
  <si>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</si>
  <si>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</si>
  <si>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</si>
  <si>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</si>
  <si>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</si>
  <si>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</si>
  <si>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</si>
  <si>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</si>
  <si>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</si>
  <si>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</si>
  <si>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</si>
  <si>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</si>
  <si>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</si>
  <si>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 xml:space="preserve">Digital Pressure Meter, Merek : Fluke Biomedical, Model : DPM 4-2G  (1831021) </t>
  </si>
  <si>
    <t xml:space="preserve">Digital Pressure Meter, Merek : Fluke Biomedical, Model : DPM 4-2G  (1831023) </t>
  </si>
  <si>
    <t>Universal Biometer, Merek : Biotek Instrument, Model : DPM III SN : 126143</t>
  </si>
  <si>
    <t>mmhg</t>
  </si>
  <si>
    <t>psi</t>
  </si>
  <si>
    <t>Tekanan Semprot</t>
  </si>
  <si>
    <t xml:space="preserve">DRIFT </t>
  </si>
  <si>
    <t xml:space="preserve">Digital Pressure Meter, Merek : Fluke Biomedical, Model : DPM 4-2H  (3191005) </t>
  </si>
  <si>
    <t xml:space="preserve">Digital Pressure Meter, Merek : Fluke Biomedical, Model : DPM 4-2G  (4414016) </t>
  </si>
  <si>
    <t xml:space="preserve">Digital Pressure Meter, Merek : Fluke Biomedical, Model : DPM 4-2G  (4414018) </t>
  </si>
  <si>
    <t xml:space="preserve">Digital Pressure, Merek : Fluke Biomedical, Model : DPM 4-2H  (3787040) </t>
  </si>
  <si>
    <t xml:space="preserve">Digital Pressure, Merek : Fluke Biomedical, Model : DPM 4-1H  (3505042) </t>
  </si>
  <si>
    <t xml:space="preserve">Digital Pressure, Merek : Fluke Biomedical, Model : DPM 4-1H  (3534043) </t>
  </si>
  <si>
    <t xml:space="preserve">Digital Pressure, Merek : Fluke Biomedical, Model : DPM 4-1H  (3506049) </t>
  </si>
  <si>
    <t xml:space="preserve">Digital Pressure, Merek : Fluke Biomedical, Model : DPM 4-1H  (3505041) </t>
  </si>
  <si>
    <t>TEKANAN SEMPROT</t>
  </si>
  <si>
    <t xml:space="preserve">Digital Pressure Meter, Merek : Fluke, Model : DPM4 2H, SN : </t>
  </si>
  <si>
    <t>INTERPOLASI SALIVA</t>
  </si>
  <si>
    <t>INTERPOLASI 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</si>
</sst>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\±\ 0.0"/>
    <numFmt numFmtId="170" formatCode="\-General"/>
    <numFmt numFmtId="171" formatCode="0.0\ \ \ &quot;Volt&quot;"/>
    <numFmt numFmtId="172" formatCode="0.0\ \ \ \ \ \ \±"/>
    <numFmt numFmtId="173" formatCode="#,##0.0000"/>
    <numFmt numFmtId="174" formatCode="0\ &quot;µA&quot;"/>
    <numFmt numFmtId="175" formatCode="0.0000000000000"/>
    <numFmt numFmtId="176" formatCode="[$-421]dd\ mmmm\ yyyy;@"/>
    <numFmt numFmtId="177" formatCode="\≤\ 0\ \µ\A"/>
    <numFmt numFmtId="178" formatCode="\≤\ 0"/>
    <numFmt numFmtId="179" formatCode="\≤\ 0.0"/>
    <numFmt numFmtId="180" formatCode="\&gt;\ 0"/>
    <numFmt numFmtId="181" formatCode="0\ &quot;BPM&quot;"/>
    <numFmt numFmtId="182" formatCode="[$-C09]d\ mmmm\ yyyy;@"/>
    <numFmt numFmtId="183" formatCode="\-\ 0.0"/>
  </numFmts>
  <fonts count="1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i/>
      <sz val="10"/>
      <name val="Arial"/>
      <family val="2"/>
    </font>
    <font>
      <sz val="12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8"/>
      <name val="Times New Roman"/>
      <family val="1"/>
    </font>
    <font>
      <b/>
      <i/>
      <sz val="11"/>
      <color theme="0"/>
      <name val="Times New Roman"/>
      <family val="1"/>
    </font>
    <font>
      <b/>
      <i/>
      <sz val="10"/>
      <color theme="0"/>
      <name val="Arial"/>
      <family val="2"/>
    </font>
    <font>
      <sz val="10"/>
      <color theme="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name val="Calibri"/>
      <family val="2"/>
      <scheme val="minor"/>
    </font>
    <font>
      <sz val="12"/>
      <name val="Calibri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name val="Calibri"/>
      <family val="2"/>
      <scheme val="minor"/>
    </font>
    <font>
      <sz val="12"/>
      <color indexed="8"/>
      <name val="Calibri"/>
      <family val="2"/>
    </font>
    <font>
      <sz val="13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11"/>
      <name val="Arial"/>
      <family val="2"/>
    </font>
    <font>
      <sz val="8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color rgb="FFFF0000"/>
      <name val="Arial"/>
      <family val="2"/>
    </font>
    <font>
      <b/>
      <sz val="8"/>
      <color theme="1"/>
      <name val="Times New Roman"/>
      <family val="1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14"/>
      <name val="Calibri"/>
      <family val="2"/>
      <scheme val="minor"/>
    </font>
    <font>
      <sz val="11"/>
      <color indexed="8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b/>
      <sz val="13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  <family val="2"/>
    </font>
    <font>
      <sz val="10"/>
      <color theme="0"/>
      <name val="Times New Roman"/>
      <family val="1"/>
    </font>
    <font>
      <b/>
      <sz val="12"/>
      <color indexed="8"/>
      <name val="Calibri"/>
      <family val="2"/>
      <scheme val="minor"/>
    </font>
    <font>
      <sz val="10"/>
      <color theme="0" tint="-0.14999847407452621"/>
      <name val="Times New Roman"/>
      <family val="1"/>
    </font>
    <font>
      <sz val="10"/>
      <color theme="0" tint="-0.14999847407452621"/>
      <name val="Arial"/>
      <family val="2"/>
    </font>
    <font>
      <sz val="9"/>
      <name val="Times New Roman"/>
      <family val="1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Times New Roman"/>
      <family val="1"/>
    </font>
    <font>
      <sz val="8"/>
      <color theme="0"/>
      <name val="Times New Roman"/>
      <family val="1"/>
    </font>
    <font>
      <sz val="10"/>
      <color rgb="FFFF0000"/>
      <name val="Times New Roman"/>
      <family val="1"/>
    </font>
    <font>
      <sz val="8"/>
      <color indexed="8"/>
      <name val="Arial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Times New Roman"/>
      <family val="1"/>
    </font>
    <font>
      <b/>
      <i/>
      <sz val="11"/>
      <color theme="0" tint="-0.34998626667073579"/>
      <name val="Times New Roman"/>
      <family val="1"/>
    </font>
    <font>
      <b/>
      <i/>
      <sz val="10"/>
      <color theme="0" tint="-0.34998626667073579"/>
      <name val="Arial"/>
      <family val="2"/>
    </font>
    <font>
      <sz val="48"/>
      <color theme="9" tint="-0.249977111117893"/>
      <name val="Arial"/>
      <family val="2"/>
    </font>
    <font>
      <sz val="28"/>
      <name val="Calibri"/>
      <family val="2"/>
      <scheme val="minor"/>
    </font>
    <font>
      <b/>
      <sz val="8"/>
      <color theme="0" tint="-0.34998626667073579"/>
      <name val="Times New Roman"/>
      <family val="1"/>
    </font>
    <font>
      <b/>
      <sz val="22"/>
      <name val="Arial"/>
      <family val="2"/>
    </font>
    <font>
      <b/>
      <i/>
      <sz val="10"/>
      <color theme="0" tint="-4.9989318521683403E-2"/>
      <name val="Arial"/>
      <family val="2"/>
    </font>
    <font>
      <i/>
      <sz val="8"/>
      <name val="Arial"/>
      <family val="2"/>
    </font>
    <font>
      <b/>
      <sz val="20"/>
      <name val="Arial"/>
      <family val="2"/>
    </font>
    <font>
      <b/>
      <sz val="11"/>
      <color theme="0"/>
      <name val="Arial"/>
      <family val="2"/>
    </font>
    <font>
      <sz val="10"/>
      <color theme="0" tint="-0.249977111117893"/>
      <name val="Arial"/>
      <family val="2"/>
    </font>
    <font>
      <sz val="11"/>
      <color theme="0" tint="-0.34998626667073579"/>
      <name val="Arial"/>
      <family val="2"/>
    </font>
    <font>
      <b/>
      <sz val="18"/>
      <name val="Arial"/>
      <family val="2"/>
    </font>
    <font>
      <b/>
      <sz val="8"/>
      <color rgb="FFFFFF00"/>
      <name val="Arial"/>
      <family val="2"/>
    </font>
    <font>
      <b/>
      <sz val="8"/>
      <color theme="1"/>
      <name val="Arial"/>
      <family val="2"/>
    </font>
    <font>
      <sz val="8"/>
      <color theme="0" tint="-0.249977111117893"/>
      <name val="Arial"/>
      <family val="2"/>
    </font>
    <font>
      <sz val="10"/>
      <name val="Arial"/>
      <charset val="1"/>
    </font>
    <font>
      <b/>
      <u/>
      <sz val="10"/>
      <color rgb="FFFF0000"/>
      <name val="Arial"/>
      <family val="2"/>
    </font>
    <font>
      <b/>
      <sz val="18"/>
      <color theme="0" tint="-0.34998626667073579"/>
      <name val="Arial"/>
      <family val="2"/>
    </font>
    <font>
      <b/>
      <sz val="12"/>
      <color rgb="FFFF0000"/>
      <name val="Arial"/>
      <family val="2"/>
    </font>
    <font>
      <sz val="8"/>
      <color rgb="FFFFFF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sz val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2" fillId="0" borderId="0"/>
    <xf numFmtId="0" fontId="2" fillId="0" borderId="0"/>
    <xf numFmtId="0" fontId="2" fillId="0" borderId="0"/>
  </cellStyleXfs>
  <cellXfs count="1694">
    <xf numFmtId="0" fontId="0" fillId="0" borderId="0" xfId="0"/>
    <xf numFmtId="0" fontId="0" fillId="0" borderId="18" xfId="0" applyBorder="1"/>
    <xf numFmtId="0" fontId="0" fillId="0" borderId="19" xfId="0" applyBorder="1"/>
    <xf numFmtId="0" fontId="13" fillId="0" borderId="23" xfId="2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13" fillId="0" borderId="7" xfId="2" applyFont="1" applyBorder="1" applyAlignment="1">
      <alignment horizontal="center"/>
    </xf>
    <xf numFmtId="2" fontId="13" fillId="0" borderId="7" xfId="2" applyNumberFormat="1" applyFont="1" applyBorder="1" applyAlignment="1">
      <alignment horizontal="center"/>
    </xf>
    <xf numFmtId="0" fontId="13" fillId="0" borderId="24" xfId="2" applyFont="1" applyBorder="1" applyAlignment="1">
      <alignment horizontal="center"/>
    </xf>
    <xf numFmtId="0" fontId="5" fillId="0" borderId="25" xfId="2" applyFont="1" applyBorder="1" applyAlignment="1">
      <alignment horizontal="left"/>
    </xf>
    <xf numFmtId="0" fontId="5" fillId="0" borderId="5" xfId="2" applyFont="1" applyBorder="1" applyAlignment="1">
      <alignment horizontal="center"/>
    </xf>
    <xf numFmtId="0" fontId="5" fillId="0" borderId="0" xfId="2" applyFont="1" applyAlignment="1">
      <alignment horizontal="center"/>
    </xf>
    <xf numFmtId="2" fontId="5" fillId="0" borderId="1" xfId="2" applyNumberFormat="1" applyFont="1" applyBorder="1" applyAlignment="1">
      <alignment horizontal="center"/>
    </xf>
    <xf numFmtId="2" fontId="5" fillId="0" borderId="0" xfId="2" applyNumberFormat="1" applyFont="1" applyAlignment="1">
      <alignment horizontal="center"/>
    </xf>
    <xf numFmtId="166" fontId="5" fillId="0" borderId="0" xfId="2" applyNumberFormat="1" applyFont="1" applyAlignment="1">
      <alignment horizontal="center"/>
    </xf>
    <xf numFmtId="0" fontId="5" fillId="0" borderId="1" xfId="2" applyFont="1" applyBorder="1" applyAlignment="1">
      <alignment horizontal="center"/>
    </xf>
    <xf numFmtId="11" fontId="5" fillId="0" borderId="1" xfId="2" applyNumberFormat="1" applyFont="1" applyBorder="1" applyAlignment="1">
      <alignment horizontal="center"/>
    </xf>
    <xf numFmtId="11" fontId="5" fillId="0" borderId="19" xfId="2" applyNumberFormat="1" applyFont="1" applyBorder="1" applyAlignment="1">
      <alignment horizontal="center"/>
    </xf>
    <xf numFmtId="0" fontId="5" fillId="0" borderId="23" xfId="2" applyFont="1" applyBorder="1" applyAlignment="1">
      <alignment horizontal="left"/>
    </xf>
    <xf numFmtId="0" fontId="5" fillId="0" borderId="7" xfId="2" applyFont="1" applyBorder="1" applyAlignment="1">
      <alignment horizontal="center"/>
    </xf>
    <xf numFmtId="2" fontId="5" fillId="0" borderId="3" xfId="2" applyNumberFormat="1" applyFont="1" applyBorder="1" applyAlignment="1">
      <alignment horizontal="center"/>
    </xf>
    <xf numFmtId="2" fontId="5" fillId="0" borderId="8" xfId="2" applyNumberFormat="1" applyFont="1" applyBorder="1" applyAlignment="1">
      <alignment horizontal="center"/>
    </xf>
    <xf numFmtId="166" fontId="5" fillId="0" borderId="7" xfId="2" applyNumberFormat="1" applyFont="1" applyBorder="1" applyAlignment="1">
      <alignment horizontal="center"/>
    </xf>
    <xf numFmtId="11" fontId="5" fillId="0" borderId="5" xfId="2" applyNumberFormat="1" applyFont="1" applyBorder="1" applyAlignment="1">
      <alignment horizontal="center"/>
    </xf>
    <xf numFmtId="11" fontId="5" fillId="0" borderId="24" xfId="2" applyNumberFormat="1" applyFont="1" applyBorder="1" applyAlignment="1">
      <alignment horizontal="center"/>
    </xf>
    <xf numFmtId="2" fontId="5" fillId="0" borderId="5" xfId="2" applyNumberFormat="1" applyFont="1" applyBorder="1" applyAlignment="1">
      <alignment horizontal="center"/>
    </xf>
    <xf numFmtId="166" fontId="5" fillId="0" borderId="5" xfId="2" applyNumberFormat="1" applyFont="1" applyBorder="1" applyAlignment="1">
      <alignment horizontal="center"/>
    </xf>
    <xf numFmtId="11" fontId="5" fillId="0" borderId="26" xfId="2" applyNumberFormat="1" applyFont="1" applyBorder="1" applyAlignment="1">
      <alignment horizontal="center"/>
    </xf>
    <xf numFmtId="0" fontId="5" fillId="0" borderId="25" xfId="2" applyFont="1" applyBorder="1"/>
    <xf numFmtId="2" fontId="5" fillId="0" borderId="4" xfId="2" applyNumberFormat="1" applyFont="1" applyBorder="1" applyAlignment="1">
      <alignment horizontal="center"/>
    </xf>
    <xf numFmtId="2" fontId="5" fillId="0" borderId="10" xfId="2" applyNumberFormat="1" applyFont="1" applyBorder="1" applyAlignment="1">
      <alignment horizontal="center"/>
    </xf>
    <xf numFmtId="0" fontId="13" fillId="0" borderId="18" xfId="2" applyFont="1" applyBorder="1"/>
    <xf numFmtId="0" fontId="6" fillId="0" borderId="0" xfId="2" applyFont="1"/>
    <xf numFmtId="2" fontId="6" fillId="0" borderId="0" xfId="2" applyNumberFormat="1" applyFont="1"/>
    <xf numFmtId="11" fontId="5" fillId="0" borderId="2" xfId="2" applyNumberFormat="1" applyFont="1" applyBorder="1" applyAlignment="1">
      <alignment horizontal="center"/>
    </xf>
    <xf numFmtId="11" fontId="5" fillId="0" borderId="27" xfId="2" applyNumberFormat="1" applyFont="1" applyBorder="1" applyAlignment="1">
      <alignment horizontal="center"/>
    </xf>
    <xf numFmtId="0" fontId="13" fillId="0" borderId="23" xfId="2" applyFont="1" applyBorder="1"/>
    <xf numFmtId="0" fontId="7" fillId="0" borderId="7" xfId="2" applyFont="1" applyBorder="1"/>
    <xf numFmtId="2" fontId="7" fillId="0" borderId="7" xfId="2" applyNumberFormat="1" applyFont="1" applyBorder="1"/>
    <xf numFmtId="0" fontId="14" fillId="0" borderId="7" xfId="2" applyFont="1" applyBorder="1"/>
    <xf numFmtId="167" fontId="4" fillId="0" borderId="6" xfId="2" applyNumberFormat="1" applyFont="1" applyBorder="1" applyAlignment="1">
      <alignment horizontal="center"/>
    </xf>
    <xf numFmtId="0" fontId="4" fillId="0" borderId="24" xfId="2" applyFont="1" applyBorder="1"/>
    <xf numFmtId="0" fontId="7" fillId="0" borderId="0" xfId="2" applyFont="1"/>
    <xf numFmtId="2" fontId="7" fillId="0" borderId="0" xfId="2" applyNumberFormat="1" applyFont="1"/>
    <xf numFmtId="0" fontId="15" fillId="0" borderId="0" xfId="2" applyFont="1"/>
    <xf numFmtId="11" fontId="4" fillId="0" borderId="2" xfId="2" applyNumberFormat="1" applyFont="1" applyBorder="1" applyAlignment="1">
      <alignment horizontal="center"/>
    </xf>
    <xf numFmtId="0" fontId="4" fillId="0" borderId="19" xfId="2" applyFont="1" applyBorder="1"/>
    <xf numFmtId="0" fontId="4" fillId="0" borderId="7" xfId="2" applyFont="1" applyBorder="1"/>
    <xf numFmtId="2" fontId="11" fillId="0" borderId="6" xfId="2" applyNumberFormat="1" applyFont="1" applyBorder="1" applyAlignment="1">
      <alignment horizontal="center"/>
    </xf>
    <xf numFmtId="0" fontId="13" fillId="0" borderId="28" xfId="2" applyFont="1" applyBorder="1"/>
    <xf numFmtId="0" fontId="7" fillId="0" borderId="10" xfId="2" applyFont="1" applyBorder="1"/>
    <xf numFmtId="2" fontId="7" fillId="0" borderId="10" xfId="2" applyNumberFormat="1" applyFont="1" applyBorder="1"/>
    <xf numFmtId="0" fontId="4" fillId="0" borderId="10" xfId="2" applyFont="1" applyBorder="1"/>
    <xf numFmtId="2" fontId="7" fillId="0" borderId="13" xfId="2" applyNumberFormat="1" applyFont="1" applyBorder="1" applyAlignment="1">
      <alignment horizontal="center"/>
    </xf>
    <xf numFmtId="165" fontId="7" fillId="0" borderId="29" xfId="2" applyNumberFormat="1" applyFont="1" applyBorder="1" applyAlignment="1">
      <alignment horizontal="center"/>
    </xf>
    <xf numFmtId="0" fontId="0" fillId="0" borderId="21" xfId="0" applyBorder="1"/>
    <xf numFmtId="0" fontId="18" fillId="0" borderId="0" xfId="2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20" xfId="0" applyBorder="1"/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center" vertical="center" wrapText="1"/>
    </xf>
    <xf numFmtId="0" fontId="27" fillId="0" borderId="0" xfId="0" applyFont="1" applyAlignment="1">
      <alignment vertical="center" wrapText="1" shrinkToFit="1"/>
    </xf>
    <xf numFmtId="0" fontId="27" fillId="0" borderId="5" xfId="0" applyFont="1" applyBorder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 shrinkToFit="1"/>
    </xf>
    <xf numFmtId="0" fontId="21" fillId="0" borderId="0" xfId="0" applyFont="1" applyAlignment="1">
      <alignment vertical="center"/>
    </xf>
    <xf numFmtId="0" fontId="35" fillId="0" borderId="0" xfId="0" applyFont="1" applyAlignment="1">
      <alignment horizontal="centerContinuous" vertical="center"/>
    </xf>
    <xf numFmtId="0" fontId="21" fillId="0" borderId="0" xfId="0" applyFont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48" xfId="0" applyFont="1" applyBorder="1" applyAlignment="1">
      <alignment vertical="center"/>
    </xf>
    <xf numFmtId="1" fontId="27" fillId="0" borderId="48" xfId="0" applyNumberFormat="1" applyFont="1" applyBorder="1" applyAlignment="1">
      <alignment horizontal="left" vertical="center"/>
    </xf>
    <xf numFmtId="0" fontId="27" fillId="0" borderId="49" xfId="0" applyFont="1" applyBorder="1" applyAlignment="1">
      <alignment vertical="center"/>
    </xf>
    <xf numFmtId="1" fontId="27" fillId="0" borderId="49" xfId="0" applyNumberFormat="1" applyFont="1" applyBorder="1" applyAlignment="1">
      <alignment horizontal="left" vertical="center"/>
    </xf>
    <xf numFmtId="16" fontId="27" fillId="0" borderId="49" xfId="0" quotePrefix="1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" fontId="27" fillId="0" borderId="0" xfId="0" applyNumberFormat="1" applyFont="1" applyAlignment="1">
      <alignment horizontal="left" vertical="center"/>
    </xf>
    <xf numFmtId="0" fontId="27" fillId="0" borderId="7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31" fillId="0" borderId="8" xfId="0" quotePrefix="1" applyFont="1" applyBorder="1" applyAlignment="1">
      <alignment horizontal="left" vertical="center"/>
    </xf>
    <xf numFmtId="1" fontId="27" fillId="0" borderId="8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7" fillId="0" borderId="0" xfId="0" quotePrefix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1" fontId="29" fillId="0" borderId="0" xfId="0" quotePrefix="1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6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  <xf numFmtId="0" fontId="27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164" fontId="27" fillId="0" borderId="10" xfId="0" applyNumberFormat="1" applyFont="1" applyBorder="1" applyAlignment="1">
      <alignment horizontal="left" vertical="center"/>
    </xf>
    <xf numFmtId="164" fontId="27" fillId="0" borderId="0" xfId="0" applyNumberFormat="1" applyFont="1" applyAlignment="1">
      <alignment horizontal="left" vertical="center"/>
    </xf>
    <xf numFmtId="168" fontId="27" fillId="0" borderId="0" xfId="0" applyNumberFormat="1" applyFont="1" applyAlignment="1">
      <alignment horizontal="center" vertical="center"/>
    </xf>
    <xf numFmtId="168" fontId="27" fillId="0" borderId="0" xfId="0" applyNumberFormat="1" applyFont="1" applyAlignment="1">
      <alignment vertical="center"/>
    </xf>
    <xf numFmtId="2" fontId="27" fillId="0" borderId="0" xfId="0" applyNumberFormat="1" applyFont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29" fillId="0" borderId="0" xfId="1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1" applyFont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24" fillId="0" borderId="0" xfId="0" applyFont="1" applyAlignment="1">
      <alignment horizontal="centerContinuous" vertical="center"/>
    </xf>
    <xf numFmtId="0" fontId="27" fillId="0" borderId="0" xfId="0" quotePrefix="1" applyFont="1" applyAlignment="1">
      <alignment horizontal="left" vertical="center"/>
    </xf>
    <xf numFmtId="1" fontId="27" fillId="0" borderId="0" xfId="0" quotePrefix="1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" fontId="27" fillId="0" borderId="0" xfId="0" applyNumberFormat="1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" fontId="37" fillId="0" borderId="0" xfId="0" quotePrefix="1" applyNumberFormat="1" applyFont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0" fontId="22" fillId="0" borderId="0" xfId="0" quotePrefix="1" applyFont="1" applyAlignment="1">
      <alignment horizontal="left" vertical="center"/>
    </xf>
    <xf numFmtId="0" fontId="37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2" fontId="27" fillId="0" borderId="11" xfId="0" applyNumberFormat="1" applyFont="1" applyBorder="1" applyAlignment="1">
      <alignment vertical="center" wrapText="1"/>
    </xf>
    <xf numFmtId="2" fontId="27" fillId="0" borderId="13" xfId="0" applyNumberFormat="1" applyFont="1" applyBorder="1" applyAlignment="1">
      <alignment vertical="center" wrapText="1"/>
    </xf>
    <xf numFmtId="2" fontId="27" fillId="0" borderId="3" xfId="0" applyNumberFormat="1" applyFont="1" applyBorder="1" applyAlignment="1">
      <alignment horizontal="center" vertical="center" wrapText="1"/>
    </xf>
    <xf numFmtId="2" fontId="27" fillId="0" borderId="4" xfId="0" applyNumberFormat="1" applyFont="1" applyBorder="1" applyAlignment="1">
      <alignment horizontal="center" vertical="center" wrapText="1"/>
    </xf>
    <xf numFmtId="164" fontId="28" fillId="2" borderId="7" xfId="0" applyNumberFormat="1" applyFont="1" applyFill="1" applyBorder="1" applyAlignment="1">
      <alignment horizontal="center" vertical="center"/>
    </xf>
    <xf numFmtId="165" fontId="28" fillId="2" borderId="7" xfId="0" applyNumberFormat="1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1" fillId="0" borderId="9" xfId="0" quotePrefix="1" applyFont="1" applyBorder="1" applyAlignment="1">
      <alignment horizontal="left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164" fontId="27" fillId="0" borderId="50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22" xfId="0" applyBorder="1"/>
    <xf numFmtId="0" fontId="0" fillId="0" borderId="5" xfId="0" applyBorder="1"/>
    <xf numFmtId="164" fontId="0" fillId="0" borderId="5" xfId="0" applyNumberFormat="1" applyBorder="1" applyAlignment="1">
      <alignment horizontal="center" vertical="center"/>
    </xf>
    <xf numFmtId="0" fontId="0" fillId="0" borderId="17" xfId="0" applyBorder="1"/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2" fontId="28" fillId="0" borderId="0" xfId="0" applyNumberFormat="1" applyFont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7" fillId="0" borderId="5" xfId="0" applyFont="1" applyBorder="1" applyAlignment="1" applyProtection="1">
      <alignment vertical="center"/>
      <protection locked="0"/>
    </xf>
    <xf numFmtId="0" fontId="5" fillId="5" borderId="5" xfId="0" applyFont="1" applyFill="1" applyBorder="1" applyAlignment="1">
      <alignment horizontal="center"/>
    </xf>
    <xf numFmtId="0" fontId="13" fillId="3" borderId="25" xfId="2" applyFont="1" applyFill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2" fontId="2" fillId="3" borderId="5" xfId="0" applyNumberFormat="1" applyFont="1" applyFill="1" applyBorder="1" applyAlignment="1">
      <alignment horizontal="center" vertical="center"/>
    </xf>
    <xf numFmtId="2" fontId="2" fillId="3" borderId="26" xfId="0" applyNumberFormat="1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 vertical="center"/>
    </xf>
    <xf numFmtId="164" fontId="5" fillId="0" borderId="5" xfId="0" applyNumberFormat="1" applyFon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1" fontId="2" fillId="3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7" fillId="3" borderId="0" xfId="0" applyFont="1" applyFill="1" applyAlignment="1" applyProtection="1">
      <alignment horizontal="left" vertical="center"/>
      <protection locked="0"/>
    </xf>
    <xf numFmtId="0" fontId="27" fillId="3" borderId="0" xfId="0" quotePrefix="1" applyFont="1" applyFill="1" applyAlignment="1" applyProtection="1">
      <alignment horizontal="left"/>
      <protection locked="0"/>
    </xf>
    <xf numFmtId="2" fontId="27" fillId="0" borderId="2" xfId="0" applyNumberFormat="1" applyFont="1" applyBorder="1" applyAlignment="1">
      <alignment vertical="center" wrapText="1"/>
    </xf>
    <xf numFmtId="2" fontId="27" fillId="0" borderId="1" xfId="0" applyNumberFormat="1" applyFont="1" applyBorder="1" applyAlignment="1">
      <alignment horizontal="center" vertical="center" wrapText="1"/>
    </xf>
    <xf numFmtId="0" fontId="46" fillId="0" borderId="6" xfId="1" applyFont="1" applyBorder="1" applyAlignment="1">
      <alignment vertical="center"/>
    </xf>
    <xf numFmtId="0" fontId="46" fillId="0" borderId="9" xfId="0" applyFont="1" applyBorder="1" applyAlignment="1">
      <alignment horizontal="left" vertical="center"/>
    </xf>
    <xf numFmtId="0" fontId="46" fillId="0" borderId="7" xfId="0" applyFont="1" applyBorder="1" applyAlignment="1">
      <alignment horizontal="right"/>
    </xf>
    <xf numFmtId="0" fontId="46" fillId="0" borderId="9" xfId="0" applyFont="1" applyBorder="1" applyAlignment="1">
      <alignment horizontal="left"/>
    </xf>
    <xf numFmtId="0" fontId="32" fillId="0" borderId="6" xfId="0" applyFont="1" applyBorder="1" applyAlignment="1">
      <alignment horizontal="center" vertical="center"/>
    </xf>
    <xf numFmtId="0" fontId="27" fillId="0" borderId="59" xfId="0" applyFont="1" applyBorder="1" applyAlignment="1">
      <alignment vertical="center"/>
    </xf>
    <xf numFmtId="0" fontId="28" fillId="2" borderId="59" xfId="0" applyFont="1" applyFill="1" applyBorder="1" applyAlignment="1">
      <alignment vertical="center"/>
    </xf>
    <xf numFmtId="0" fontId="12" fillId="3" borderId="5" xfId="0" quotePrefix="1" applyFont="1" applyFill="1" applyBorder="1" applyAlignment="1">
      <alignment horizontal="center" vertical="center"/>
    </xf>
    <xf numFmtId="1" fontId="5" fillId="3" borderId="5" xfId="0" applyNumberFormat="1" applyFont="1" applyFill="1" applyBorder="1" applyAlignment="1" applyProtection="1">
      <alignment horizontal="center"/>
      <protection hidden="1"/>
    </xf>
    <xf numFmtId="164" fontId="5" fillId="3" borderId="5" xfId="0" applyNumberFormat="1" applyFont="1" applyFill="1" applyBorder="1" applyAlignment="1" applyProtection="1">
      <alignment horizontal="center"/>
      <protection hidden="1"/>
    </xf>
    <xf numFmtId="165" fontId="5" fillId="3" borderId="5" xfId="0" applyNumberFormat="1" applyFont="1" applyFill="1" applyBorder="1" applyAlignment="1" applyProtection="1">
      <alignment horizontal="center"/>
      <protection hidden="1"/>
    </xf>
    <xf numFmtId="1" fontId="0" fillId="3" borderId="5" xfId="0" applyNumberFormat="1" applyFill="1" applyBorder="1" applyAlignment="1" applyProtection="1">
      <alignment horizontal="center"/>
      <protection hidden="1"/>
    </xf>
    <xf numFmtId="1" fontId="5" fillId="3" borderId="5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 applyProtection="1">
      <alignment horizontal="center" vertical="center"/>
      <protection hidden="1"/>
    </xf>
    <xf numFmtId="164" fontId="2" fillId="3" borderId="5" xfId="0" quotePrefix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8" fillId="0" borderId="0" xfId="0" applyFont="1"/>
    <xf numFmtId="0" fontId="7" fillId="0" borderId="0" xfId="1" applyFont="1" applyAlignment="1">
      <alignment horizontal="center"/>
    </xf>
    <xf numFmtId="2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7" fillId="0" borderId="0" xfId="0" applyFont="1" applyAlignment="1" applyProtection="1">
      <alignment vertical="center" wrapText="1"/>
      <protection locked="0"/>
    </xf>
    <xf numFmtId="0" fontId="5" fillId="4" borderId="5" xfId="0" applyFont="1" applyFill="1" applyBorder="1" applyAlignment="1">
      <alignment horizontal="center"/>
    </xf>
    <xf numFmtId="2" fontId="9" fillId="3" borderId="5" xfId="0" applyNumberFormat="1" applyFont="1" applyFill="1" applyBorder="1" applyAlignment="1">
      <alignment horizontal="center" vertical="center"/>
    </xf>
    <xf numFmtId="0" fontId="49" fillId="6" borderId="0" xfId="0" applyFont="1" applyFill="1" applyAlignment="1">
      <alignment horizontal="center"/>
    </xf>
    <xf numFmtId="164" fontId="2" fillId="0" borderId="0" xfId="0" applyNumberFormat="1" applyFont="1" applyAlignment="1" applyProtection="1">
      <alignment horizontal="right"/>
      <protection hidden="1"/>
    </xf>
    <xf numFmtId="164" fontId="51" fillId="5" borderId="5" xfId="0" applyNumberFormat="1" applyFont="1" applyFill="1" applyBorder="1" applyAlignment="1" applyProtection="1">
      <alignment horizontal="center"/>
      <protection hidden="1"/>
    </xf>
    <xf numFmtId="164" fontId="51" fillId="3" borderId="0" xfId="0" applyNumberFormat="1" applyFont="1" applyFill="1" applyAlignment="1" applyProtection="1">
      <alignment horizontal="center"/>
      <protection hidden="1"/>
    </xf>
    <xf numFmtId="1" fontId="17" fillId="3" borderId="0" xfId="0" applyNumberFormat="1" applyFont="1" applyFill="1" applyAlignment="1" applyProtection="1">
      <alignment horizontal="center" vertical="center"/>
      <protection hidden="1"/>
    </xf>
    <xf numFmtId="1" fontId="17" fillId="3" borderId="5" xfId="0" applyNumberFormat="1" applyFont="1" applyFill="1" applyBorder="1" applyAlignment="1" applyProtection="1">
      <alignment horizontal="center" vertical="center"/>
      <protection hidden="1"/>
    </xf>
    <xf numFmtId="164" fontId="9" fillId="3" borderId="5" xfId="0" applyNumberFormat="1" applyFont="1" applyFill="1" applyBorder="1" applyAlignment="1">
      <alignment horizontal="center" vertical="center"/>
    </xf>
    <xf numFmtId="170" fontId="0" fillId="0" borderId="0" xfId="0" applyNumberFormat="1"/>
    <xf numFmtId="1" fontId="52" fillId="3" borderId="57" xfId="0" applyNumberFormat="1" applyFont="1" applyFill="1" applyBorder="1" applyAlignment="1" applyProtection="1">
      <alignment horizontal="center" vertical="center" wrapText="1"/>
      <protection hidden="1"/>
    </xf>
    <xf numFmtId="164" fontId="49" fillId="6" borderId="0" xfId="0" applyNumberFormat="1" applyFont="1" applyFill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0" fontId="13" fillId="0" borderId="20" xfId="2" applyFont="1" applyBorder="1"/>
    <xf numFmtId="0" fontId="7" fillId="0" borderId="21" xfId="2" applyFont="1" applyBorder="1"/>
    <xf numFmtId="2" fontId="7" fillId="0" borderId="21" xfId="2" applyNumberFormat="1" applyFont="1" applyBorder="1"/>
    <xf numFmtId="0" fontId="4" fillId="0" borderId="21" xfId="2" applyFont="1" applyBorder="1"/>
    <xf numFmtId="2" fontId="7" fillId="0" borderId="56" xfId="2" applyNumberFormat="1" applyFont="1" applyBorder="1" applyAlignment="1">
      <alignment horizontal="center"/>
    </xf>
    <xf numFmtId="165" fontId="7" fillId="0" borderId="22" xfId="2" applyNumberFormat="1" applyFont="1" applyBorder="1" applyAlignment="1">
      <alignment horizontal="center"/>
    </xf>
    <xf numFmtId="0" fontId="8" fillId="0" borderId="2" xfId="0" applyFont="1" applyBorder="1"/>
    <xf numFmtId="0" fontId="12" fillId="3" borderId="0" xfId="0" applyFont="1" applyFill="1" applyAlignment="1">
      <alignment horizontal="center" vertical="center"/>
    </xf>
    <xf numFmtId="0" fontId="28" fillId="2" borderId="5" xfId="0" applyFont="1" applyFill="1" applyBorder="1" applyAlignment="1" applyProtection="1">
      <alignment vertical="center"/>
      <protection locked="0"/>
    </xf>
    <xf numFmtId="0" fontId="27" fillId="0" borderId="5" xfId="1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2" fontId="27" fillId="0" borderId="0" xfId="0" applyNumberFormat="1" applyFont="1" applyAlignment="1">
      <alignment vertical="center" wrapText="1"/>
    </xf>
    <xf numFmtId="2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46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horizontal="right" vertical="center"/>
      <protection locked="0"/>
    </xf>
    <xf numFmtId="1" fontId="46" fillId="0" borderId="0" xfId="0" applyNumberFormat="1" applyFont="1" applyAlignment="1" applyProtection="1">
      <alignment vertical="center"/>
      <protection locked="0"/>
    </xf>
    <xf numFmtId="0" fontId="56" fillId="2" borderId="0" xfId="0" applyFont="1" applyFill="1" applyAlignment="1" applyProtection="1">
      <alignment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horizontal="center" vertical="center"/>
      <protection locked="0"/>
    </xf>
    <xf numFmtId="164" fontId="46" fillId="0" borderId="0" xfId="0" applyNumberFormat="1" applyFont="1" applyAlignment="1">
      <alignment horizontal="center" vertical="center"/>
    </xf>
    <xf numFmtId="164" fontId="46" fillId="0" borderId="0" xfId="0" applyNumberFormat="1" applyFont="1" applyAlignment="1" applyProtection="1">
      <alignment horizontal="left" vertical="center"/>
      <protection locked="0"/>
    </xf>
    <xf numFmtId="0" fontId="57" fillId="0" borderId="0" xfId="0" quotePrefix="1" applyFont="1" applyAlignment="1" applyProtection="1">
      <alignment horizontal="left" vertical="center"/>
      <protection locked="0"/>
    </xf>
    <xf numFmtId="1" fontId="46" fillId="0" borderId="0" xfId="0" applyNumberFormat="1" applyFont="1" applyAlignment="1" applyProtection="1">
      <alignment horizontal="left" vertical="center"/>
      <protection locked="0"/>
    </xf>
    <xf numFmtId="0" fontId="56" fillId="2" borderId="6" xfId="0" applyFont="1" applyFill="1" applyBorder="1" applyAlignment="1" applyProtection="1">
      <alignment vertical="center"/>
      <protection locked="0"/>
    </xf>
    <xf numFmtId="0" fontId="46" fillId="0" borderId="10" xfId="0" applyFont="1" applyBorder="1" applyAlignment="1" applyProtection="1">
      <alignment vertical="center"/>
      <protection locked="0"/>
    </xf>
    <xf numFmtId="0" fontId="46" fillId="0" borderId="7" xfId="0" applyFont="1" applyBorder="1" applyAlignment="1" applyProtection="1">
      <alignment vertical="center"/>
      <protection locked="0"/>
    </xf>
    <xf numFmtId="0" fontId="47" fillId="0" borderId="0" xfId="0" applyFont="1" applyAlignment="1" applyProtection="1">
      <alignment horizontal="left" vertical="center"/>
      <protection locked="0"/>
    </xf>
    <xf numFmtId="0" fontId="46" fillId="0" borderId="3" xfId="0" applyFont="1" applyBorder="1" applyAlignment="1" applyProtection="1">
      <alignment horizontal="center" vertical="center"/>
      <protection locked="0"/>
    </xf>
    <xf numFmtId="0" fontId="46" fillId="0" borderId="5" xfId="0" quotePrefix="1" applyFont="1" applyBorder="1" applyAlignment="1" applyProtection="1">
      <alignment horizontal="center" vertical="center"/>
      <protection locked="0"/>
    </xf>
    <xf numFmtId="0" fontId="46" fillId="0" borderId="0" xfId="0" quotePrefix="1" applyFont="1" applyAlignment="1" applyProtection="1">
      <alignment horizontal="center" vertical="center"/>
      <protection locked="0"/>
    </xf>
    <xf numFmtId="164" fontId="46" fillId="0" borderId="0" xfId="0" applyNumberFormat="1" applyFont="1" applyAlignment="1" applyProtection="1">
      <alignment horizontal="center" vertical="center"/>
      <protection locked="0"/>
    </xf>
    <xf numFmtId="164" fontId="56" fillId="0" borderId="0" xfId="0" applyNumberFormat="1" applyFont="1" applyAlignment="1" applyProtection="1">
      <alignment horizontal="center" vertical="center"/>
      <protection locked="0"/>
    </xf>
    <xf numFmtId="2" fontId="56" fillId="0" borderId="0" xfId="0" applyNumberFormat="1" applyFont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vertical="center" wrapText="1"/>
      <protection locked="0"/>
    </xf>
    <xf numFmtId="0" fontId="47" fillId="0" borderId="0" xfId="0" quotePrefix="1" applyFont="1" applyAlignment="1" applyProtection="1">
      <alignment horizontal="left" vertical="center"/>
      <protection locked="0"/>
    </xf>
    <xf numFmtId="0" fontId="46" fillId="0" borderId="0" xfId="0" quotePrefix="1" applyFont="1" applyAlignment="1" applyProtection="1">
      <alignment horizontal="right" vertical="center"/>
      <protection locked="0"/>
    </xf>
    <xf numFmtId="0" fontId="46" fillId="3" borderId="0" xfId="0" applyFont="1" applyFill="1" applyAlignment="1" applyProtection="1">
      <alignment horizontal="left" vertical="center"/>
      <protection locked="0"/>
    </xf>
    <xf numFmtId="0" fontId="46" fillId="2" borderId="0" xfId="0" applyFont="1" applyFill="1" applyAlignment="1" applyProtection="1">
      <alignment vertical="center"/>
      <protection locked="0"/>
    </xf>
    <xf numFmtId="0" fontId="46" fillId="2" borderId="0" xfId="0" applyFont="1" applyFill="1" applyAlignment="1" applyProtection="1">
      <alignment horizontal="left" vertical="center"/>
      <protection locked="0"/>
    </xf>
    <xf numFmtId="0" fontId="47" fillId="2" borderId="0" xfId="0" applyFont="1" applyFill="1" applyAlignment="1" applyProtection="1">
      <alignment vertical="center"/>
      <protection locked="0"/>
    </xf>
    <xf numFmtId="0" fontId="58" fillId="0" borderId="0" xfId="0" applyFont="1" applyAlignment="1" applyProtection="1">
      <alignment vertical="center"/>
      <protection locked="0"/>
    </xf>
    <xf numFmtId="0" fontId="46" fillId="3" borderId="0" xfId="0" applyFont="1" applyFill="1" applyAlignment="1" applyProtection="1">
      <alignment horizontal="center" vertical="center"/>
      <protection locked="0"/>
    </xf>
    <xf numFmtId="0" fontId="47" fillId="3" borderId="0" xfId="1" applyFont="1" applyFill="1" applyAlignment="1" applyProtection="1">
      <alignment vertical="center"/>
      <protection locked="0"/>
    </xf>
    <xf numFmtId="0" fontId="46" fillId="3" borderId="0" xfId="1" applyFont="1" applyFill="1" applyAlignment="1" applyProtection="1">
      <alignment vertical="center"/>
      <protection locked="0"/>
    </xf>
    <xf numFmtId="2" fontId="17" fillId="0" borderId="0" xfId="0" applyNumberFormat="1" applyFont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3" borderId="57" xfId="0" applyFont="1" applyFill="1" applyBorder="1" applyAlignment="1" applyProtection="1">
      <alignment horizontal="center" vertical="center" wrapText="1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46" fillId="0" borderId="0" xfId="0" applyFont="1" applyAlignment="1">
      <alignment horizontal="center" vertical="center"/>
    </xf>
    <xf numFmtId="164" fontId="56" fillId="2" borderId="9" xfId="0" applyNumberFormat="1" applyFont="1" applyFill="1" applyBorder="1" applyAlignment="1" applyProtection="1">
      <alignment vertical="center"/>
      <protection hidden="1"/>
    </xf>
    <xf numFmtId="0" fontId="46" fillId="0" borderId="6" xfId="0" applyFont="1" applyBorder="1" applyAlignment="1" applyProtection="1">
      <alignment horizontal="right" vertical="center"/>
      <protection hidden="1"/>
    </xf>
    <xf numFmtId="0" fontId="46" fillId="0" borderId="8" xfId="0" applyFont="1" applyBorder="1" applyAlignment="1" applyProtection="1">
      <alignment vertical="center"/>
      <protection locked="0"/>
    </xf>
    <xf numFmtId="1" fontId="46" fillId="0" borderId="8" xfId="0" applyNumberFormat="1" applyFont="1" applyBorder="1" applyAlignment="1" applyProtection="1">
      <alignment horizontal="left" vertical="center"/>
      <protection locked="0"/>
    </xf>
    <xf numFmtId="0" fontId="57" fillId="0" borderId="8" xfId="0" quotePrefix="1" applyFont="1" applyBorder="1" applyAlignment="1" applyProtection="1">
      <alignment horizontal="left" vertical="center"/>
      <protection locked="0"/>
    </xf>
    <xf numFmtId="164" fontId="56" fillId="0" borderId="5" xfId="0" applyNumberFormat="1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0" fillId="10" borderId="0" xfId="0" applyFill="1"/>
    <xf numFmtId="0" fontId="2" fillId="10" borderId="18" xfId="0" applyFont="1" applyFill="1" applyBorder="1"/>
    <xf numFmtId="0" fontId="12" fillId="10" borderId="21" xfId="0" applyFont="1" applyFill="1" applyBorder="1" applyAlignment="1">
      <alignment vertical="center"/>
    </xf>
    <xf numFmtId="0" fontId="0" fillId="10" borderId="21" xfId="0" applyFill="1" applyBorder="1"/>
    <xf numFmtId="0" fontId="2" fillId="10" borderId="20" xfId="0" applyFont="1" applyFill="1" applyBorder="1"/>
    <xf numFmtId="0" fontId="46" fillId="0" borderId="9" xfId="0" applyFont="1" applyBorder="1" applyAlignment="1" applyProtection="1">
      <alignment horizontal="left" vertical="center"/>
      <protection locked="0"/>
    </xf>
    <xf numFmtId="164" fontId="56" fillId="0" borderId="3" xfId="0" applyNumberFormat="1" applyFont="1" applyBorder="1" applyAlignment="1" applyProtection="1">
      <alignment horizontal="center" vertical="center" wrapText="1"/>
      <protection hidden="1"/>
    </xf>
    <xf numFmtId="169" fontId="46" fillId="0" borderId="2" xfId="0" quotePrefix="1" applyNumberFormat="1" applyFont="1" applyBorder="1" applyAlignment="1" applyProtection="1">
      <alignment horizontal="center" vertical="center" wrapText="1"/>
      <protection locked="0"/>
    </xf>
    <xf numFmtId="0" fontId="46" fillId="0" borderId="3" xfId="0" quotePrefix="1" applyFont="1" applyBorder="1" applyAlignment="1" applyProtection="1">
      <alignment horizontal="center" vertical="center" wrapText="1"/>
      <protection locked="0"/>
    </xf>
    <xf numFmtId="0" fontId="46" fillId="0" borderId="2" xfId="0" applyFont="1" applyBorder="1" applyAlignment="1" applyProtection="1">
      <alignment horizontal="center" vertical="center"/>
      <protection locked="0"/>
    </xf>
    <xf numFmtId="0" fontId="46" fillId="4" borderId="0" xfId="0" quotePrefix="1" applyFont="1" applyFill="1" applyAlignment="1" applyProtection="1">
      <alignment horizontal="left" vertical="center"/>
      <protection locked="0"/>
    </xf>
    <xf numFmtId="0" fontId="61" fillId="0" borderId="9" xfId="0" applyFont="1" applyBorder="1" applyAlignment="1" applyProtection="1">
      <alignment horizontal="center" vertical="center"/>
      <protection locked="0"/>
    </xf>
    <xf numFmtId="0" fontId="17" fillId="3" borderId="16" xfId="3" applyFont="1" applyFill="1" applyBorder="1" applyAlignment="1">
      <alignment vertical="center"/>
    </xf>
    <xf numFmtId="0" fontId="17" fillId="3" borderId="16" xfId="3" applyFont="1" applyFill="1" applyBorder="1" applyAlignment="1">
      <alignment horizontal="center" vertical="center"/>
    </xf>
    <xf numFmtId="0" fontId="17" fillId="3" borderId="44" xfId="3" applyFont="1" applyFill="1" applyBorder="1" applyAlignment="1">
      <alignment horizontal="center" vertical="center"/>
    </xf>
    <xf numFmtId="0" fontId="17" fillId="3" borderId="16" xfId="3" applyFont="1" applyFill="1" applyBorder="1" applyAlignment="1">
      <alignment horizontal="left" vertical="center" wrapText="1"/>
    </xf>
    <xf numFmtId="0" fontId="13" fillId="3" borderId="25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/>
    </xf>
    <xf numFmtId="166" fontId="5" fillId="3" borderId="0" xfId="3" applyNumberFormat="1" applyFont="1" applyFill="1" applyAlignment="1">
      <alignment horizontal="center"/>
    </xf>
    <xf numFmtId="166" fontId="5" fillId="3" borderId="19" xfId="3" applyNumberFormat="1" applyFont="1" applyFill="1" applyBorder="1" applyAlignment="1">
      <alignment horizontal="center"/>
    </xf>
    <xf numFmtId="0" fontId="6" fillId="3" borderId="19" xfId="3" applyFont="1" applyFill="1" applyBorder="1"/>
    <xf numFmtId="0" fontId="4" fillId="3" borderId="5" xfId="3" applyFont="1" applyFill="1" applyBorder="1" applyAlignment="1">
      <alignment horizontal="center" vertical="center"/>
    </xf>
    <xf numFmtId="0" fontId="7" fillId="3" borderId="19" xfId="3" applyFont="1" applyFill="1" applyBorder="1"/>
    <xf numFmtId="0" fontId="17" fillId="3" borderId="0" xfId="3" applyFont="1" applyFill="1" applyAlignment="1">
      <alignment vertical="center"/>
    </xf>
    <xf numFmtId="0" fontId="4" fillId="3" borderId="0" xfId="3" applyFont="1" applyFill="1"/>
    <xf numFmtId="0" fontId="7" fillId="3" borderId="0" xfId="3" applyFont="1" applyFill="1"/>
    <xf numFmtId="0" fontId="0" fillId="0" borderId="0" xfId="0" applyAlignment="1">
      <alignment vertical="center"/>
    </xf>
    <xf numFmtId="0" fontId="27" fillId="0" borderId="0" xfId="0" applyFont="1" applyAlignment="1" applyProtection="1">
      <alignment horizontal="left" vertical="center"/>
      <protection locked="0"/>
    </xf>
    <xf numFmtId="0" fontId="46" fillId="0" borderId="0" xfId="0" applyFont="1" applyAlignment="1" applyProtection="1">
      <alignment horizontal="left" vertical="center"/>
      <protection locked="0"/>
    </xf>
    <xf numFmtId="0" fontId="46" fillId="0" borderId="3" xfId="0" applyFont="1" applyBorder="1" applyAlignment="1" applyProtection="1">
      <alignment horizontal="center" vertical="center" wrapText="1"/>
      <protection locked="0"/>
    </xf>
    <xf numFmtId="0" fontId="46" fillId="0" borderId="3" xfId="0" quotePrefix="1" applyFont="1" applyBorder="1" applyAlignment="1" applyProtection="1">
      <alignment horizontal="center" vertical="center"/>
      <protection locked="0"/>
    </xf>
    <xf numFmtId="0" fontId="47" fillId="0" borderId="3" xfId="0" applyFont="1" applyBorder="1" applyAlignment="1" applyProtection="1">
      <alignment horizontal="center" vertical="center"/>
      <protection locked="0"/>
    </xf>
    <xf numFmtId="0" fontId="47" fillId="0" borderId="5" xfId="0" applyFont="1" applyBorder="1" applyAlignment="1" applyProtection="1">
      <alignment horizontal="center" vertical="center" wrapText="1"/>
      <protection locked="0"/>
    </xf>
    <xf numFmtId="0" fontId="47" fillId="0" borderId="5" xfId="0" applyFont="1" applyBorder="1" applyAlignment="1" applyProtection="1">
      <alignment horizontal="center" vertical="center"/>
      <protection locked="0"/>
    </xf>
    <xf numFmtId="0" fontId="46" fillId="0" borderId="5" xfId="0" applyFont="1" applyBorder="1" applyAlignment="1" applyProtection="1">
      <alignment horizontal="center" vertical="center" wrapText="1"/>
      <protection locked="0"/>
    </xf>
    <xf numFmtId="0" fontId="46" fillId="0" borderId="5" xfId="0" applyFont="1" applyBorder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vertical="center"/>
      <protection locked="0"/>
    </xf>
    <xf numFmtId="0" fontId="61" fillId="0" borderId="0" xfId="0" applyFont="1" applyAlignment="1" applyProtection="1">
      <alignment vertical="center"/>
      <protection locked="0"/>
    </xf>
    <xf numFmtId="0" fontId="73" fillId="4" borderId="0" xfId="0" applyFont="1" applyFill="1" applyAlignment="1" applyProtection="1">
      <alignment vertical="center"/>
      <protection locked="0"/>
    </xf>
    <xf numFmtId="0" fontId="61" fillId="0" borderId="0" xfId="0" applyFont="1" applyAlignment="1" applyProtection="1">
      <alignment horizontal="center" vertical="center"/>
      <protection locked="0"/>
    </xf>
    <xf numFmtId="0" fontId="74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75" fillId="0" borderId="0" xfId="0" quotePrefix="1" applyFont="1" applyAlignment="1" applyProtection="1">
      <alignment horizontal="center" vertical="center" wrapText="1"/>
      <protection locked="0"/>
    </xf>
    <xf numFmtId="1" fontId="75" fillId="0" borderId="0" xfId="0" quotePrefix="1" applyNumberFormat="1" applyFont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vertical="center"/>
      <protection locked="0"/>
    </xf>
    <xf numFmtId="2" fontId="61" fillId="0" borderId="0" xfId="0" applyNumberFormat="1" applyFont="1" applyAlignment="1" applyProtection="1">
      <alignment horizontal="center" vertical="center"/>
      <protection locked="0"/>
    </xf>
    <xf numFmtId="165" fontId="61" fillId="0" borderId="0" xfId="0" applyNumberFormat="1" applyFont="1" applyAlignment="1" applyProtection="1">
      <alignment horizontal="center" vertical="center"/>
      <protection locked="0"/>
    </xf>
    <xf numFmtId="166" fontId="61" fillId="0" borderId="0" xfId="0" applyNumberFormat="1" applyFont="1" applyAlignment="1" applyProtection="1">
      <alignment horizontal="center" vertical="center"/>
      <protection locked="0"/>
    </xf>
    <xf numFmtId="0" fontId="76" fillId="0" borderId="0" xfId="0" applyFont="1" applyAlignment="1" applyProtection="1">
      <alignment vertical="center"/>
      <protection locked="0"/>
    </xf>
    <xf numFmtId="0" fontId="62" fillId="0" borderId="0" xfId="0" applyFont="1" applyAlignment="1" applyProtection="1">
      <alignment vertical="center"/>
      <protection locked="0"/>
    </xf>
    <xf numFmtId="0" fontId="62" fillId="2" borderId="0" xfId="0" applyFont="1" applyFill="1" applyAlignment="1" applyProtection="1">
      <alignment vertical="center"/>
      <protection locked="0"/>
    </xf>
    <xf numFmtId="0" fontId="61" fillId="2" borderId="0" xfId="0" applyFont="1" applyFill="1" applyAlignment="1" applyProtection="1">
      <alignment vertical="center"/>
      <protection locked="0"/>
    </xf>
    <xf numFmtId="0" fontId="61" fillId="2" borderId="0" xfId="0" applyFont="1" applyFill="1" applyAlignment="1" applyProtection="1">
      <alignment horizontal="center" vertical="center"/>
      <protection locked="0"/>
    </xf>
    <xf numFmtId="0" fontId="77" fillId="2" borderId="0" xfId="0" applyFont="1" applyFill="1" applyAlignment="1" applyProtection="1">
      <alignment horizontal="left" vertical="center"/>
      <protection locked="0"/>
    </xf>
    <xf numFmtId="0" fontId="76" fillId="0" borderId="0" xfId="0" applyFont="1" applyAlignment="1" applyProtection="1">
      <alignment horizontal="center" vertical="center"/>
      <protection locked="0"/>
    </xf>
    <xf numFmtId="0" fontId="75" fillId="0" borderId="0" xfId="0" applyFont="1" applyAlignment="1" applyProtection="1">
      <alignment horizontal="center" vertical="center"/>
      <protection locked="0"/>
    </xf>
    <xf numFmtId="0" fontId="74" fillId="0" borderId="0" xfId="0" applyFont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horizontal="left" vertical="center"/>
      <protection locked="0"/>
    </xf>
    <xf numFmtId="0" fontId="61" fillId="0" borderId="0" xfId="0" quotePrefix="1" applyFont="1" applyAlignment="1" applyProtection="1">
      <alignment horizontal="left" vertical="center"/>
      <protection locked="0"/>
    </xf>
    <xf numFmtId="0" fontId="61" fillId="0" borderId="0" xfId="0" applyFont="1" applyAlignment="1" applyProtection="1">
      <alignment horizontal="center" vertical="center" wrapText="1" shrinkToFit="1"/>
      <protection locked="0"/>
    </xf>
    <xf numFmtId="0" fontId="61" fillId="0" borderId="0" xfId="0" applyFont="1" applyAlignment="1" applyProtection="1">
      <alignment vertical="center" wrapText="1" shrinkToFit="1"/>
      <protection locked="0"/>
    </xf>
    <xf numFmtId="0" fontId="61" fillId="0" borderId="0" xfId="0" applyFont="1" applyAlignment="1" applyProtection="1">
      <alignment horizontal="center" vertical="center" wrapText="1"/>
      <protection locked="0"/>
    </xf>
    <xf numFmtId="0" fontId="78" fillId="0" borderId="0" xfId="0" quotePrefix="1" applyFont="1" applyAlignment="1" applyProtection="1">
      <alignment horizontal="left" vertical="center"/>
      <protection locked="0"/>
    </xf>
    <xf numFmtId="0" fontId="76" fillId="0" borderId="0" xfId="0" applyFont="1" applyAlignment="1" applyProtection="1">
      <alignment horizontal="left" vertical="center"/>
      <protection locked="0"/>
    </xf>
    <xf numFmtId="0" fontId="61" fillId="0" borderId="0" xfId="0" quotePrefix="1" applyFont="1" applyAlignment="1" applyProtection="1">
      <alignment horizontal="center" vertical="center"/>
      <protection locked="0"/>
    </xf>
    <xf numFmtId="1" fontId="61" fillId="0" borderId="0" xfId="0" quotePrefix="1" applyNumberFormat="1" applyFont="1" applyAlignment="1" applyProtection="1">
      <alignment horizontal="center" vertical="center"/>
      <protection locked="0"/>
    </xf>
    <xf numFmtId="164" fontId="61" fillId="0" borderId="0" xfId="0" applyNumberFormat="1" applyFont="1" applyAlignment="1" applyProtection="1">
      <alignment horizontal="center" vertical="center"/>
      <protection locked="0"/>
    </xf>
    <xf numFmtId="1" fontId="61" fillId="0" borderId="0" xfId="0" applyNumberFormat="1" applyFont="1" applyAlignment="1" applyProtection="1">
      <alignment horizontal="center" vertical="center"/>
      <protection locked="0"/>
    </xf>
    <xf numFmtId="0" fontId="46" fillId="2" borderId="0" xfId="0" applyFont="1" applyFill="1" applyAlignment="1" applyProtection="1">
      <alignment vertical="center" wrapText="1"/>
      <protection hidden="1"/>
    </xf>
    <xf numFmtId="0" fontId="79" fillId="3" borderId="5" xfId="2" applyFont="1" applyFill="1" applyBorder="1" applyAlignment="1">
      <alignment horizontal="center"/>
    </xf>
    <xf numFmtId="0" fontId="79" fillId="3" borderId="7" xfId="2" applyFont="1" applyFill="1" applyBorder="1" applyAlignment="1">
      <alignment horizontal="center"/>
    </xf>
    <xf numFmtId="166" fontId="79" fillId="3" borderId="7" xfId="2" applyNumberFormat="1" applyFont="1" applyFill="1" applyBorder="1" applyAlignment="1">
      <alignment horizontal="center"/>
    </xf>
    <xf numFmtId="11" fontId="79" fillId="3" borderId="5" xfId="2" applyNumberFormat="1" applyFont="1" applyFill="1" applyBorder="1" applyAlignment="1">
      <alignment horizontal="center"/>
    </xf>
    <xf numFmtId="0" fontId="79" fillId="3" borderId="25" xfId="2" applyFont="1" applyFill="1" applyBorder="1" applyAlignment="1">
      <alignment horizontal="left"/>
    </xf>
    <xf numFmtId="2" fontId="79" fillId="3" borderId="5" xfId="2" applyNumberFormat="1" applyFont="1" applyFill="1" applyBorder="1" applyAlignment="1">
      <alignment horizontal="center"/>
    </xf>
    <xf numFmtId="166" fontId="79" fillId="3" borderId="5" xfId="2" applyNumberFormat="1" applyFont="1" applyFill="1" applyBorder="1" applyAlignment="1">
      <alignment horizontal="center"/>
    </xf>
    <xf numFmtId="11" fontId="79" fillId="3" borderId="26" xfId="2" applyNumberFormat="1" applyFont="1" applyFill="1" applyBorder="1" applyAlignment="1">
      <alignment horizontal="center"/>
    </xf>
    <xf numFmtId="0" fontId="79" fillId="3" borderId="25" xfId="2" applyFont="1" applyFill="1" applyBorder="1"/>
    <xf numFmtId="2" fontId="79" fillId="3" borderId="4" xfId="2" applyNumberFormat="1" applyFont="1" applyFill="1" applyBorder="1" applyAlignment="1">
      <alignment horizontal="center"/>
    </xf>
    <xf numFmtId="2" fontId="79" fillId="3" borderId="10" xfId="2" applyNumberFormat="1" applyFont="1" applyFill="1" applyBorder="1" applyAlignment="1">
      <alignment horizontal="center"/>
    </xf>
    <xf numFmtId="0" fontId="61" fillId="9" borderId="0" xfId="0" applyFont="1" applyFill="1" applyAlignment="1" applyProtection="1">
      <alignment vertical="center"/>
      <protection locked="0"/>
    </xf>
    <xf numFmtId="0" fontId="61" fillId="3" borderId="0" xfId="0" applyFont="1" applyFill="1" applyAlignment="1" applyProtection="1">
      <alignment vertical="center"/>
      <protection locked="0"/>
    </xf>
    <xf numFmtId="0" fontId="61" fillId="3" borderId="0" xfId="0" applyFont="1" applyFill="1" applyAlignment="1" applyProtection="1">
      <alignment horizontal="right" vertical="center"/>
      <protection locked="0"/>
    </xf>
    <xf numFmtId="164" fontId="27" fillId="0" borderId="0" xfId="0" applyNumberFormat="1" applyFont="1" applyAlignment="1" applyProtection="1">
      <alignment horizontal="center" vertical="center"/>
      <protection locked="0"/>
    </xf>
    <xf numFmtId="0" fontId="46" fillId="2" borderId="0" xfId="0" applyFont="1" applyFill="1" applyAlignment="1" applyProtection="1">
      <alignment horizontal="left" vertical="center" wrapText="1"/>
      <protection hidden="1"/>
    </xf>
    <xf numFmtId="2" fontId="80" fillId="0" borderId="0" xfId="0" applyNumberFormat="1" applyFont="1" applyAlignment="1">
      <alignment horizontal="center" vertical="center"/>
    </xf>
    <xf numFmtId="0" fontId="46" fillId="0" borderId="0" xfId="0" applyFont="1" applyAlignment="1">
      <alignment vertical="center"/>
    </xf>
    <xf numFmtId="0" fontId="59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43" fillId="0" borderId="5" xfId="0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9" fillId="3" borderId="23" xfId="2" applyFont="1" applyFill="1" applyBorder="1" applyAlignment="1">
      <alignment horizontal="left"/>
    </xf>
    <xf numFmtId="0" fontId="9" fillId="3" borderId="25" xfId="2" applyFont="1" applyFill="1" applyBorder="1"/>
    <xf numFmtId="0" fontId="9" fillId="3" borderId="5" xfId="2" applyFont="1" applyFill="1" applyBorder="1" applyAlignment="1">
      <alignment horizontal="center"/>
    </xf>
    <xf numFmtId="0" fontId="9" fillId="3" borderId="7" xfId="2" applyFont="1" applyFill="1" applyBorder="1" applyAlignment="1">
      <alignment horizontal="center"/>
    </xf>
    <xf numFmtId="2" fontId="9" fillId="3" borderId="3" xfId="2" applyNumberFormat="1" applyFont="1" applyFill="1" applyBorder="1" applyAlignment="1">
      <alignment horizontal="center"/>
    </xf>
    <xf numFmtId="2" fontId="9" fillId="3" borderId="8" xfId="2" applyNumberFormat="1" applyFont="1" applyFill="1" applyBorder="1" applyAlignment="1">
      <alignment horizontal="center"/>
    </xf>
    <xf numFmtId="166" fontId="9" fillId="3" borderId="7" xfId="2" applyNumberFormat="1" applyFont="1" applyFill="1" applyBorder="1" applyAlignment="1">
      <alignment horizontal="center"/>
    </xf>
    <xf numFmtId="11" fontId="9" fillId="3" borderId="5" xfId="2" applyNumberFormat="1" applyFont="1" applyFill="1" applyBorder="1" applyAlignment="1">
      <alignment horizontal="center"/>
    </xf>
    <xf numFmtId="165" fontId="51" fillId="5" borderId="5" xfId="0" applyNumberFormat="1" applyFont="1" applyFill="1" applyBorder="1" applyAlignment="1" applyProtection="1">
      <alignment horizontal="center"/>
      <protection hidden="1"/>
    </xf>
    <xf numFmtId="0" fontId="2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2" fontId="9" fillId="3" borderId="4" xfId="2" applyNumberFormat="1" applyFont="1" applyFill="1" applyBorder="1" applyAlignment="1">
      <alignment horizontal="center"/>
    </xf>
    <xf numFmtId="2" fontId="9" fillId="3" borderId="10" xfId="2" applyNumberFormat="1" applyFont="1" applyFill="1" applyBorder="1" applyAlignment="1">
      <alignment horizontal="center"/>
    </xf>
    <xf numFmtId="11" fontId="9" fillId="3" borderId="1" xfId="2" applyNumberFormat="1" applyFont="1" applyFill="1" applyBorder="1" applyAlignment="1">
      <alignment horizontal="center"/>
    </xf>
    <xf numFmtId="11" fontId="9" fillId="3" borderId="19" xfId="2" applyNumberFormat="1" applyFont="1" applyFill="1" applyBorder="1" applyAlignment="1">
      <alignment horizontal="center"/>
    </xf>
    <xf numFmtId="0" fontId="0" fillId="6" borderId="0" xfId="0" applyFill="1"/>
    <xf numFmtId="0" fontId="9" fillId="3" borderId="25" xfId="2" applyFont="1" applyFill="1" applyBorder="1" applyAlignment="1">
      <alignment horizontal="left"/>
    </xf>
    <xf numFmtId="2" fontId="9" fillId="3" borderId="5" xfId="2" applyNumberFormat="1" applyFont="1" applyFill="1" applyBorder="1" applyAlignment="1">
      <alignment horizontal="center"/>
    </xf>
    <xf numFmtId="166" fontId="9" fillId="3" borderId="5" xfId="2" applyNumberFormat="1" applyFont="1" applyFill="1" applyBorder="1" applyAlignment="1">
      <alignment horizontal="center"/>
    </xf>
    <xf numFmtId="0" fontId="82" fillId="12" borderId="0" xfId="0" applyFont="1" applyFill="1"/>
    <xf numFmtId="0" fontId="81" fillId="12" borderId="5" xfId="0" applyFont="1" applyFill="1" applyBorder="1" applyAlignment="1">
      <alignment horizontal="center"/>
    </xf>
    <xf numFmtId="164" fontId="81" fillId="12" borderId="5" xfId="0" applyNumberFormat="1" applyFont="1" applyFill="1" applyBorder="1" applyAlignment="1">
      <alignment horizontal="center"/>
    </xf>
    <xf numFmtId="2" fontId="82" fillId="12" borderId="0" xfId="0" applyNumberFormat="1" applyFont="1" applyFill="1" applyAlignment="1">
      <alignment horizontal="center"/>
    </xf>
    <xf numFmtId="11" fontId="9" fillId="3" borderId="24" xfId="2" applyNumberFormat="1" applyFont="1" applyFill="1" applyBorder="1" applyAlignment="1">
      <alignment horizontal="center"/>
    </xf>
    <xf numFmtId="0" fontId="46" fillId="0" borderId="0" xfId="1" applyFont="1"/>
    <xf numFmtId="0" fontId="83" fillId="0" borderId="0" xfId="1" applyFont="1"/>
    <xf numFmtId="0" fontId="2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84" fillId="3" borderId="0" xfId="0" applyFont="1" applyFill="1" applyAlignment="1" applyProtection="1">
      <alignment vertical="center"/>
      <protection locked="0"/>
    </xf>
    <xf numFmtId="1" fontId="85" fillId="3" borderId="0" xfId="0" applyNumberFormat="1" applyFont="1" applyFill="1" applyAlignment="1" applyProtection="1">
      <alignment horizontal="left" vertical="center"/>
      <protection locked="0"/>
    </xf>
    <xf numFmtId="0" fontId="85" fillId="3" borderId="0" xfId="0" applyFont="1" applyFill="1" applyAlignment="1" applyProtection="1">
      <alignment vertical="center"/>
      <protection locked="0"/>
    </xf>
    <xf numFmtId="1" fontId="85" fillId="3" borderId="0" xfId="0" quotePrefix="1" applyNumberFormat="1" applyFont="1" applyFill="1" applyAlignment="1" applyProtection="1">
      <alignment vertical="center"/>
      <protection locked="0"/>
    </xf>
    <xf numFmtId="16" fontId="85" fillId="3" borderId="0" xfId="0" quotePrefix="1" applyNumberFormat="1" applyFont="1" applyFill="1" applyAlignment="1" applyProtection="1">
      <alignment vertical="center"/>
      <protection locked="0"/>
    </xf>
    <xf numFmtId="164" fontId="85" fillId="3" borderId="5" xfId="0" applyNumberFormat="1" applyFont="1" applyFill="1" applyBorder="1" applyAlignment="1" applyProtection="1">
      <alignment horizontal="center" vertical="center"/>
      <protection locked="0"/>
    </xf>
    <xf numFmtId="0" fontId="85" fillId="3" borderId="5" xfId="0" applyFont="1" applyFill="1" applyBorder="1" applyAlignment="1" applyProtection="1">
      <alignment horizontal="center" vertical="center"/>
      <protection locked="0"/>
    </xf>
    <xf numFmtId="164" fontId="85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horizontal="center" vertical="center" wrapText="1"/>
    </xf>
    <xf numFmtId="0" fontId="46" fillId="0" borderId="0" xfId="0" applyFont="1" applyAlignment="1">
      <alignment horizontal="left"/>
    </xf>
    <xf numFmtId="0" fontId="24" fillId="0" borderId="0" xfId="0" applyFont="1" applyAlignment="1">
      <alignment horizontal="right" vertical="center"/>
    </xf>
    <xf numFmtId="0" fontId="12" fillId="0" borderId="2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0" fontId="78" fillId="3" borderId="0" xfId="0" quotePrefix="1" applyFont="1" applyFill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0" fontId="88" fillId="0" borderId="0" xfId="0" applyFont="1" applyAlignment="1" applyProtection="1">
      <alignment horizontal="center" vertical="center"/>
      <protection hidden="1"/>
    </xf>
    <xf numFmtId="0" fontId="88" fillId="0" borderId="0" xfId="0" applyFont="1" applyAlignment="1" applyProtection="1">
      <alignment horizontal="left" vertical="center"/>
      <protection hidden="1"/>
    </xf>
    <xf numFmtId="0" fontId="2" fillId="0" borderId="0" xfId="3"/>
    <xf numFmtId="0" fontId="2" fillId="6" borderId="31" xfId="3" applyFill="1" applyBorder="1" applyProtection="1">
      <protection locked="0"/>
    </xf>
    <xf numFmtId="0" fontId="2" fillId="6" borderId="54" xfId="3" applyFill="1" applyBorder="1" applyProtection="1">
      <protection locked="0"/>
    </xf>
    <xf numFmtId="0" fontId="2" fillId="0" borderId="18" xfId="3" applyBorder="1"/>
    <xf numFmtId="0" fontId="2" fillId="0" borderId="0" xfId="3" applyAlignment="1">
      <alignment horizontal="center" vertical="center"/>
    </xf>
    <xf numFmtId="0" fontId="2" fillId="0" borderId="0" xfId="3" applyAlignment="1">
      <alignment horizontal="center"/>
    </xf>
    <xf numFmtId="0" fontId="2" fillId="3" borderId="16" xfId="3" applyFill="1" applyBorder="1"/>
    <xf numFmtId="0" fontId="2" fillId="3" borderId="0" xfId="3" applyFill="1"/>
    <xf numFmtId="0" fontId="34" fillId="3" borderId="0" xfId="3" applyFont="1" applyFill="1" applyAlignment="1">
      <alignment vertical="center"/>
    </xf>
    <xf numFmtId="2" fontId="20" fillId="3" borderId="0" xfId="3" applyNumberFormat="1" applyFont="1" applyFill="1" applyAlignment="1">
      <alignment horizontal="center" vertical="center" wrapText="1"/>
    </xf>
    <xf numFmtId="2" fontId="79" fillId="3" borderId="0" xfId="3" applyNumberFormat="1" applyFont="1" applyFill="1" applyAlignment="1">
      <alignment horizontal="center" vertical="center"/>
    </xf>
    <xf numFmtId="0" fontId="17" fillId="3" borderId="0" xfId="3" applyFont="1" applyFill="1" applyAlignment="1">
      <alignment horizontal="center" vertical="center"/>
    </xf>
    <xf numFmtId="0" fontId="90" fillId="3" borderId="0" xfId="3" applyFont="1" applyFill="1" applyAlignment="1">
      <alignment horizontal="center" vertical="center"/>
    </xf>
    <xf numFmtId="2" fontId="90" fillId="3" borderId="0" xfId="3" applyNumberFormat="1" applyFont="1" applyFill="1" applyAlignment="1">
      <alignment horizontal="center" vertical="center"/>
    </xf>
    <xf numFmtId="0" fontId="2" fillId="3" borderId="18" xfId="3" applyFill="1" applyBorder="1"/>
    <xf numFmtId="0" fontId="2" fillId="3" borderId="20" xfId="3" applyFill="1" applyBorder="1"/>
    <xf numFmtId="0" fontId="2" fillId="3" borderId="21" xfId="3" applyFill="1" applyBorder="1"/>
    <xf numFmtId="0" fontId="2" fillId="0" borderId="0" xfId="3" applyProtection="1">
      <protection locked="0"/>
    </xf>
    <xf numFmtId="0" fontId="5" fillId="0" borderId="0" xfId="5" applyFont="1"/>
    <xf numFmtId="0" fontId="2" fillId="0" borderId="0" xfId="5"/>
    <xf numFmtId="0" fontId="2" fillId="0" borderId="16" xfId="5" applyBorder="1"/>
    <xf numFmtId="0" fontId="41" fillId="11" borderId="5" xfId="5" applyFont="1" applyFill="1" applyBorder="1" applyAlignment="1">
      <alignment horizontal="center" vertical="center"/>
    </xf>
    <xf numFmtId="164" fontId="41" fillId="7" borderId="5" xfId="5" applyNumberFormat="1" applyFont="1" applyFill="1" applyBorder="1" applyAlignment="1">
      <alignment horizontal="center" vertical="center"/>
    </xf>
    <xf numFmtId="0" fontId="12" fillId="7" borderId="5" xfId="5" applyFont="1" applyFill="1" applyBorder="1" applyAlignment="1">
      <alignment horizontal="center" vertical="center"/>
    </xf>
    <xf numFmtId="0" fontId="12" fillId="11" borderId="5" xfId="5" applyFont="1" applyFill="1" applyBorder="1" applyAlignment="1">
      <alignment horizontal="center" vertical="center"/>
    </xf>
    <xf numFmtId="0" fontId="2" fillId="0" borderId="5" xfId="5" applyBorder="1"/>
    <xf numFmtId="164" fontId="2" fillId="7" borderId="5" xfId="5" applyNumberFormat="1" applyFill="1" applyBorder="1" applyAlignment="1">
      <alignment horizontal="center" vertical="center"/>
    </xf>
    <xf numFmtId="2" fontId="2" fillId="11" borderId="5" xfId="5" applyNumberFormat="1" applyFill="1" applyBorder="1" applyAlignment="1">
      <alignment horizontal="center"/>
    </xf>
    <xf numFmtId="0" fontId="2" fillId="0" borderId="19" xfId="5" applyBorder="1"/>
    <xf numFmtId="164" fontId="2" fillId="7" borderId="5" xfId="5" applyNumberFormat="1" applyFill="1" applyBorder="1" applyAlignment="1">
      <alignment horizontal="center"/>
    </xf>
    <xf numFmtId="0" fontId="2" fillId="7" borderId="5" xfId="5" quotePrefix="1" applyFill="1" applyBorder="1" applyAlignment="1">
      <alignment horizontal="center"/>
    </xf>
    <xf numFmtId="0" fontId="2" fillId="0" borderId="21" xfId="5" applyBorder="1"/>
    <xf numFmtId="0" fontId="2" fillId="0" borderId="22" xfId="5" applyBorder="1"/>
    <xf numFmtId="0" fontId="2" fillId="0" borderId="18" xfId="5" applyBorder="1"/>
    <xf numFmtId="0" fontId="41" fillId="7" borderId="5" xfId="5" applyFont="1" applyFill="1" applyBorder="1" applyAlignment="1">
      <alignment horizontal="center" vertical="center"/>
    </xf>
    <xf numFmtId="164" fontId="2" fillId="7" borderId="5" xfId="5" quotePrefix="1" applyNumberFormat="1" applyFill="1" applyBorder="1" applyAlignment="1">
      <alignment horizontal="center"/>
    </xf>
    <xf numFmtId="0" fontId="2" fillId="7" borderId="0" xfId="5" applyFill="1" applyAlignment="1">
      <alignment horizontal="center"/>
    </xf>
    <xf numFmtId="0" fontId="41" fillId="11" borderId="44" xfId="5" applyFont="1" applyFill="1" applyBorder="1" applyAlignment="1">
      <alignment horizontal="center" vertical="center"/>
    </xf>
    <xf numFmtId="0" fontId="41" fillId="7" borderId="46" xfId="5" applyFont="1" applyFill="1" applyBorder="1" applyAlignment="1">
      <alignment horizontal="center" vertical="center"/>
    </xf>
    <xf numFmtId="0" fontId="12" fillId="7" borderId="56" xfId="5" applyFont="1" applyFill="1" applyBorder="1" applyAlignment="1">
      <alignment horizontal="center" vertical="center"/>
    </xf>
    <xf numFmtId="0" fontId="12" fillId="11" borderId="56" xfId="5" applyFont="1" applyFill="1" applyBorder="1" applyAlignment="1">
      <alignment horizontal="center" vertical="center"/>
    </xf>
    <xf numFmtId="0" fontId="41" fillId="11" borderId="40" xfId="5" applyFont="1" applyFill="1" applyBorder="1" applyAlignment="1">
      <alignment horizontal="center" vertical="center"/>
    </xf>
    <xf numFmtId="0" fontId="41" fillId="7" borderId="42" xfId="5" applyFont="1" applyFill="1" applyBorder="1" applyAlignment="1">
      <alignment horizontal="center" vertical="center"/>
    </xf>
    <xf numFmtId="164" fontId="2" fillId="7" borderId="57" xfId="5" applyNumberFormat="1" applyFill="1" applyBorder="1" applyAlignment="1">
      <alignment horizontal="center" vertical="center"/>
    </xf>
    <xf numFmtId="164" fontId="2" fillId="7" borderId="4" xfId="5" applyNumberFormat="1" applyFill="1" applyBorder="1" applyAlignment="1">
      <alignment horizontal="center" vertical="center"/>
    </xf>
    <xf numFmtId="2" fontId="2" fillId="11" borderId="39" xfId="5" applyNumberFormat="1" applyFill="1" applyBorder="1" applyAlignment="1">
      <alignment horizontal="center"/>
    </xf>
    <xf numFmtId="164" fontId="2" fillId="7" borderId="25" xfId="5" applyNumberFormat="1" applyFill="1" applyBorder="1" applyAlignment="1">
      <alignment horizontal="center" vertical="center"/>
    </xf>
    <xf numFmtId="2" fontId="2" fillId="11" borderId="26" xfId="5" applyNumberFormat="1" applyFill="1" applyBorder="1" applyAlignment="1">
      <alignment horizontal="center"/>
    </xf>
    <xf numFmtId="164" fontId="2" fillId="7" borderId="23" xfId="5" applyNumberFormat="1" applyFill="1" applyBorder="1" applyAlignment="1">
      <alignment horizontal="center"/>
    </xf>
    <xf numFmtId="164" fontId="2" fillId="7" borderId="43" xfId="5" applyNumberFormat="1" applyFill="1" applyBorder="1" applyAlignment="1">
      <alignment horizontal="center"/>
    </xf>
    <xf numFmtId="164" fontId="2" fillId="7" borderId="41" xfId="5" applyNumberFormat="1" applyFill="1" applyBorder="1" applyAlignment="1">
      <alignment horizontal="center"/>
    </xf>
    <xf numFmtId="2" fontId="2" fillId="11" borderId="42" xfId="5" applyNumberFormat="1" applyFill="1" applyBorder="1" applyAlignment="1">
      <alignment horizontal="center"/>
    </xf>
    <xf numFmtId="0" fontId="2" fillId="0" borderId="20" xfId="5" applyBorder="1"/>
    <xf numFmtId="0" fontId="2" fillId="7" borderId="41" xfId="5" quotePrefix="1" applyFill="1" applyBorder="1" applyAlignment="1">
      <alignment horizontal="center"/>
    </xf>
    <xf numFmtId="0" fontId="2" fillId="3" borderId="18" xfId="5" applyFill="1" applyBorder="1" applyAlignment="1">
      <alignment horizontal="center" vertical="center"/>
    </xf>
    <xf numFmtId="164" fontId="2" fillId="3" borderId="0" xfId="5" applyNumberFormat="1" applyFill="1" applyAlignment="1">
      <alignment horizontal="center"/>
    </xf>
    <xf numFmtId="0" fontId="2" fillId="3" borderId="0" xfId="5" quotePrefix="1" applyFill="1" applyAlignment="1">
      <alignment horizontal="center"/>
    </xf>
    <xf numFmtId="165" fontId="2" fillId="3" borderId="0" xfId="5" applyNumberFormat="1" applyFill="1" applyAlignment="1">
      <alignment horizontal="center"/>
    </xf>
    <xf numFmtId="0" fontId="2" fillId="3" borderId="0" xfId="5" applyFill="1"/>
    <xf numFmtId="164" fontId="41" fillId="7" borderId="42" xfId="5" applyNumberFormat="1" applyFont="1" applyFill="1" applyBorder="1" applyAlignment="1">
      <alignment horizontal="center" vertical="center"/>
    </xf>
    <xf numFmtId="164" fontId="41" fillId="7" borderId="46" xfId="5" applyNumberFormat="1" applyFont="1" applyFill="1" applyBorder="1" applyAlignment="1">
      <alignment horizontal="center" vertical="center"/>
    </xf>
    <xf numFmtId="1" fontId="2" fillId="7" borderId="57" xfId="5" applyNumberFormat="1" applyFill="1" applyBorder="1" applyAlignment="1">
      <alignment horizontal="center" vertical="center"/>
    </xf>
    <xf numFmtId="1" fontId="2" fillId="7" borderId="25" xfId="5" applyNumberFormat="1" applyFill="1" applyBorder="1" applyAlignment="1">
      <alignment horizontal="center" vertical="center"/>
    </xf>
    <xf numFmtId="1" fontId="2" fillId="7" borderId="23" xfId="5" applyNumberFormat="1" applyFill="1" applyBorder="1" applyAlignment="1">
      <alignment horizontal="center"/>
    </xf>
    <xf numFmtId="1" fontId="2" fillId="7" borderId="43" xfId="5" applyNumberFormat="1" applyFill="1" applyBorder="1" applyAlignment="1">
      <alignment horizontal="center"/>
    </xf>
    <xf numFmtId="2" fontId="2" fillId="3" borderId="0" xfId="5" applyNumberFormat="1" applyFill="1" applyAlignment="1">
      <alignment horizontal="center"/>
    </xf>
    <xf numFmtId="0" fontId="12" fillId="7" borderId="56" xfId="5" quotePrefix="1" applyFont="1" applyFill="1" applyBorder="1" applyAlignment="1">
      <alignment horizontal="center" vertical="center"/>
    </xf>
    <xf numFmtId="165" fontId="2" fillId="7" borderId="4" xfId="5" applyNumberFormat="1" applyFill="1" applyBorder="1" applyAlignment="1">
      <alignment horizontal="center" vertical="center"/>
    </xf>
    <xf numFmtId="165" fontId="2" fillId="7" borderId="5" xfId="5" applyNumberFormat="1" applyFill="1" applyBorder="1" applyAlignment="1">
      <alignment horizontal="center" vertical="center"/>
    </xf>
    <xf numFmtId="164" fontId="2" fillId="7" borderId="66" xfId="5" applyNumberFormat="1" applyFill="1" applyBorder="1" applyAlignment="1">
      <alignment horizontal="center" vertical="center"/>
    </xf>
    <xf numFmtId="164" fontId="2" fillId="7" borderId="43" xfId="5" applyNumberFormat="1" applyFill="1" applyBorder="1" applyAlignment="1">
      <alignment horizontal="center" vertical="center"/>
    </xf>
    <xf numFmtId="0" fontId="5" fillId="6" borderId="20" xfId="5" applyFont="1" applyFill="1" applyBorder="1"/>
    <xf numFmtId="0" fontId="5" fillId="6" borderId="21" xfId="5" applyFont="1" applyFill="1" applyBorder="1"/>
    <xf numFmtId="0" fontId="5" fillId="6" borderId="22" xfId="5" applyFont="1" applyFill="1" applyBorder="1"/>
    <xf numFmtId="0" fontId="71" fillId="11" borderId="5" xfId="5" applyFont="1" applyFill="1" applyBorder="1" applyAlignment="1">
      <alignment horizontal="center" vertical="center"/>
    </xf>
    <xf numFmtId="0" fontId="13" fillId="11" borderId="5" xfId="3" applyFont="1" applyFill="1" applyBorder="1" applyAlignment="1">
      <alignment horizontal="center" vertical="center"/>
    </xf>
    <xf numFmtId="0" fontId="5" fillId="5" borderId="5" xfId="5" applyFont="1" applyFill="1" applyBorder="1" applyAlignment="1">
      <alignment horizontal="center" vertical="center"/>
    </xf>
    <xf numFmtId="0" fontId="5" fillId="11" borderId="5" xfId="5" applyFont="1" applyFill="1" applyBorder="1" applyAlignment="1">
      <alignment horizontal="center" vertical="center"/>
    </xf>
    <xf numFmtId="2" fontId="5" fillId="11" borderId="5" xfId="5" applyNumberFormat="1" applyFont="1" applyFill="1" applyBorder="1" applyAlignment="1">
      <alignment horizontal="center" vertical="center"/>
    </xf>
    <xf numFmtId="0" fontId="5" fillId="5" borderId="5" xfId="5" applyFont="1" applyFill="1" applyBorder="1" applyAlignment="1">
      <alignment horizontal="center"/>
    </xf>
    <xf numFmtId="2" fontId="5" fillId="11" borderId="5" xfId="5" applyNumberFormat="1" applyFont="1" applyFill="1" applyBorder="1" applyAlignment="1">
      <alignment horizontal="center"/>
    </xf>
    <xf numFmtId="164" fontId="6" fillId="5" borderId="5" xfId="5" applyNumberFormat="1" applyFont="1" applyFill="1" applyBorder="1" applyAlignment="1">
      <alignment horizontal="center" vertical="center"/>
    </xf>
    <xf numFmtId="1" fontId="5" fillId="11" borderId="5" xfId="5" applyNumberFormat="1" applyFont="1" applyFill="1" applyBorder="1" applyAlignment="1">
      <alignment horizontal="center" vertical="center"/>
    </xf>
    <xf numFmtId="0" fontId="5" fillId="0" borderId="5" xfId="5" applyFont="1" applyBorder="1"/>
    <xf numFmtId="0" fontId="5" fillId="3" borderId="52" xfId="5" applyFont="1" applyFill="1" applyBorder="1" applyAlignment="1">
      <alignment horizontal="center" vertical="center"/>
    </xf>
    <xf numFmtId="0" fontId="5" fillId="3" borderId="1" xfId="5" applyFont="1" applyFill="1" applyBorder="1" applyAlignment="1">
      <alignment horizontal="center" vertical="center"/>
    </xf>
    <xf numFmtId="2" fontId="5" fillId="3" borderId="61" xfId="5" applyNumberFormat="1" applyFont="1" applyFill="1" applyBorder="1" applyAlignment="1">
      <alignment horizontal="center"/>
    </xf>
    <xf numFmtId="2" fontId="5" fillId="3" borderId="19" xfId="5" applyNumberFormat="1" applyFont="1" applyFill="1" applyBorder="1" applyAlignment="1">
      <alignment horizontal="center"/>
    </xf>
    <xf numFmtId="0" fontId="5" fillId="3" borderId="0" xfId="5" applyFont="1" applyFill="1"/>
    <xf numFmtId="0" fontId="5" fillId="3" borderId="5" xfId="5" applyFont="1" applyFill="1" applyBorder="1" applyAlignment="1">
      <alignment horizontal="center" vertical="center"/>
    </xf>
    <xf numFmtId="2" fontId="5" fillId="3" borderId="5" xfId="5" applyNumberFormat="1" applyFont="1" applyFill="1" applyBorder="1" applyAlignment="1">
      <alignment horizontal="center"/>
    </xf>
    <xf numFmtId="0" fontId="5" fillId="5" borderId="0" xfId="5" applyFont="1" applyFill="1" applyAlignment="1">
      <alignment horizontal="center" vertical="center"/>
    </xf>
    <xf numFmtId="2" fontId="5" fillId="3" borderId="2" xfId="5" applyNumberFormat="1" applyFont="1" applyFill="1" applyBorder="1" applyAlignment="1">
      <alignment horizontal="center" vertical="center"/>
    </xf>
    <xf numFmtId="2" fontId="5" fillId="3" borderId="27" xfId="5" applyNumberFormat="1" applyFont="1" applyFill="1" applyBorder="1" applyAlignment="1">
      <alignment horizontal="center" vertical="center"/>
    </xf>
    <xf numFmtId="0" fontId="5" fillId="3" borderId="61" xfId="5" applyFont="1" applyFill="1" applyBorder="1" applyAlignment="1">
      <alignment horizontal="center" vertical="center"/>
    </xf>
    <xf numFmtId="0" fontId="5" fillId="3" borderId="18" xfId="5" applyFont="1" applyFill="1" applyBorder="1" applyAlignment="1">
      <alignment horizontal="center" vertical="center"/>
    </xf>
    <xf numFmtId="0" fontId="5" fillId="0" borderId="18" xfId="5" applyFont="1" applyBorder="1" applyAlignment="1">
      <alignment horizontal="center" vertical="center"/>
    </xf>
    <xf numFmtId="0" fontId="5" fillId="3" borderId="0" xfId="5" applyFont="1" applyFill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71" fillId="3" borderId="25" xfId="5" applyFont="1" applyFill="1" applyBorder="1" applyAlignment="1">
      <alignment horizontal="center" vertical="center"/>
    </xf>
    <xf numFmtId="0" fontId="71" fillId="3" borderId="5" xfId="5" applyFont="1" applyFill="1" applyBorder="1" applyAlignment="1">
      <alignment horizontal="center" vertical="center"/>
    </xf>
    <xf numFmtId="164" fontId="5" fillId="3" borderId="25" xfId="5" applyNumberFormat="1" applyFont="1" applyFill="1" applyBorder="1" applyAlignment="1">
      <alignment horizontal="center" vertical="center"/>
    </xf>
    <xf numFmtId="164" fontId="5" fillId="3" borderId="5" xfId="5" applyNumberFormat="1" applyFont="1" applyFill="1" applyBorder="1" applyAlignment="1">
      <alignment horizontal="center" vertical="center"/>
    </xf>
    <xf numFmtId="164" fontId="5" fillId="3" borderId="26" xfId="5" applyNumberFormat="1" applyFont="1" applyFill="1" applyBorder="1" applyAlignment="1">
      <alignment horizontal="center" vertical="center"/>
    </xf>
    <xf numFmtId="1" fontId="5" fillId="3" borderId="25" xfId="5" applyNumberFormat="1" applyFont="1" applyFill="1" applyBorder="1" applyAlignment="1">
      <alignment horizontal="center"/>
    </xf>
    <xf numFmtId="164" fontId="5" fillId="7" borderId="5" xfId="5" applyNumberFormat="1" applyFont="1" applyFill="1" applyBorder="1" applyAlignment="1">
      <alignment horizontal="center"/>
    </xf>
    <xf numFmtId="164" fontId="5" fillId="3" borderId="5" xfId="5" applyNumberFormat="1" applyFont="1" applyFill="1" applyBorder="1" applyAlignment="1">
      <alignment horizontal="center"/>
    </xf>
    <xf numFmtId="11" fontId="5" fillId="3" borderId="0" xfId="3" applyNumberFormat="1" applyFont="1" applyFill="1" applyAlignment="1">
      <alignment horizontal="center"/>
    </xf>
    <xf numFmtId="1" fontId="5" fillId="3" borderId="40" xfId="5" applyNumberFormat="1" applyFont="1" applyFill="1" applyBorder="1" applyAlignment="1">
      <alignment horizontal="center"/>
    </xf>
    <xf numFmtId="164" fontId="5" fillId="3" borderId="41" xfId="5" applyNumberFormat="1" applyFont="1" applyFill="1" applyBorder="1" applyAlignment="1">
      <alignment horizontal="center"/>
    </xf>
    <xf numFmtId="0" fontId="2" fillId="0" borderId="17" xfId="5" applyBorder="1"/>
    <xf numFmtId="167" fontId="4" fillId="3" borderId="0" xfId="3" applyNumberFormat="1" applyFont="1" applyFill="1" applyAlignment="1">
      <alignment horizontal="center"/>
    </xf>
    <xf numFmtId="164" fontId="5" fillId="3" borderId="40" xfId="5" applyNumberFormat="1" applyFont="1" applyFill="1" applyBorder="1" applyAlignment="1">
      <alignment horizontal="center" vertical="center"/>
    </xf>
    <xf numFmtId="164" fontId="5" fillId="3" borderId="41" xfId="5" applyNumberFormat="1" applyFont="1" applyFill="1" applyBorder="1" applyAlignment="1">
      <alignment horizontal="center" vertical="center"/>
    </xf>
    <xf numFmtId="164" fontId="5" fillId="3" borderId="42" xfId="5" applyNumberFormat="1" applyFont="1" applyFill="1" applyBorder="1" applyAlignment="1">
      <alignment horizontal="center" vertical="center"/>
    </xf>
    <xf numFmtId="0" fontId="5" fillId="3" borderId="18" xfId="5" applyFont="1" applyFill="1" applyBorder="1"/>
    <xf numFmtId="165" fontId="11" fillId="3" borderId="0" xfId="3" applyNumberFormat="1" applyFont="1" applyFill="1" applyAlignment="1">
      <alignment horizontal="center"/>
    </xf>
    <xf numFmtId="166" fontId="7" fillId="3" borderId="0" xfId="3" applyNumberFormat="1" applyFont="1" applyFill="1" applyAlignment="1">
      <alignment horizontal="center"/>
    </xf>
    <xf numFmtId="0" fontId="17" fillId="3" borderId="44" xfId="5" applyFont="1" applyFill="1" applyBorder="1" applyAlignment="1">
      <alignment horizontal="center" vertical="center"/>
    </xf>
    <xf numFmtId="164" fontId="17" fillId="3" borderId="45" xfId="5" applyNumberFormat="1" applyFont="1" applyFill="1" applyBorder="1" applyAlignment="1">
      <alignment horizontal="center"/>
    </xf>
    <xf numFmtId="164" fontId="17" fillId="3" borderId="46" xfId="5" applyNumberFormat="1" applyFont="1" applyFill="1" applyBorder="1" applyAlignment="1">
      <alignment horizontal="center"/>
    </xf>
    <xf numFmtId="0" fontId="71" fillId="3" borderId="0" xfId="5" applyFont="1" applyFill="1" applyAlignment="1">
      <alignment vertical="center"/>
    </xf>
    <xf numFmtId="0" fontId="17" fillId="3" borderId="57" xfId="5" applyFont="1" applyFill="1" applyBorder="1" applyAlignment="1">
      <alignment horizontal="center" vertical="center"/>
    </xf>
    <xf numFmtId="0" fontId="5" fillId="3" borderId="19" xfId="5" applyFont="1" applyFill="1" applyBorder="1"/>
    <xf numFmtId="0" fontId="5" fillId="3" borderId="0" xfId="3" applyFont="1" applyFill="1"/>
    <xf numFmtId="164" fontId="17" fillId="3" borderId="25" xfId="5" applyNumberFormat="1" applyFont="1" applyFill="1" applyBorder="1" applyAlignment="1">
      <alignment horizontal="center" vertical="center"/>
    </xf>
    <xf numFmtId="164" fontId="17" fillId="3" borderId="5" xfId="5" applyNumberFormat="1" applyFont="1" applyFill="1" applyBorder="1" applyAlignment="1">
      <alignment horizontal="center"/>
    </xf>
    <xf numFmtId="2" fontId="13" fillId="3" borderId="0" xfId="3" applyNumberFormat="1" applyFont="1" applyFill="1" applyAlignment="1">
      <alignment horizontal="center"/>
    </xf>
    <xf numFmtId="0" fontId="17" fillId="3" borderId="40" xfId="5" applyFont="1" applyFill="1" applyBorder="1" applyAlignment="1">
      <alignment horizontal="center" vertical="center"/>
    </xf>
    <xf numFmtId="164" fontId="17" fillId="3" borderId="66" xfId="5" applyNumberFormat="1" applyFont="1" applyFill="1" applyBorder="1" applyAlignment="1">
      <alignment horizontal="center"/>
    </xf>
    <xf numFmtId="164" fontId="17" fillId="3" borderId="41" xfId="5" applyNumberFormat="1" applyFont="1" applyFill="1" applyBorder="1" applyAlignment="1">
      <alignment horizontal="center"/>
    </xf>
    <xf numFmtId="164" fontId="17" fillId="3" borderId="68" xfId="5" applyNumberFormat="1" applyFont="1" applyFill="1" applyBorder="1" applyAlignment="1">
      <alignment horizontal="center"/>
    </xf>
    <xf numFmtId="165" fontId="5" fillId="3" borderId="21" xfId="5" applyNumberFormat="1" applyFont="1" applyFill="1" applyBorder="1" applyAlignment="1">
      <alignment horizontal="center"/>
    </xf>
    <xf numFmtId="0" fontId="5" fillId="3" borderId="21" xfId="5" applyFont="1" applyFill="1" applyBorder="1"/>
    <xf numFmtId="0" fontId="5" fillId="3" borderId="22" xfId="5" applyFont="1" applyFill="1" applyBorder="1"/>
    <xf numFmtId="2" fontId="5" fillId="3" borderId="0" xfId="3" applyNumberFormat="1" applyFont="1" applyFill="1" applyAlignment="1">
      <alignment horizontal="center"/>
    </xf>
    <xf numFmtId="0" fontId="2" fillId="0" borderId="0" xfId="5" applyProtection="1">
      <protection locked="0"/>
    </xf>
    <xf numFmtId="0" fontId="5" fillId="11" borderId="23" xfId="5" applyFont="1" applyFill="1" applyBorder="1" applyAlignment="1" applyProtection="1">
      <alignment vertical="center"/>
      <protection locked="0"/>
    </xf>
    <xf numFmtId="0" fontId="5" fillId="11" borderId="7" xfId="5" applyFont="1" applyFill="1" applyBorder="1" applyAlignment="1" applyProtection="1">
      <alignment horizontal="center" vertical="center"/>
      <protection locked="0"/>
    </xf>
    <xf numFmtId="0" fontId="5" fillId="11" borderId="7" xfId="5" applyFont="1" applyFill="1" applyBorder="1" applyAlignment="1" applyProtection="1">
      <alignment vertical="center"/>
      <protection locked="0"/>
    </xf>
    <xf numFmtId="0" fontId="5" fillId="11" borderId="9" xfId="5" applyFont="1" applyFill="1" applyBorder="1" applyAlignment="1" applyProtection="1">
      <alignment vertical="center"/>
      <protection locked="0"/>
    </xf>
    <xf numFmtId="0" fontId="5" fillId="11" borderId="6" xfId="5" applyFont="1" applyFill="1" applyBorder="1" applyAlignment="1" applyProtection="1">
      <alignment vertical="center"/>
      <protection locked="0"/>
    </xf>
    <xf numFmtId="0" fontId="5" fillId="11" borderId="44" xfId="5" applyFont="1" applyFill="1" applyBorder="1" applyAlignment="1" applyProtection="1">
      <alignment horizontal="center" vertical="center"/>
      <protection locked="0"/>
    </xf>
    <xf numFmtId="0" fontId="5" fillId="11" borderId="46" xfId="5" applyFont="1" applyFill="1" applyBorder="1" applyAlignment="1" applyProtection="1">
      <alignment horizontal="center" vertical="center"/>
      <protection locked="0"/>
    </xf>
    <xf numFmtId="0" fontId="5" fillId="11" borderId="24" xfId="5" applyFont="1" applyFill="1" applyBorder="1" applyAlignment="1" applyProtection="1">
      <alignment horizontal="center" vertical="center"/>
      <protection locked="0"/>
    </xf>
    <xf numFmtId="0" fontId="27" fillId="0" borderId="5" xfId="5" applyFont="1" applyBorder="1" applyAlignment="1">
      <alignment vertical="center"/>
    </xf>
    <xf numFmtId="0" fontId="5" fillId="11" borderId="25" xfId="5" applyFont="1" applyFill="1" applyBorder="1" applyAlignment="1" applyProtection="1">
      <alignment horizontal="center" vertical="center"/>
      <protection locked="0"/>
    </xf>
    <xf numFmtId="0" fontId="5" fillId="11" borderId="26" xfId="5" applyFont="1" applyFill="1" applyBorder="1" applyAlignment="1" applyProtection="1">
      <alignment horizontal="center" vertical="center"/>
      <protection locked="0"/>
    </xf>
    <xf numFmtId="0" fontId="5" fillId="3" borderId="5" xfId="5" applyFont="1" applyFill="1" applyBorder="1"/>
    <xf numFmtId="2" fontId="27" fillId="0" borderId="5" xfId="5" applyNumberFormat="1" applyFont="1" applyBorder="1" applyAlignment="1">
      <alignment horizontal="center" vertical="center"/>
    </xf>
    <xf numFmtId="0" fontId="5" fillId="11" borderId="58" xfId="5" applyFont="1" applyFill="1" applyBorder="1" applyAlignment="1" applyProtection="1">
      <alignment horizontal="center" vertical="center"/>
      <protection locked="0"/>
    </xf>
    <xf numFmtId="0" fontId="5" fillId="11" borderId="40" xfId="5" applyFont="1" applyFill="1" applyBorder="1" applyAlignment="1" applyProtection="1">
      <alignment horizontal="center" vertical="center"/>
      <protection locked="0"/>
    </xf>
    <xf numFmtId="0" fontId="5" fillId="11" borderId="42" xfId="5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 wrapText="1"/>
      <protection locked="0"/>
    </xf>
    <xf numFmtId="0" fontId="5" fillId="0" borderId="0" xfId="1" applyFont="1"/>
    <xf numFmtId="0" fontId="2" fillId="0" borderId="0" xfId="0" applyFont="1" applyAlignment="1">
      <alignment vertical="center"/>
    </xf>
    <xf numFmtId="0" fontId="5" fillId="0" borderId="71" xfId="0" applyFont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1" fontId="12" fillId="0" borderId="5" xfId="0" applyNumberFormat="1" applyFont="1" applyBorder="1" applyAlignment="1" applyProtection="1">
      <alignment horizontal="center" vertical="center"/>
      <protection hidden="1"/>
    </xf>
    <xf numFmtId="0" fontId="0" fillId="5" borderId="0" xfId="0" applyFill="1"/>
    <xf numFmtId="0" fontId="76" fillId="0" borderId="8" xfId="0" applyFont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165" fontId="2" fillId="3" borderId="5" xfId="0" applyNumberFormat="1" applyFont="1" applyFill="1" applyBorder="1" applyAlignment="1">
      <alignment horizontal="center" vertical="center"/>
    </xf>
    <xf numFmtId="1" fontId="2" fillId="3" borderId="25" xfId="0" applyNumberFormat="1" applyFont="1" applyFill="1" applyBorder="1" applyAlignment="1">
      <alignment horizontal="center" vertical="center"/>
    </xf>
    <xf numFmtId="2" fontId="2" fillId="3" borderId="5" xfId="0" quotePrefix="1" applyNumberFormat="1" applyFont="1" applyFill="1" applyBorder="1" applyAlignment="1">
      <alignment horizontal="center" vertical="center"/>
    </xf>
    <xf numFmtId="165" fontId="2" fillId="3" borderId="5" xfId="0" quotePrefix="1" applyNumberFormat="1" applyFont="1" applyFill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62" fillId="0" borderId="0" xfId="0" applyFont="1" applyAlignment="1" applyProtection="1">
      <alignment horizontal="left" vertical="center"/>
      <protection locked="0"/>
    </xf>
    <xf numFmtId="0" fontId="93" fillId="2" borderId="0" xfId="0" applyFont="1" applyFill="1" applyAlignment="1" applyProtection="1">
      <alignment vertical="center"/>
      <protection locked="0"/>
    </xf>
    <xf numFmtId="0" fontId="62" fillId="0" borderId="0" xfId="1" applyFont="1" applyAlignment="1" applyProtection="1">
      <alignment vertical="center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62" fillId="0" borderId="0" xfId="0" quotePrefix="1" applyFont="1" applyAlignment="1" applyProtection="1">
      <alignment horizontal="left" vertical="center"/>
      <protection locked="0"/>
    </xf>
    <xf numFmtId="0" fontId="62" fillId="3" borderId="0" xfId="0" applyFont="1" applyFill="1" applyProtection="1">
      <protection locked="0"/>
    </xf>
    <xf numFmtId="0" fontId="62" fillId="0" borderId="0" xfId="0" applyFont="1" applyAlignment="1" applyProtection="1">
      <alignment horizontal="center" vertical="center"/>
      <protection locked="0"/>
    </xf>
    <xf numFmtId="0" fontId="62" fillId="3" borderId="10" xfId="0" quotePrefix="1" applyFont="1" applyFill="1" applyBorder="1" applyAlignment="1" applyProtection="1">
      <alignment vertical="center"/>
      <protection locked="0"/>
    </xf>
    <xf numFmtId="0" fontId="62" fillId="3" borderId="8" xfId="0" quotePrefix="1" applyFont="1" applyFill="1" applyBorder="1" applyAlignment="1" applyProtection="1">
      <alignment vertical="center"/>
      <protection locked="0"/>
    </xf>
    <xf numFmtId="0" fontId="62" fillId="3" borderId="0" xfId="0" applyFont="1" applyFill="1" applyAlignment="1" applyProtection="1">
      <alignment horizontal="left" vertical="top"/>
      <protection locked="0"/>
    </xf>
    <xf numFmtId="0" fontId="45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5" applyFont="1"/>
    <xf numFmtId="1" fontId="2" fillId="0" borderId="5" xfId="0" applyNumberFormat="1" applyFont="1" applyBorder="1" applyAlignment="1" applyProtection="1">
      <alignment horizontal="center" vertical="center"/>
      <protection hidden="1"/>
    </xf>
    <xf numFmtId="0" fontId="5" fillId="0" borderId="5" xfId="1" applyFont="1" applyBorder="1" applyAlignment="1">
      <alignment horizontal="center" vertical="center"/>
    </xf>
    <xf numFmtId="0" fontId="5" fillId="0" borderId="46" xfId="1" applyFont="1" applyBorder="1" applyAlignment="1">
      <alignment horizontal="center" vertical="center"/>
    </xf>
    <xf numFmtId="0" fontId="5" fillId="5" borderId="42" xfId="1" applyFont="1" applyFill="1" applyBorder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/>
    </xf>
    <xf numFmtId="0" fontId="5" fillId="0" borderId="40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" fontId="92" fillId="5" borderId="44" xfId="1" applyNumberFormat="1" applyFont="1" applyFill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174" fontId="5" fillId="0" borderId="44" xfId="1" applyNumberFormat="1" applyFont="1" applyBorder="1" applyAlignment="1">
      <alignment horizontal="center" vertical="center"/>
    </xf>
    <xf numFmtId="0" fontId="5" fillId="5" borderId="45" xfId="1" applyFont="1" applyFill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42" xfId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2" fillId="0" borderId="5" xfId="0" applyFont="1" applyBorder="1"/>
    <xf numFmtId="0" fontId="62" fillId="0" borderId="5" xfId="0" applyFont="1" applyBorder="1" applyAlignment="1">
      <alignment horizontal="center"/>
    </xf>
    <xf numFmtId="0" fontId="94" fillId="0" borderId="0" xfId="0" applyFont="1"/>
    <xf numFmtId="2" fontId="7" fillId="3" borderId="13" xfId="2" applyNumberFormat="1" applyFont="1" applyFill="1" applyBorder="1" applyAlignment="1">
      <alignment horizontal="center"/>
    </xf>
    <xf numFmtId="0" fontId="0" fillId="3" borderId="0" xfId="7" applyNumberFormat="1" applyFont="1" applyFill="1"/>
    <xf numFmtId="1" fontId="0" fillId="3" borderId="5" xfId="0" applyNumberForma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3" fillId="14" borderId="25" xfId="2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14" borderId="5" xfId="0" quotePrefix="1" applyFont="1" applyFill="1" applyBorder="1" applyAlignment="1">
      <alignment horizontal="center" vertical="center"/>
    </xf>
    <xf numFmtId="0" fontId="0" fillId="7" borderId="0" xfId="0" applyFill="1"/>
    <xf numFmtId="165" fontId="81" fillId="12" borderId="5" xfId="0" applyNumberFormat="1" applyFont="1" applyFill="1" applyBorder="1" applyAlignment="1">
      <alignment horizontal="center" vertical="center"/>
    </xf>
    <xf numFmtId="164" fontId="41" fillId="0" borderId="2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4" fillId="6" borderId="0" xfId="0" applyFont="1" applyFill="1" applyAlignment="1">
      <alignment horizontal="center"/>
    </xf>
    <xf numFmtId="1" fontId="100" fillId="3" borderId="0" xfId="0" applyNumberFormat="1" applyFont="1" applyFill="1" applyAlignment="1" applyProtection="1">
      <alignment horizontal="center" vertical="center" wrapText="1"/>
      <protection hidden="1"/>
    </xf>
    <xf numFmtId="1" fontId="100" fillId="3" borderId="0" xfId="0" applyNumberFormat="1" applyFont="1" applyFill="1" applyAlignment="1" applyProtection="1">
      <alignment horizontal="center" vertical="center"/>
      <protection hidden="1"/>
    </xf>
    <xf numFmtId="165" fontId="100" fillId="3" borderId="0" xfId="0" applyNumberFormat="1" applyFont="1" applyFill="1" applyAlignment="1" applyProtection="1">
      <alignment horizontal="center" vertical="center"/>
      <protection hidden="1"/>
    </xf>
    <xf numFmtId="0" fontId="94" fillId="6" borderId="0" xfId="0" applyFont="1" applyFill="1"/>
    <xf numFmtId="173" fontId="94" fillId="0" borderId="0" xfId="0" applyNumberFormat="1" applyFont="1"/>
    <xf numFmtId="0" fontId="97" fillId="3" borderId="0" xfId="0" applyFont="1" applyFill="1" applyAlignment="1">
      <alignment horizontal="center" vertical="center"/>
    </xf>
    <xf numFmtId="165" fontId="94" fillId="5" borderId="0" xfId="0" applyNumberFormat="1" applyFont="1" applyFill="1" applyAlignment="1">
      <alignment horizontal="center" vertical="center"/>
    </xf>
    <xf numFmtId="0" fontId="94" fillId="5" borderId="0" xfId="0" applyFont="1" applyFill="1" applyAlignment="1">
      <alignment horizontal="center" vertical="center"/>
    </xf>
    <xf numFmtId="164" fontId="94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164" fontId="94" fillId="5" borderId="0" xfId="0" applyNumberFormat="1" applyFont="1" applyFill="1" applyAlignment="1">
      <alignment horizontal="center" vertical="center"/>
    </xf>
    <xf numFmtId="164" fontId="95" fillId="5" borderId="0" xfId="0" applyNumberFormat="1" applyFont="1" applyFill="1" applyAlignment="1">
      <alignment horizontal="center" vertical="center"/>
    </xf>
    <xf numFmtId="0" fontId="94" fillId="3" borderId="0" xfId="0" applyFont="1" applyFill="1" applyAlignment="1">
      <alignment horizontal="center"/>
    </xf>
    <xf numFmtId="164" fontId="94" fillId="5" borderId="0" xfId="0" applyNumberFormat="1" applyFont="1" applyFill="1" applyAlignment="1">
      <alignment horizontal="center"/>
    </xf>
    <xf numFmtId="0" fontId="97" fillId="0" borderId="0" xfId="2" applyFont="1" applyAlignment="1">
      <alignment horizontal="center" vertical="center"/>
    </xf>
    <xf numFmtId="0" fontId="95" fillId="4" borderId="0" xfId="0" applyFont="1" applyFill="1" applyAlignment="1">
      <alignment horizontal="center"/>
    </xf>
    <xf numFmtId="2" fontId="95" fillId="3" borderId="0" xfId="0" applyNumberFormat="1" applyFont="1" applyFill="1" applyAlignment="1">
      <alignment horizontal="center" vertical="center"/>
    </xf>
    <xf numFmtId="0" fontId="97" fillId="3" borderId="0" xfId="0" applyFont="1" applyFill="1" applyAlignment="1" applyProtection="1">
      <alignment horizontal="center" vertical="center" wrapText="1"/>
      <protection hidden="1"/>
    </xf>
    <xf numFmtId="0" fontId="97" fillId="3" borderId="0" xfId="0" applyFont="1" applyFill="1" applyAlignment="1" applyProtection="1">
      <alignment horizontal="center" vertical="center"/>
      <protection hidden="1"/>
    </xf>
    <xf numFmtId="164" fontId="85" fillId="3" borderId="6" xfId="0" quotePrefix="1" applyNumberFormat="1" applyFont="1" applyFill="1" applyBorder="1" applyAlignment="1" applyProtection="1">
      <alignment horizontal="right" vertical="center"/>
      <protection locked="0"/>
    </xf>
    <xf numFmtId="165" fontId="85" fillId="3" borderId="6" xfId="0" quotePrefix="1" applyNumberFormat="1" applyFont="1" applyFill="1" applyBorder="1" applyAlignment="1" applyProtection="1">
      <alignment horizontal="right" vertical="center"/>
      <protection locked="0"/>
    </xf>
    <xf numFmtId="0" fontId="62" fillId="0" borderId="6" xfId="0" applyFont="1" applyBorder="1" applyAlignment="1">
      <alignment horizontal="center"/>
    </xf>
    <xf numFmtId="0" fontId="12" fillId="0" borderId="20" xfId="0" applyFont="1" applyBorder="1" applyAlignment="1">
      <alignment vertical="center"/>
    </xf>
    <xf numFmtId="165" fontId="5" fillId="3" borderId="5" xfId="0" applyNumberFormat="1" applyFont="1" applyFill="1" applyBorder="1" applyAlignment="1" applyProtection="1">
      <alignment horizontal="center" vertical="center"/>
      <protection hidden="1"/>
    </xf>
    <xf numFmtId="0" fontId="5" fillId="9" borderId="6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70" fillId="3" borderId="45" xfId="0" applyFont="1" applyFill="1" applyBorder="1" applyAlignment="1">
      <alignment horizontal="center" vertical="top" wrapText="1"/>
    </xf>
    <xf numFmtId="0" fontId="17" fillId="3" borderId="45" xfId="0" applyFont="1" applyFill="1" applyBorder="1" applyAlignment="1">
      <alignment horizontal="center" vertical="top" wrapText="1"/>
    </xf>
    <xf numFmtId="0" fontId="70" fillId="3" borderId="0" xfId="0" applyFont="1" applyFill="1" applyAlignment="1">
      <alignment horizontal="center" vertical="top" wrapText="1"/>
    </xf>
    <xf numFmtId="0" fontId="17" fillId="3" borderId="0" xfId="1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 wrapText="1"/>
    </xf>
    <xf numFmtId="2" fontId="0" fillId="0" borderId="5" xfId="0" applyNumberForma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62" fillId="3" borderId="23" xfId="0" applyFont="1" applyFill="1" applyBorder="1" applyAlignment="1" applyProtection="1">
      <alignment horizontal="left" vertical="center"/>
      <protection locked="0"/>
    </xf>
    <xf numFmtId="0" fontId="62" fillId="0" borderId="26" xfId="0" applyFont="1" applyBorder="1"/>
    <xf numFmtId="0" fontId="62" fillId="0" borderId="0" xfId="0" applyFont="1" applyAlignment="1">
      <alignment horizontal="center"/>
    </xf>
    <xf numFmtId="0" fontId="62" fillId="3" borderId="23" xfId="0" quotePrefix="1" applyFont="1" applyFill="1" applyBorder="1" applyAlignment="1" applyProtection="1">
      <alignment horizontal="left"/>
      <protection locked="0"/>
    </xf>
    <xf numFmtId="0" fontId="62" fillId="3" borderId="43" xfId="0" quotePrefix="1" applyFont="1" applyFill="1" applyBorder="1" applyAlignment="1" applyProtection="1">
      <alignment horizontal="left"/>
      <protection locked="0"/>
    </xf>
    <xf numFmtId="0" fontId="0" fillId="0" borderId="70" xfId="0" applyBorder="1"/>
    <xf numFmtId="0" fontId="0" fillId="0" borderId="72" xfId="0" applyBorder="1"/>
    <xf numFmtId="0" fontId="62" fillId="0" borderId="41" xfId="0" applyFont="1" applyBorder="1" applyAlignment="1">
      <alignment horizontal="center"/>
    </xf>
    <xf numFmtId="0" fontId="62" fillId="0" borderId="42" xfId="0" applyFont="1" applyBorder="1"/>
    <xf numFmtId="0" fontId="70" fillId="3" borderId="2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02" fillId="3" borderId="5" xfId="0" applyFont="1" applyFill="1" applyBorder="1" applyAlignment="1" applyProtection="1">
      <alignment horizontal="center" vertical="center"/>
      <protection hidden="1"/>
    </xf>
    <xf numFmtId="2" fontId="103" fillId="3" borderId="5" xfId="0" applyNumberFormat="1" applyFont="1" applyFill="1" applyBorder="1" applyAlignment="1" applyProtection="1">
      <alignment horizontal="center" vertical="center"/>
      <protection hidden="1"/>
    </xf>
    <xf numFmtId="0" fontId="0" fillId="0" borderId="15" xfId="0" applyBorder="1"/>
    <xf numFmtId="0" fontId="0" fillId="0" borderId="16" xfId="0" applyBorder="1"/>
    <xf numFmtId="1" fontId="5" fillId="3" borderId="25" xfId="0" applyNumberFormat="1" applyFont="1" applyFill="1" applyBorder="1" applyAlignment="1" applyProtection="1">
      <alignment horizontal="center"/>
      <protection hidden="1"/>
    </xf>
    <xf numFmtId="0" fontId="62" fillId="0" borderId="26" xfId="0" applyFont="1" applyBorder="1" applyAlignment="1">
      <alignment horizontal="center"/>
    </xf>
    <xf numFmtId="0" fontId="62" fillId="0" borderId="19" xfId="0" applyFont="1" applyBorder="1"/>
    <xf numFmtId="0" fontId="62" fillId="5" borderId="23" xfId="0" applyFont="1" applyFill="1" applyBorder="1" applyAlignment="1" applyProtection="1">
      <alignment horizontal="left" vertical="center"/>
      <protection locked="0"/>
    </xf>
    <xf numFmtId="0" fontId="13" fillId="3" borderId="0" xfId="2" applyFont="1" applyFill="1" applyAlignment="1">
      <alignment horizontal="center" vertical="center"/>
    </xf>
    <xf numFmtId="1" fontId="5" fillId="3" borderId="0" xfId="0" applyNumberFormat="1" applyFont="1" applyFill="1" applyAlignment="1" applyProtection="1">
      <alignment horizontal="center"/>
      <protection hidden="1"/>
    </xf>
    <xf numFmtId="166" fontId="5" fillId="3" borderId="0" xfId="0" applyNumberFormat="1" applyFont="1" applyFill="1" applyAlignment="1" applyProtection="1">
      <alignment horizontal="center"/>
      <protection hidden="1"/>
    </xf>
    <xf numFmtId="166" fontId="2" fillId="3" borderId="0" xfId="0" applyNumberFormat="1" applyFont="1" applyFill="1" applyAlignment="1" applyProtection="1">
      <alignment horizontal="center"/>
      <protection hidden="1"/>
    </xf>
    <xf numFmtId="0" fontId="53" fillId="3" borderId="0" xfId="0" applyFont="1" applyFill="1"/>
    <xf numFmtId="0" fontId="5" fillId="0" borderId="19" xfId="0" applyFont="1" applyBorder="1"/>
    <xf numFmtId="0" fontId="5" fillId="3" borderId="19" xfId="0" applyFont="1" applyFill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0" fillId="3" borderId="18" xfId="0" applyFill="1" applyBorder="1"/>
    <xf numFmtId="0" fontId="13" fillId="3" borderId="18" xfId="2" applyFont="1" applyFill="1" applyBorder="1"/>
    <xf numFmtId="0" fontId="7" fillId="3" borderId="0" xfId="2" applyFont="1" applyFill="1"/>
    <xf numFmtId="2" fontId="7" fillId="3" borderId="0" xfId="2" applyNumberFormat="1" applyFont="1" applyFill="1"/>
    <xf numFmtId="0" fontId="15" fillId="3" borderId="0" xfId="2" applyFont="1" applyFill="1"/>
    <xf numFmtId="11" fontId="4" fillId="3" borderId="2" xfId="2" applyNumberFormat="1" applyFont="1" applyFill="1" applyBorder="1" applyAlignment="1">
      <alignment horizontal="center"/>
    </xf>
    <xf numFmtId="0" fontId="4" fillId="3" borderId="19" xfId="2" applyFont="1" applyFill="1" applyBorder="1"/>
    <xf numFmtId="1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>
      <alignment horizontal="center" vertical="center" wrapText="1"/>
    </xf>
    <xf numFmtId="0" fontId="44" fillId="7" borderId="5" xfId="2" applyFont="1" applyFill="1" applyBorder="1" applyAlignment="1">
      <alignment horizontal="center"/>
    </xf>
    <xf numFmtId="1" fontId="52" fillId="5" borderId="3" xfId="0" applyNumberFormat="1" applyFont="1" applyFill="1" applyBorder="1" applyAlignment="1" applyProtection="1">
      <alignment horizontal="center" vertical="center"/>
      <protection hidden="1"/>
    </xf>
    <xf numFmtId="1" fontId="52" fillId="5" borderId="4" xfId="0" applyNumberFormat="1" applyFont="1" applyFill="1" applyBorder="1" applyAlignment="1" applyProtection="1">
      <alignment horizontal="center" vertical="center"/>
      <protection hidden="1"/>
    </xf>
    <xf numFmtId="1" fontId="0" fillId="3" borderId="25" xfId="0" applyNumberFormat="1" applyFill="1" applyBorder="1" applyAlignment="1" applyProtection="1">
      <alignment horizontal="center"/>
      <protection hidden="1"/>
    </xf>
    <xf numFmtId="0" fontId="44" fillId="7" borderId="25" xfId="2" applyFont="1" applyFill="1" applyBorder="1" applyAlignment="1">
      <alignment horizontal="center"/>
    </xf>
    <xf numFmtId="0" fontId="12" fillId="0" borderId="0" xfId="0" applyFont="1" applyAlignment="1" applyProtection="1">
      <alignment vertical="center"/>
      <protection hidden="1"/>
    </xf>
    <xf numFmtId="0" fontId="5" fillId="3" borderId="0" xfId="2" applyFont="1" applyFill="1" applyProtection="1">
      <protection hidden="1"/>
    </xf>
    <xf numFmtId="0" fontId="12" fillId="0" borderId="73" xfId="0" applyFont="1" applyBorder="1" applyAlignment="1" applyProtection="1">
      <alignment horizontal="center" vertical="center"/>
      <protection hidden="1"/>
    </xf>
    <xf numFmtId="0" fontId="62" fillId="3" borderId="6" xfId="0" applyFont="1" applyFill="1" applyBorder="1" applyAlignment="1" applyProtection="1">
      <alignment horizontal="left" vertical="center"/>
      <protection locked="0"/>
    </xf>
    <xf numFmtId="0" fontId="0" fillId="3" borderId="0" xfId="0" applyFill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1" fontId="52" fillId="5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1" fontId="17" fillId="5" borderId="5" xfId="0" applyNumberFormat="1" applyFont="1" applyFill="1" applyBorder="1" applyAlignment="1" applyProtection="1">
      <alignment horizontal="center" vertical="center"/>
      <protection hidden="1"/>
    </xf>
    <xf numFmtId="164" fontId="50" fillId="5" borderId="5" xfId="0" applyNumberFormat="1" applyFont="1" applyFill="1" applyBorder="1" applyAlignment="1" applyProtection="1">
      <alignment horizontal="center" vertical="center"/>
      <protection hidden="1"/>
    </xf>
    <xf numFmtId="166" fontId="9" fillId="5" borderId="5" xfId="0" applyNumberFormat="1" applyFont="1" applyFill="1" applyBorder="1" applyAlignment="1" applyProtection="1">
      <alignment horizontal="center" vertical="center"/>
      <protection hidden="1"/>
    </xf>
    <xf numFmtId="166" fontId="2" fillId="5" borderId="5" xfId="0" applyNumberFormat="1" applyFont="1" applyFill="1" applyBorder="1" applyAlignment="1" applyProtection="1">
      <alignment horizontal="center" vertical="center"/>
      <protection hidden="1"/>
    </xf>
    <xf numFmtId="165" fontId="49" fillId="5" borderId="5" xfId="0" applyNumberFormat="1" applyFont="1" applyFill="1" applyBorder="1" applyAlignment="1" applyProtection="1">
      <alignment horizontal="center" vertical="center"/>
      <protection hidden="1"/>
    </xf>
    <xf numFmtId="165" fontId="50" fillId="5" borderId="5" xfId="0" applyNumberFormat="1" applyFont="1" applyFill="1" applyBorder="1" applyAlignment="1" applyProtection="1">
      <alignment horizontal="center"/>
      <protection hidden="1"/>
    </xf>
    <xf numFmtId="165" fontId="2" fillId="5" borderId="5" xfId="0" applyNumberFormat="1" applyFont="1" applyFill="1" applyBorder="1" applyAlignment="1" applyProtection="1">
      <alignment horizontal="center"/>
      <protection hidden="1"/>
    </xf>
    <xf numFmtId="164" fontId="6" fillId="5" borderId="5" xfId="0" applyNumberFormat="1" applyFont="1" applyFill="1" applyBorder="1" applyAlignment="1">
      <alignment horizontal="center"/>
    </xf>
    <xf numFmtId="166" fontId="5" fillId="5" borderId="5" xfId="0" applyNumberFormat="1" applyFont="1" applyFill="1" applyBorder="1" applyAlignment="1">
      <alignment horizontal="center"/>
    </xf>
    <xf numFmtId="165" fontId="6" fillId="5" borderId="5" xfId="0" applyNumberFormat="1" applyFont="1" applyFill="1" applyBorder="1" applyAlignment="1">
      <alignment horizontal="center"/>
    </xf>
    <xf numFmtId="1" fontId="17" fillId="5" borderId="6" xfId="0" applyNumberFormat="1" applyFont="1" applyFill="1" applyBorder="1" applyAlignment="1" applyProtection="1">
      <alignment horizontal="center" vertical="center"/>
      <protection hidden="1"/>
    </xf>
    <xf numFmtId="1" fontId="17" fillId="5" borderId="9" xfId="0" applyNumberFormat="1" applyFont="1" applyFill="1" applyBorder="1" applyAlignment="1" applyProtection="1">
      <alignment horizontal="center" vertical="center"/>
      <protection hidden="1"/>
    </xf>
    <xf numFmtId="1" fontId="17" fillId="5" borderId="3" xfId="0" applyNumberFormat="1" applyFont="1" applyFill="1" applyBorder="1" applyAlignment="1" applyProtection="1">
      <alignment horizontal="center" vertical="center"/>
      <protection hidden="1"/>
    </xf>
    <xf numFmtId="1" fontId="17" fillId="5" borderId="4" xfId="0" applyNumberFormat="1" applyFont="1" applyFill="1" applyBorder="1" applyAlignment="1" applyProtection="1">
      <alignment horizontal="center" vertical="center"/>
      <protection hidden="1"/>
    </xf>
    <xf numFmtId="164" fontId="2" fillId="5" borderId="5" xfId="0" applyNumberFormat="1" applyFont="1" applyFill="1" applyBorder="1" applyAlignment="1" applyProtection="1">
      <alignment horizontal="center"/>
      <protection hidden="1"/>
    </xf>
    <xf numFmtId="1" fontId="50" fillId="5" borderId="0" xfId="0" applyNumberFormat="1" applyFont="1" applyFill="1" applyAlignment="1" applyProtection="1">
      <alignment horizontal="center"/>
      <protection hidden="1"/>
    </xf>
    <xf numFmtId="164" fontId="2" fillId="5" borderId="0" xfId="0" applyNumberFormat="1" applyFont="1" applyFill="1" applyAlignment="1" applyProtection="1">
      <alignment horizontal="center"/>
      <protection hidden="1"/>
    </xf>
    <xf numFmtId="164" fontId="51" fillId="5" borderId="0" xfId="0" applyNumberFormat="1" applyFont="1" applyFill="1" applyAlignment="1" applyProtection="1">
      <alignment horizontal="center"/>
      <protection hidden="1"/>
    </xf>
    <xf numFmtId="164" fontId="50" fillId="5" borderId="5" xfId="0" applyNumberFormat="1" applyFont="1" applyFill="1" applyBorder="1" applyAlignment="1" applyProtection="1">
      <alignment horizontal="center"/>
      <protection hidden="1"/>
    </xf>
    <xf numFmtId="1" fontId="52" fillId="3" borderId="25" xfId="0" applyNumberFormat="1" applyFont="1" applyFill="1" applyBorder="1" applyAlignment="1" applyProtection="1">
      <alignment horizontal="center" vertical="center" wrapText="1"/>
      <protection hidden="1"/>
    </xf>
    <xf numFmtId="1" fontId="52" fillId="3" borderId="5" xfId="0" applyNumberFormat="1" applyFont="1" applyFill="1" applyBorder="1" applyAlignment="1" applyProtection="1">
      <alignment horizontal="center" vertical="center" wrapText="1"/>
      <protection hidden="1"/>
    </xf>
    <xf numFmtId="1" fontId="50" fillId="3" borderId="25" xfId="0" applyNumberFormat="1" applyFont="1" applyFill="1" applyBorder="1" applyAlignment="1" applyProtection="1">
      <alignment horizontal="center" vertical="center"/>
      <protection hidden="1"/>
    </xf>
    <xf numFmtId="164" fontId="51" fillId="3" borderId="5" xfId="0" applyNumberFormat="1" applyFont="1" applyFill="1" applyBorder="1" applyAlignment="1" applyProtection="1">
      <alignment horizontal="center" vertical="center"/>
      <protection hidden="1"/>
    </xf>
    <xf numFmtId="1" fontId="50" fillId="3" borderId="5" xfId="0" applyNumberFormat="1" applyFont="1" applyFill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 applyProtection="1">
      <alignment horizontal="center"/>
      <protection hidden="1"/>
    </xf>
    <xf numFmtId="164" fontId="51" fillId="3" borderId="5" xfId="0" applyNumberFormat="1" applyFont="1" applyFill="1" applyBorder="1" applyAlignment="1" applyProtection="1">
      <alignment horizontal="center"/>
      <protection hidden="1"/>
    </xf>
    <xf numFmtId="1" fontId="50" fillId="3" borderId="5" xfId="0" applyNumberFormat="1" applyFont="1" applyFill="1" applyBorder="1" applyAlignment="1" applyProtection="1">
      <alignment horizontal="center" vertical="center"/>
      <protection hidden="1"/>
    </xf>
    <xf numFmtId="1" fontId="17" fillId="3" borderId="6" xfId="0" applyNumberFormat="1" applyFont="1" applyFill="1" applyBorder="1" applyAlignment="1" applyProtection="1">
      <alignment horizontal="center" vertical="center"/>
      <protection hidden="1"/>
    </xf>
    <xf numFmtId="1" fontId="17" fillId="3" borderId="9" xfId="0" applyNumberFormat="1" applyFont="1" applyFill="1" applyBorder="1" applyAlignment="1" applyProtection="1">
      <alignment horizontal="center" vertical="center"/>
      <protection hidden="1"/>
    </xf>
    <xf numFmtId="1" fontId="17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4" xfId="0" applyNumberFormat="1" applyFont="1" applyFill="1" applyBorder="1" applyAlignment="1" applyProtection="1">
      <alignment horizontal="center" vertical="center"/>
      <protection hidden="1"/>
    </xf>
    <xf numFmtId="1" fontId="50" fillId="3" borderId="25" xfId="0" applyNumberFormat="1" applyFont="1" applyFill="1" applyBorder="1" applyAlignment="1" applyProtection="1">
      <alignment horizontal="center"/>
      <protection hidden="1"/>
    </xf>
    <xf numFmtId="1" fontId="50" fillId="3" borderId="18" xfId="0" applyNumberFormat="1" applyFont="1" applyFill="1" applyBorder="1" applyAlignment="1" applyProtection="1">
      <alignment horizontal="center"/>
      <protection hidden="1"/>
    </xf>
    <xf numFmtId="164" fontId="2" fillId="3" borderId="0" xfId="0" applyNumberFormat="1" applyFont="1" applyFill="1" applyAlignment="1" applyProtection="1">
      <alignment horizontal="center"/>
      <protection hidden="1"/>
    </xf>
    <xf numFmtId="0" fontId="95" fillId="3" borderId="0" xfId="0" applyFont="1" applyFill="1" applyAlignment="1">
      <alignment horizontal="center"/>
    </xf>
    <xf numFmtId="1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5" xfId="0" applyBorder="1"/>
    <xf numFmtId="0" fontId="2" fillId="0" borderId="25" xfId="0" applyFont="1" applyBorder="1"/>
    <xf numFmtId="0" fontId="2" fillId="3" borderId="7" xfId="0" applyFont="1" applyFill="1" applyBorder="1" applyAlignment="1">
      <alignment wrapText="1"/>
    </xf>
    <xf numFmtId="0" fontId="2" fillId="0" borderId="25" xfId="0" applyFont="1" applyBorder="1" applyAlignment="1">
      <alignment vertical="center"/>
    </xf>
    <xf numFmtId="164" fontId="46" fillId="0" borderId="8" xfId="0" applyNumberFormat="1" applyFont="1" applyBorder="1" applyAlignment="1" applyProtection="1">
      <alignment horizontal="center" vertical="center"/>
      <protection locked="0"/>
    </xf>
    <xf numFmtId="164" fontId="56" fillId="0" borderId="8" xfId="0" applyNumberFormat="1" applyFont="1" applyBorder="1" applyAlignment="1" applyProtection="1">
      <alignment horizontal="center" vertical="center"/>
      <protection locked="0"/>
    </xf>
    <xf numFmtId="0" fontId="62" fillId="3" borderId="6" xfId="0" applyFont="1" applyFill="1" applyBorder="1" applyProtection="1">
      <protection locked="0"/>
    </xf>
    <xf numFmtId="0" fontId="62" fillId="0" borderId="6" xfId="0" applyFont="1" applyBorder="1"/>
    <xf numFmtId="0" fontId="2" fillId="0" borderId="0" xfId="2"/>
    <xf numFmtId="0" fontId="106" fillId="0" borderId="0" xfId="2" applyFont="1"/>
    <xf numFmtId="0" fontId="2" fillId="0" borderId="5" xfId="2" applyBorder="1"/>
    <xf numFmtId="0" fontId="49" fillId="0" borderId="5" xfId="2" applyFont="1" applyBorder="1" applyAlignment="1">
      <alignment horizontal="center" vertical="center"/>
    </xf>
    <xf numFmtId="176" fontId="49" fillId="0" borderId="5" xfId="2" applyNumberFormat="1" applyFont="1" applyBorder="1" applyAlignment="1">
      <alignment horizontal="center" vertical="center"/>
    </xf>
    <xf numFmtId="0" fontId="61" fillId="0" borderId="5" xfId="2" applyFont="1" applyBorder="1" applyAlignment="1">
      <alignment horizontal="center" vertical="center"/>
    </xf>
    <xf numFmtId="0" fontId="86" fillId="0" borderId="5" xfId="2" applyFont="1" applyBorder="1" applyAlignment="1">
      <alignment horizontal="center" vertical="center"/>
    </xf>
    <xf numFmtId="0" fontId="86" fillId="0" borderId="5" xfId="2" quotePrefix="1" applyFont="1" applyBorder="1" applyAlignment="1">
      <alignment horizontal="center" vertical="center"/>
    </xf>
    <xf numFmtId="176" fontId="2" fillId="0" borderId="5" xfId="2" applyNumberFormat="1" applyBorder="1" applyAlignment="1">
      <alignment horizontal="center" vertical="center"/>
    </xf>
    <xf numFmtId="0" fontId="49" fillId="0" borderId="5" xfId="2" applyFont="1" applyBorder="1" applyAlignment="1">
      <alignment vertical="center" wrapText="1"/>
    </xf>
    <xf numFmtId="0" fontId="46" fillId="3" borderId="0" xfId="0" applyFont="1" applyFill="1" applyAlignment="1" applyProtection="1">
      <alignment vertical="center"/>
      <protection locked="0"/>
    </xf>
    <xf numFmtId="0" fontId="61" fillId="0" borderId="5" xfId="0" applyFont="1" applyBorder="1" applyAlignment="1" applyProtection="1">
      <alignment horizontal="center" vertical="center"/>
      <protection locked="0"/>
    </xf>
    <xf numFmtId="0" fontId="46" fillId="0" borderId="0" xfId="0" applyFont="1" applyAlignment="1">
      <alignment horizontal="centerContinuous" vertical="center"/>
    </xf>
    <xf numFmtId="0" fontId="46" fillId="0" borderId="0" xfId="0" applyFont="1" applyAlignment="1">
      <alignment horizontal="right" vertical="center"/>
    </xf>
    <xf numFmtId="1" fontId="46" fillId="3" borderId="0" xfId="0" applyNumberFormat="1" applyFont="1" applyFill="1" applyAlignment="1">
      <alignment horizontal="left" vertical="center"/>
    </xf>
    <xf numFmtId="1" fontId="46" fillId="0" borderId="0" xfId="0" applyNumberFormat="1" applyFont="1" applyAlignment="1">
      <alignment vertical="center"/>
    </xf>
    <xf numFmtId="0" fontId="56" fillId="2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172" fontId="46" fillId="3" borderId="0" xfId="0" applyNumberFormat="1" applyFont="1" applyFill="1" applyAlignment="1">
      <alignment horizontal="left" vertical="center"/>
    </xf>
    <xf numFmtId="164" fontId="46" fillId="0" borderId="0" xfId="0" applyNumberFormat="1" applyFont="1" applyAlignment="1">
      <alignment horizontal="left" vertical="center"/>
    </xf>
    <xf numFmtId="1" fontId="46" fillId="0" borderId="0" xfId="0" applyNumberFormat="1" applyFont="1" applyAlignment="1">
      <alignment horizontal="left" vertical="center"/>
    </xf>
    <xf numFmtId="0" fontId="47" fillId="0" borderId="5" xfId="0" applyFont="1" applyBorder="1" applyAlignment="1">
      <alignment horizontal="center" vertical="top"/>
    </xf>
    <xf numFmtId="0" fontId="46" fillId="0" borderId="5" xfId="0" applyFont="1" applyBorder="1" applyAlignment="1">
      <alignment horizontal="center" vertical="center"/>
    </xf>
    <xf numFmtId="0" fontId="56" fillId="2" borderId="6" xfId="0" applyFont="1" applyFill="1" applyBorder="1" applyAlignment="1">
      <alignment vertical="center"/>
    </xf>
    <xf numFmtId="0" fontId="46" fillId="0" borderId="10" xfId="0" applyFont="1" applyBorder="1" applyAlignment="1">
      <alignment vertical="center"/>
    </xf>
    <xf numFmtId="0" fontId="46" fillId="0" borderId="7" xfId="0" applyFont="1" applyBorder="1" applyAlignment="1">
      <alignment vertical="center"/>
    </xf>
    <xf numFmtId="164" fontId="56" fillId="3" borderId="6" xfId="0" quotePrefix="1" applyNumberFormat="1" applyFont="1" applyFill="1" applyBorder="1" applyAlignment="1">
      <alignment horizontal="right" vertical="center"/>
    </xf>
    <xf numFmtId="164" fontId="28" fillId="3" borderId="9" xfId="0" applyNumberFormat="1" applyFont="1" applyFill="1" applyBorder="1" applyAlignment="1">
      <alignment vertical="center"/>
    </xf>
    <xf numFmtId="0" fontId="46" fillId="0" borderId="6" xfId="0" applyFont="1" applyBorder="1" applyAlignment="1">
      <alignment horizontal="right" vertical="center"/>
    </xf>
    <xf numFmtId="0" fontId="47" fillId="0" borderId="0" xfId="0" applyFont="1" applyAlignment="1">
      <alignment horizontal="left" vertical="center"/>
    </xf>
    <xf numFmtId="0" fontId="46" fillId="0" borderId="3" xfId="0" quotePrefix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/>
    </xf>
    <xf numFmtId="164" fontId="46" fillId="3" borderId="5" xfId="0" applyNumberFormat="1" applyFont="1" applyFill="1" applyBorder="1" applyAlignment="1">
      <alignment horizontal="center" vertical="center" wrapText="1"/>
    </xf>
    <xf numFmtId="0" fontId="46" fillId="0" borderId="3" xfId="0" quotePrefix="1" applyFont="1" applyBorder="1" applyAlignment="1">
      <alignment horizontal="center" vertical="center" wrapText="1"/>
    </xf>
    <xf numFmtId="0" fontId="46" fillId="0" borderId="5" xfId="0" quotePrefix="1" applyFont="1" applyBorder="1" applyAlignment="1">
      <alignment horizontal="center" vertical="center"/>
    </xf>
    <xf numFmtId="0" fontId="46" fillId="0" borderId="5" xfId="0" applyFont="1" applyBorder="1" applyAlignment="1">
      <alignment horizontal="left" vertical="center" wrapText="1"/>
    </xf>
    <xf numFmtId="0" fontId="62" fillId="0" borderId="0" xfId="0" applyFont="1" applyAlignment="1" applyProtection="1">
      <alignment horizontal="right"/>
      <protection locked="0"/>
    </xf>
    <xf numFmtId="0" fontId="40" fillId="4" borderId="0" xfId="0" applyFont="1" applyFill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46" fillId="3" borderId="0" xfId="0" applyNumberFormat="1" applyFont="1" applyFill="1" applyAlignment="1">
      <alignment horizontal="left" vertical="center"/>
    </xf>
    <xf numFmtId="2" fontId="46" fillId="3" borderId="0" xfId="0" applyNumberFormat="1" applyFont="1" applyFill="1" applyAlignment="1">
      <alignment horizontal="center" vertical="center"/>
    </xf>
    <xf numFmtId="171" fontId="46" fillId="3" borderId="0" xfId="0" applyNumberFormat="1" applyFont="1" applyFill="1" applyAlignment="1">
      <alignment horizontal="left" vertical="center"/>
    </xf>
    <xf numFmtId="0" fontId="57" fillId="0" borderId="0" xfId="0" quotePrefix="1" applyFont="1" applyAlignment="1">
      <alignment horizontal="left" vertical="center"/>
    </xf>
    <xf numFmtId="0" fontId="62" fillId="0" borderId="5" xfId="0" applyFont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8" fillId="0" borderId="0" xfId="1" applyFont="1" applyAlignment="1">
      <alignment horizontal="center" vertical="center" wrapText="1"/>
    </xf>
    <xf numFmtId="164" fontId="56" fillId="2" borderId="9" xfId="0" applyNumberFormat="1" applyFont="1" applyFill="1" applyBorder="1" applyAlignment="1">
      <alignment vertical="center"/>
    </xf>
    <xf numFmtId="164" fontId="46" fillId="0" borderId="0" xfId="0" applyNumberFormat="1" applyFont="1" applyAlignment="1">
      <alignment horizontal="right" vertical="center"/>
    </xf>
    <xf numFmtId="0" fontId="6" fillId="0" borderId="0" xfId="1" applyFont="1" applyAlignment="1">
      <alignment horizontal="center" vertical="center" wrapText="1"/>
    </xf>
    <xf numFmtId="0" fontId="83" fillId="0" borderId="0" xfId="1" applyFont="1" applyAlignment="1">
      <alignment horizontal="center" vertical="center" wrapText="1"/>
    </xf>
    <xf numFmtId="164" fontId="2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107" fillId="0" borderId="0" xfId="0" applyNumberFormat="1" applyFont="1" applyAlignment="1">
      <alignment horizontal="right" vertical="center"/>
    </xf>
    <xf numFmtId="164" fontId="56" fillId="4" borderId="6" xfId="0" quotePrefix="1" applyNumberFormat="1" applyFont="1" applyFill="1" applyBorder="1" applyAlignment="1">
      <alignment horizontal="right" vertical="center"/>
    </xf>
    <xf numFmtId="0" fontId="46" fillId="0" borderId="8" xfId="0" applyFont="1" applyBorder="1" applyAlignment="1">
      <alignment vertical="center"/>
    </xf>
    <xf numFmtId="0" fontId="57" fillId="0" borderId="8" xfId="0" quotePrefix="1" applyFont="1" applyBorder="1" applyAlignment="1">
      <alignment horizontal="left" vertical="center"/>
    </xf>
    <xf numFmtId="0" fontId="46" fillId="0" borderId="6" xfId="0" applyFont="1" applyBorder="1" applyAlignment="1">
      <alignment horizontal="center" vertical="center" wrapText="1"/>
    </xf>
    <xf numFmtId="164" fontId="46" fillId="3" borderId="3" xfId="0" applyNumberFormat="1" applyFont="1" applyFill="1" applyBorder="1" applyAlignment="1">
      <alignment horizontal="center" vertical="center" wrapText="1"/>
    </xf>
    <xf numFmtId="164" fontId="46" fillId="3" borderId="6" xfId="0" applyNumberFormat="1" applyFont="1" applyFill="1" applyBorder="1" applyAlignment="1">
      <alignment horizontal="right" vertical="center"/>
    </xf>
    <xf numFmtId="164" fontId="46" fillId="0" borderId="9" xfId="0" applyNumberFormat="1" applyFont="1" applyBorder="1" applyAlignment="1">
      <alignment horizontal="left" vertical="center"/>
    </xf>
    <xf numFmtId="0" fontId="62" fillId="5" borderId="5" xfId="0" applyFont="1" applyFill="1" applyBorder="1" applyAlignment="1">
      <alignment horizontal="center" vertical="center"/>
    </xf>
    <xf numFmtId="164" fontId="93" fillId="5" borderId="5" xfId="0" applyNumberFormat="1" applyFont="1" applyFill="1" applyBorder="1" applyAlignment="1">
      <alignment horizontal="center" vertical="center" wrapText="1"/>
    </xf>
    <xf numFmtId="164" fontId="46" fillId="3" borderId="9" xfId="0" applyNumberFormat="1" applyFont="1" applyFill="1" applyBorder="1" applyAlignment="1">
      <alignment horizontal="left" vertical="center" wrapText="1"/>
    </xf>
    <xf numFmtId="164" fontId="46" fillId="0" borderId="5" xfId="0" applyNumberFormat="1" applyFont="1" applyBorder="1" applyAlignment="1">
      <alignment horizontal="center" vertical="center"/>
    </xf>
    <xf numFmtId="164" fontId="46" fillId="0" borderId="6" xfId="0" applyNumberFormat="1" applyFont="1" applyBorder="1" applyAlignment="1">
      <alignment horizontal="right" vertical="center"/>
    </xf>
    <xf numFmtId="1" fontId="46" fillId="0" borderId="9" xfId="0" applyNumberFormat="1" applyFont="1" applyBorder="1" applyAlignment="1">
      <alignment horizontal="left" vertical="center"/>
    </xf>
    <xf numFmtId="0" fontId="47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105" fillId="3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2" fontId="17" fillId="3" borderId="5" xfId="5" applyNumberFormat="1" applyFont="1" applyFill="1" applyBorder="1" applyAlignment="1">
      <alignment horizontal="center"/>
    </xf>
    <xf numFmtId="164" fontId="17" fillId="3" borderId="6" xfId="5" applyNumberFormat="1" applyFont="1" applyFill="1" applyBorder="1" applyAlignment="1">
      <alignment horizontal="center"/>
    </xf>
    <xf numFmtId="164" fontId="17" fillId="3" borderId="9" xfId="5" applyNumberFormat="1" applyFont="1" applyFill="1" applyBorder="1" applyAlignment="1">
      <alignment horizontal="center" vertical="center"/>
    </xf>
    <xf numFmtId="2" fontId="5" fillId="3" borderId="74" xfId="5" applyNumberFormat="1" applyFont="1" applyFill="1" applyBorder="1" applyAlignment="1">
      <alignment horizontal="center"/>
    </xf>
    <xf numFmtId="164" fontId="6" fillId="3" borderId="74" xfId="5" applyNumberFormat="1" applyFont="1" applyFill="1" applyBorder="1" applyAlignment="1">
      <alignment horizontal="center" vertical="center"/>
    </xf>
    <xf numFmtId="0" fontId="41" fillId="0" borderId="0" xfId="0" applyFont="1"/>
    <xf numFmtId="0" fontId="0" fillId="0" borderId="0" xfId="0" applyAlignment="1">
      <alignment horizontal="left"/>
    </xf>
    <xf numFmtId="0" fontId="2" fillId="0" borderId="74" xfId="0" applyFont="1" applyBorder="1" applyAlignment="1">
      <alignment horizontal="center"/>
    </xf>
    <xf numFmtId="0" fontId="62" fillId="3" borderId="74" xfId="0" applyFont="1" applyFill="1" applyBorder="1" applyAlignment="1" applyProtection="1">
      <alignment horizontal="left" vertical="center"/>
      <protection locked="0"/>
    </xf>
    <xf numFmtId="0" fontId="62" fillId="0" borderId="74" xfId="0" applyFont="1" applyBorder="1" applyAlignment="1">
      <alignment horizontal="left"/>
    </xf>
    <xf numFmtId="0" fontId="62" fillId="0" borderId="74" xfId="0" applyFont="1" applyBorder="1" applyAlignment="1">
      <alignment horizontal="center"/>
    </xf>
    <xf numFmtId="0" fontId="62" fillId="0" borderId="74" xfId="0" applyFont="1" applyBorder="1"/>
    <xf numFmtId="0" fontId="62" fillId="3" borderId="75" xfId="0" applyFont="1" applyFill="1" applyBorder="1" applyAlignment="1" applyProtection="1">
      <alignment horizontal="left" vertical="center"/>
      <protection locked="0"/>
    </xf>
    <xf numFmtId="0" fontId="62" fillId="0" borderId="75" xfId="0" applyFont="1" applyBorder="1"/>
    <xf numFmtId="0" fontId="62" fillId="0" borderId="75" xfId="0" applyFont="1" applyBorder="1" applyAlignment="1">
      <alignment horizontal="center"/>
    </xf>
    <xf numFmtId="0" fontId="45" fillId="3" borderId="74" xfId="3" applyFont="1" applyFill="1" applyBorder="1" applyProtection="1">
      <protection locked="0"/>
    </xf>
    <xf numFmtId="0" fontId="62" fillId="3" borderId="74" xfId="0" applyFont="1" applyFill="1" applyBorder="1"/>
    <xf numFmtId="0" fontId="62" fillId="3" borderId="74" xfId="0" applyFont="1" applyFill="1" applyBorder="1" applyAlignment="1">
      <alignment horizontal="center"/>
    </xf>
    <xf numFmtId="0" fontId="45" fillId="3" borderId="75" xfId="3" applyFont="1" applyFill="1" applyBorder="1" applyProtection="1">
      <protection locked="0"/>
    </xf>
    <xf numFmtId="0" fontId="62" fillId="3" borderId="75" xfId="0" applyFont="1" applyFill="1" applyBorder="1"/>
    <xf numFmtId="0" fontId="62" fillId="3" borderId="75" xfId="0" applyFont="1" applyFill="1" applyBorder="1" applyAlignment="1">
      <alignment horizontal="center"/>
    </xf>
    <xf numFmtId="0" fontId="62" fillId="3" borderId="74" xfId="5" applyFont="1" applyFill="1" applyBorder="1" applyAlignment="1" applyProtection="1">
      <alignment vertical="center"/>
      <protection locked="0"/>
    </xf>
    <xf numFmtId="0" fontId="62" fillId="0" borderId="0" xfId="0" applyFont="1" applyAlignment="1">
      <alignment horizontal="right"/>
    </xf>
    <xf numFmtId="0" fontId="46" fillId="0" borderId="13" xfId="0" applyFont="1" applyBorder="1" applyAlignment="1" applyProtection="1">
      <alignment horizontal="left" vertical="center"/>
      <protection locked="0"/>
    </xf>
    <xf numFmtId="0" fontId="46" fillId="0" borderId="14" xfId="0" applyFont="1" applyBorder="1" applyAlignment="1" applyProtection="1">
      <alignment vertical="center"/>
      <protection locked="0"/>
    </xf>
    <xf numFmtId="15" fontId="46" fillId="0" borderId="9" xfId="0" applyNumberFormat="1" applyFont="1" applyBorder="1" applyAlignment="1" applyProtection="1">
      <alignment horizontal="center" vertical="center"/>
      <protection locked="0"/>
    </xf>
    <xf numFmtId="0" fontId="46" fillId="0" borderId="5" xfId="0" applyFont="1" applyBorder="1" applyAlignment="1" applyProtection="1">
      <alignment vertical="center"/>
      <protection locked="0"/>
    </xf>
    <xf numFmtId="0" fontId="46" fillId="0" borderId="6" xfId="0" applyFont="1" applyBorder="1" applyAlignment="1" applyProtection="1">
      <alignment horizontal="left" vertical="center"/>
      <protection locked="0"/>
    </xf>
    <xf numFmtId="0" fontId="46" fillId="0" borderId="9" xfId="0" applyFont="1" applyBorder="1" applyAlignment="1" applyProtection="1">
      <alignment vertical="center"/>
      <protection locked="0"/>
    </xf>
    <xf numFmtId="164" fontId="0" fillId="15" borderId="0" xfId="0" applyNumberFormat="1" applyFill="1"/>
    <xf numFmtId="0" fontId="103" fillId="3" borderId="5" xfId="0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horizontal="center" vertical="center"/>
      <protection locked="0"/>
    </xf>
    <xf numFmtId="0" fontId="23" fillId="0" borderId="0" xfId="1" applyFont="1" applyAlignment="1">
      <alignment vertical="center"/>
    </xf>
    <xf numFmtId="0" fontId="46" fillId="0" borderId="5" xfId="0" applyFont="1" applyBorder="1" applyAlignment="1">
      <alignment horizontal="center" vertical="center" wrapText="1"/>
    </xf>
    <xf numFmtId="177" fontId="46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top"/>
    </xf>
    <xf numFmtId="1" fontId="46" fillId="5" borderId="5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left" vertical="center"/>
    </xf>
    <xf numFmtId="178" fontId="62" fillId="0" borderId="0" xfId="0" applyNumberFormat="1" applyFont="1" applyAlignment="1" applyProtection="1">
      <alignment vertical="center"/>
      <protection locked="0"/>
    </xf>
    <xf numFmtId="179" fontId="62" fillId="0" borderId="0" xfId="0" applyNumberFormat="1" applyFont="1" applyAlignment="1" applyProtection="1">
      <alignment vertical="center"/>
      <protection locked="0"/>
    </xf>
    <xf numFmtId="178" fontId="46" fillId="0" borderId="6" xfId="0" applyNumberFormat="1" applyFont="1" applyBorder="1" applyAlignment="1">
      <alignment horizontal="right" vertical="center"/>
    </xf>
    <xf numFmtId="178" fontId="46" fillId="0" borderId="6" xfId="0" applyNumberFormat="1" applyFont="1" applyBorder="1" applyAlignment="1" applyProtection="1">
      <alignment horizontal="right" vertical="center"/>
      <protection hidden="1"/>
    </xf>
    <xf numFmtId="0" fontId="6" fillId="5" borderId="5" xfId="5" applyFont="1" applyFill="1" applyBorder="1" applyAlignment="1">
      <alignment horizontal="center" vertical="center"/>
    </xf>
    <xf numFmtId="0" fontId="71" fillId="3" borderId="9" xfId="5" applyFont="1" applyFill="1" applyBorder="1" applyAlignment="1">
      <alignment horizontal="center" vertical="center"/>
    </xf>
    <xf numFmtId="0" fontId="7" fillId="3" borderId="9" xfId="3" applyFont="1" applyFill="1" applyBorder="1" applyAlignment="1">
      <alignment horizontal="center" vertical="center"/>
    </xf>
    <xf numFmtId="0" fontId="5" fillId="3" borderId="5" xfId="5" applyFont="1" applyFill="1" applyBorder="1" applyAlignment="1">
      <alignment horizontal="center"/>
    </xf>
    <xf numFmtId="164" fontId="5" fillId="3" borderId="6" xfId="5" applyNumberFormat="1" applyFont="1" applyFill="1" applyBorder="1" applyAlignment="1">
      <alignment horizontal="center" vertical="center"/>
    </xf>
    <xf numFmtId="164" fontId="5" fillId="3" borderId="9" xfId="5" applyNumberFormat="1" applyFont="1" applyFill="1" applyBorder="1" applyAlignment="1">
      <alignment horizontal="center" vertical="center"/>
    </xf>
    <xf numFmtId="0" fontId="6" fillId="5" borderId="5" xfId="5" applyFont="1" applyFill="1" applyBorder="1" applyAlignment="1">
      <alignment horizontal="center"/>
    </xf>
    <xf numFmtId="164" fontId="72" fillId="5" borderId="5" xfId="5" applyNumberFormat="1" applyFont="1" applyFill="1" applyBorder="1" applyAlignment="1">
      <alignment horizontal="center" vertical="center"/>
    </xf>
    <xf numFmtId="164" fontId="2" fillId="0" borderId="5" xfId="5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6" fillId="0" borderId="0" xfId="0" applyNumberFormat="1" applyFont="1" applyAlignment="1">
      <alignment vertical="center"/>
    </xf>
    <xf numFmtId="0" fontId="62" fillId="0" borderId="6" xfId="1" applyFont="1" applyBorder="1" applyAlignment="1">
      <alignment vertical="center"/>
    </xf>
    <xf numFmtId="0" fontId="62" fillId="0" borderId="7" xfId="0" applyFont="1" applyBorder="1"/>
    <xf numFmtId="0" fontId="62" fillId="0" borderId="9" xfId="0" applyFont="1" applyBorder="1"/>
    <xf numFmtId="0" fontId="111" fillId="0" borderId="0" xfId="0" applyFont="1" applyAlignment="1">
      <alignment vertical="center"/>
    </xf>
    <xf numFmtId="0" fontId="62" fillId="0" borderId="13" xfId="1" applyFont="1" applyBorder="1" applyAlignment="1">
      <alignment vertical="center"/>
    </xf>
    <xf numFmtId="0" fontId="62" fillId="0" borderId="10" xfId="0" applyFont="1" applyBorder="1"/>
    <xf numFmtId="0" fontId="62" fillId="0" borderId="14" xfId="0" applyFont="1" applyBorder="1"/>
    <xf numFmtId="0" fontId="62" fillId="3" borderId="4" xfId="0" applyFont="1" applyFill="1" applyBorder="1" applyAlignment="1">
      <alignment vertical="center"/>
    </xf>
    <xf numFmtId="0" fontId="62" fillId="0" borderId="4" xfId="0" applyFont="1" applyBorder="1"/>
    <xf numFmtId="179" fontId="46" fillId="0" borderId="6" xfId="0" applyNumberFormat="1" applyFont="1" applyBorder="1" applyAlignment="1">
      <alignment horizontal="right" vertical="center"/>
    </xf>
    <xf numFmtId="180" fontId="46" fillId="0" borderId="6" xfId="0" applyNumberFormat="1" applyFont="1" applyBorder="1" applyAlignment="1">
      <alignment horizontal="right" vertical="center"/>
    </xf>
    <xf numFmtId="2" fontId="46" fillId="3" borderId="0" xfId="0" applyNumberFormat="1" applyFont="1" applyFill="1" applyAlignment="1">
      <alignment horizontal="left" vertical="center"/>
    </xf>
    <xf numFmtId="2" fontId="46" fillId="3" borderId="0" xfId="0" applyNumberFormat="1" applyFont="1" applyFill="1" applyAlignment="1">
      <alignment vertical="center"/>
    </xf>
    <xf numFmtId="0" fontId="46" fillId="0" borderId="0" xfId="0" applyFont="1" applyAlignment="1">
      <alignment horizontal="left" vertical="center"/>
    </xf>
    <xf numFmtId="0" fontId="76" fillId="6" borderId="30" xfId="3" applyFont="1" applyFill="1" applyBorder="1" applyAlignment="1" applyProtection="1">
      <alignment horizontal="center" vertical="center" wrapText="1"/>
      <protection locked="0"/>
    </xf>
    <xf numFmtId="0" fontId="76" fillId="6" borderId="31" xfId="3" applyFont="1" applyFill="1" applyBorder="1" applyAlignment="1" applyProtection="1">
      <alignment horizontal="center" vertical="center" wrapText="1"/>
      <protection locked="0"/>
    </xf>
    <xf numFmtId="0" fontId="2" fillId="0" borderId="76" xfId="3" applyBorder="1" applyAlignment="1">
      <alignment horizontal="right"/>
    </xf>
    <xf numFmtId="0" fontId="20" fillId="3" borderId="0" xfId="3" applyFont="1" applyFill="1"/>
    <xf numFmtId="0" fontId="2" fillId="0" borderId="77" xfId="3" applyBorder="1" applyAlignment="1">
      <alignment horizontal="right"/>
    </xf>
    <xf numFmtId="0" fontId="17" fillId="3" borderId="21" xfId="3" applyFont="1" applyFill="1" applyBorder="1" applyAlignment="1">
      <alignment horizontal="center" vertical="center"/>
    </xf>
    <xf numFmtId="2" fontId="17" fillId="3" borderId="21" xfId="3" applyNumberFormat="1" applyFont="1" applyFill="1" applyBorder="1" applyAlignment="1">
      <alignment horizontal="center" vertical="center"/>
    </xf>
    <xf numFmtId="2" fontId="20" fillId="3" borderId="21" xfId="3" applyNumberFormat="1" applyFont="1" applyFill="1" applyBorder="1" applyAlignment="1">
      <alignment horizontal="center" vertical="center"/>
    </xf>
    <xf numFmtId="2" fontId="91" fillId="3" borderId="22" xfId="3" applyNumberFormat="1" applyFont="1" applyFill="1" applyBorder="1" applyAlignment="1">
      <alignment horizontal="center" vertical="center"/>
    </xf>
    <xf numFmtId="0" fontId="2" fillId="0" borderId="16" xfId="3" applyBorder="1"/>
    <xf numFmtId="2" fontId="17" fillId="3" borderId="0" xfId="3" applyNumberFormat="1" applyFont="1" applyFill="1" applyAlignment="1">
      <alignment horizontal="center" vertical="center"/>
    </xf>
    <xf numFmtId="0" fontId="52" fillId="3" borderId="0" xfId="3" applyFont="1" applyFill="1" applyAlignment="1">
      <alignment horizontal="center" vertical="center"/>
    </xf>
    <xf numFmtId="2" fontId="52" fillId="3" borderId="0" xfId="3" applyNumberFormat="1" applyFont="1" applyFill="1" applyAlignment="1">
      <alignment horizontal="center" vertical="center"/>
    </xf>
    <xf numFmtId="0" fontId="41" fillId="3" borderId="0" xfId="3" applyFont="1" applyFill="1" applyAlignment="1">
      <alignment wrapText="1"/>
    </xf>
    <xf numFmtId="0" fontId="109" fillId="5" borderId="5" xfId="0" applyFont="1" applyFill="1" applyBorder="1" applyAlignment="1">
      <alignment horizontal="center" vertical="center"/>
    </xf>
    <xf numFmtId="0" fontId="108" fillId="0" borderId="61" xfId="0" applyFont="1" applyBorder="1" applyAlignment="1" applyProtection="1">
      <alignment horizontal="center" vertical="center"/>
      <protection locked="0"/>
    </xf>
    <xf numFmtId="0" fontId="108" fillId="0" borderId="10" xfId="0" applyFont="1" applyBorder="1" applyAlignment="1" applyProtection="1">
      <alignment horizontal="center" vertical="center"/>
      <protection locked="0"/>
    </xf>
    <xf numFmtId="0" fontId="108" fillId="0" borderId="14" xfId="0" applyFont="1" applyBorder="1" applyAlignment="1" applyProtection="1">
      <alignment horizontal="center" vertical="center"/>
      <protection locked="0"/>
    </xf>
    <xf numFmtId="0" fontId="114" fillId="0" borderId="0" xfId="0" applyFont="1" applyAlignment="1" applyProtection="1">
      <alignment horizontal="center" vertical="center"/>
      <protection locked="0"/>
    </xf>
    <xf numFmtId="0" fontId="115" fillId="0" borderId="5" xfId="0" applyFont="1" applyBorder="1" applyAlignment="1" applyProtection="1">
      <alignment horizontal="center" vertical="center"/>
      <protection locked="0"/>
    </xf>
    <xf numFmtId="0" fontId="61" fillId="3" borderId="0" xfId="0" applyFont="1" applyFill="1" applyAlignment="1">
      <alignment vertical="center"/>
    </xf>
    <xf numFmtId="0" fontId="60" fillId="0" borderId="0" xfId="0" applyFont="1" applyAlignment="1">
      <alignment vertical="center"/>
    </xf>
    <xf numFmtId="164" fontId="2" fillId="3" borderId="3" xfId="0" applyNumberFormat="1" applyFont="1" applyFill="1" applyBorder="1" applyAlignment="1">
      <alignment horizontal="center" vertical="center" wrapText="1"/>
    </xf>
    <xf numFmtId="164" fontId="43" fillId="3" borderId="6" xfId="0" applyNumberFormat="1" applyFont="1" applyFill="1" applyBorder="1" applyAlignment="1">
      <alignment horizontal="right" vertical="center" wrapText="1"/>
    </xf>
    <xf numFmtId="164" fontId="2" fillId="3" borderId="9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" fontId="85" fillId="3" borderId="3" xfId="0" applyNumberFormat="1" applyFont="1" applyFill="1" applyBorder="1" applyAlignment="1" applyProtection="1">
      <alignment horizontal="center" vertical="center" wrapText="1"/>
      <protection locked="0"/>
    </xf>
    <xf numFmtId="1" fontId="46" fillId="3" borderId="3" xfId="0" applyNumberFormat="1" applyFont="1" applyFill="1" applyBorder="1" applyAlignment="1">
      <alignment horizontal="center" vertical="center" wrapText="1"/>
    </xf>
    <xf numFmtId="0" fontId="62" fillId="0" borderId="5" xfId="0" applyFont="1" applyBorder="1" applyAlignment="1">
      <alignment horizontal="center" vertical="center" wrapText="1"/>
    </xf>
    <xf numFmtId="2" fontId="116" fillId="0" borderId="5" xfId="0" applyNumberFormat="1" applyFont="1" applyBorder="1" applyAlignment="1">
      <alignment horizontal="center" vertical="center"/>
    </xf>
    <xf numFmtId="177" fontId="62" fillId="0" borderId="5" xfId="0" applyNumberFormat="1" applyFont="1" applyBorder="1" applyAlignment="1">
      <alignment horizontal="center" vertical="center"/>
    </xf>
    <xf numFmtId="0" fontId="116" fillId="0" borderId="5" xfId="0" applyFont="1" applyBorder="1" applyAlignment="1">
      <alignment horizontal="center" vertical="center"/>
    </xf>
    <xf numFmtId="1" fontId="62" fillId="5" borderId="5" xfId="0" applyNumberFormat="1" applyFont="1" applyFill="1" applyBorder="1" applyAlignment="1" applyProtection="1">
      <alignment horizontal="center" vertical="center"/>
      <protection hidden="1"/>
    </xf>
    <xf numFmtId="0" fontId="62" fillId="0" borderId="6" xfId="0" applyFont="1" applyBorder="1" applyAlignment="1">
      <alignment vertical="center"/>
    </xf>
    <xf numFmtId="0" fontId="62" fillId="0" borderId="7" xfId="0" applyFont="1" applyBorder="1" applyAlignment="1">
      <alignment vertical="center"/>
    </xf>
    <xf numFmtId="0" fontId="62" fillId="0" borderId="9" xfId="0" applyFont="1" applyBorder="1" applyAlignment="1">
      <alignment vertical="center"/>
    </xf>
    <xf numFmtId="164" fontId="85" fillId="3" borderId="11" xfId="0" applyNumberFormat="1" applyFont="1" applyFill="1" applyBorder="1" applyAlignment="1" applyProtection="1">
      <alignment vertical="center"/>
      <protection locked="0"/>
    </xf>
    <xf numFmtId="164" fontId="85" fillId="3" borderId="8" xfId="0" applyNumberFormat="1" applyFont="1" applyFill="1" applyBorder="1" applyAlignment="1" applyProtection="1">
      <alignment vertical="center"/>
      <protection locked="0"/>
    </xf>
    <xf numFmtId="1" fontId="72" fillId="3" borderId="0" xfId="0" applyNumberFormat="1" applyFont="1" applyFill="1" applyAlignment="1" applyProtection="1">
      <alignment vertical="center" wrapText="1"/>
      <protection locked="0"/>
    </xf>
    <xf numFmtId="0" fontId="2" fillId="0" borderId="0" xfId="10"/>
    <xf numFmtId="0" fontId="2" fillId="0" borderId="0" xfId="10" applyAlignment="1" applyProtection="1">
      <alignment wrapText="1"/>
      <protection hidden="1"/>
    </xf>
    <xf numFmtId="0" fontId="2" fillId="0" borderId="0" xfId="10" applyProtection="1">
      <protection locked="0"/>
    </xf>
    <xf numFmtId="0" fontId="120" fillId="0" borderId="0" xfId="10" applyFont="1" applyAlignment="1">
      <alignment horizontal="center" vertical="center" wrapText="1"/>
    </xf>
    <xf numFmtId="0" fontId="41" fillId="0" borderId="0" xfId="10" applyFont="1" applyProtection="1">
      <protection locked="0"/>
    </xf>
    <xf numFmtId="0" fontId="7" fillId="0" borderId="6" xfId="10" applyFont="1" applyBorder="1" applyAlignment="1">
      <alignment horizontal="left" vertical="top" wrapText="1"/>
    </xf>
    <xf numFmtId="0" fontId="7" fillId="0" borderId="9" xfId="10" applyFont="1" applyBorder="1" applyAlignment="1">
      <alignment horizontal="left" vertical="top" wrapText="1"/>
    </xf>
    <xf numFmtId="0" fontId="2" fillId="0" borderId="0" xfId="10" applyAlignment="1">
      <alignment horizontal="left" vertical="top"/>
    </xf>
    <xf numFmtId="0" fontId="7" fillId="0" borderId="9" xfId="10" applyFont="1" applyBorder="1" applyAlignment="1">
      <alignment horizontal="left" vertical="top"/>
    </xf>
    <xf numFmtId="0" fontId="7" fillId="0" borderId="0" xfId="10" applyFont="1" applyAlignment="1">
      <alignment vertical="center" wrapText="1"/>
    </xf>
    <xf numFmtId="0" fontId="7" fillId="0" borderId="0" xfId="10" applyFont="1" applyAlignment="1">
      <alignment horizontal="center" vertical="center" wrapText="1"/>
    </xf>
    <xf numFmtId="0" fontId="122" fillId="0" borderId="0" xfId="10" applyFont="1"/>
    <xf numFmtId="0" fontId="7" fillId="0" borderId="0" xfId="10" applyFont="1" applyAlignment="1" applyProtection="1">
      <alignment horizontal="center" vertical="center" wrapText="1"/>
      <protection locked="0"/>
    </xf>
    <xf numFmtId="1" fontId="7" fillId="0" borderId="0" xfId="10" quotePrefix="1" applyNumberFormat="1" applyFont="1" applyAlignment="1" applyProtection="1">
      <alignment horizontal="left"/>
      <protection locked="0"/>
    </xf>
    <xf numFmtId="0" fontId="7" fillId="0" borderId="0" xfId="10" applyFont="1" applyProtection="1">
      <protection locked="0"/>
    </xf>
    <xf numFmtId="1" fontId="121" fillId="0" borderId="0" xfId="10" quotePrefix="1" applyNumberFormat="1" applyFont="1" applyProtection="1">
      <protection locked="0"/>
    </xf>
    <xf numFmtId="0" fontId="122" fillId="0" borderId="0" xfId="10" applyFont="1" applyProtection="1">
      <protection locked="0"/>
    </xf>
    <xf numFmtId="181" fontId="7" fillId="0" borderId="0" xfId="10" quotePrefix="1" applyNumberFormat="1" applyFont="1" applyAlignment="1" applyProtection="1">
      <alignment horizontal="left"/>
      <protection locked="0"/>
    </xf>
    <xf numFmtId="2" fontId="121" fillId="0" borderId="0" xfId="10" quotePrefix="1" applyNumberFormat="1" applyFont="1" applyProtection="1">
      <protection locked="0"/>
    </xf>
    <xf numFmtId="0" fontId="2" fillId="0" borderId="0" xfId="10" applyAlignment="1">
      <alignment vertical="top" wrapText="1"/>
    </xf>
    <xf numFmtId="0" fontId="7" fillId="0" borderId="6" xfId="10" applyFont="1" applyBorder="1" applyAlignment="1">
      <alignment vertical="top"/>
    </xf>
    <xf numFmtId="0" fontId="7" fillId="0" borderId="9" xfId="10" applyFont="1" applyBorder="1" applyAlignment="1" applyProtection="1">
      <alignment vertical="top" wrapText="1"/>
      <protection locked="0"/>
    </xf>
    <xf numFmtId="0" fontId="7" fillId="0" borderId="9" xfId="10" applyFont="1" applyBorder="1" applyAlignment="1" applyProtection="1">
      <alignment vertical="top"/>
      <protection locked="0"/>
    </xf>
    <xf numFmtId="0" fontId="22" fillId="0" borderId="0" xfId="10" applyFont="1" applyAlignment="1">
      <alignment vertical="top"/>
    </xf>
    <xf numFmtId="0" fontId="7" fillId="0" borderId="0" xfId="10" applyFont="1" applyAlignment="1" applyProtection="1">
      <alignment horizontal="center" vertical="top" wrapText="1"/>
      <protection locked="0"/>
    </xf>
    <xf numFmtId="0" fontId="120" fillId="0" borderId="0" xfId="10" applyFont="1" applyAlignment="1">
      <alignment wrapText="1"/>
    </xf>
    <xf numFmtId="0" fontId="117" fillId="0" borderId="0" xfId="10" applyFont="1" applyAlignment="1">
      <alignment horizontal="center"/>
    </xf>
    <xf numFmtId="0" fontId="89" fillId="0" borderId="0" xfId="10" applyFont="1"/>
    <xf numFmtId="0" fontId="7" fillId="0" borderId="0" xfId="10" applyFont="1" applyAlignment="1">
      <alignment horizontal="center" vertical="top" wrapText="1"/>
    </xf>
    <xf numFmtId="0" fontId="7" fillId="0" borderId="0" xfId="10" applyFont="1" applyAlignment="1">
      <alignment vertical="top" wrapText="1"/>
    </xf>
    <xf numFmtId="0" fontId="7" fillId="0" borderId="0" xfId="10" applyFont="1" applyAlignment="1">
      <alignment horizontal="justify" vertical="center" wrapText="1"/>
    </xf>
    <xf numFmtId="0" fontId="50" fillId="0" borderId="0" xfId="10" applyFont="1" applyAlignment="1">
      <alignment vertical="center"/>
    </xf>
    <xf numFmtId="0" fontId="2" fillId="0" borderId="15" xfId="10" applyBorder="1"/>
    <xf numFmtId="0" fontId="123" fillId="0" borderId="17" xfId="10" applyFont="1" applyBorder="1"/>
    <xf numFmtId="0" fontId="2" fillId="0" borderId="18" xfId="10" applyBorder="1"/>
    <xf numFmtId="0" fontId="2" fillId="0" borderId="19" xfId="10" applyBorder="1"/>
    <xf numFmtId="0" fontId="2" fillId="0" borderId="18" xfId="10" applyBorder="1" applyAlignment="1">
      <alignment wrapText="1"/>
    </xf>
    <xf numFmtId="0" fontId="2" fillId="0" borderId="19" xfId="10" applyBorder="1" applyAlignment="1">
      <alignment wrapText="1"/>
    </xf>
    <xf numFmtId="0" fontId="123" fillId="0" borderId="19" xfId="10" applyFont="1" applyBorder="1"/>
    <xf numFmtId="0" fontId="124" fillId="0" borderId="19" xfId="10" applyFont="1" applyBorder="1" applyAlignment="1">
      <alignment horizontal="left" wrapText="1"/>
    </xf>
    <xf numFmtId="0" fontId="2" fillId="0" borderId="0" xfId="10" applyAlignment="1">
      <alignment wrapText="1"/>
    </xf>
    <xf numFmtId="0" fontId="124" fillId="0" borderId="18" xfId="10" applyFont="1" applyBorder="1" applyAlignment="1">
      <alignment wrapText="1"/>
    </xf>
    <xf numFmtId="176" fontId="124" fillId="0" borderId="19" xfId="10" applyNumberFormat="1" applyFont="1" applyBorder="1" applyAlignment="1">
      <alignment horizontal="left"/>
    </xf>
    <xf numFmtId="176" fontId="2" fillId="0" borderId="19" xfId="10" applyNumberFormat="1" applyBorder="1"/>
    <xf numFmtId="0" fontId="125" fillId="0" borderId="19" xfId="10" applyFont="1" applyBorder="1" applyAlignment="1">
      <alignment horizontal="left" wrapText="1"/>
    </xf>
    <xf numFmtId="0" fontId="124" fillId="0" borderId="19" xfId="10" applyFont="1" applyBorder="1" applyAlignment="1">
      <alignment wrapText="1"/>
    </xf>
    <xf numFmtId="0" fontId="124" fillId="0" borderId="18" xfId="10" applyFont="1" applyBorder="1"/>
    <xf numFmtId="0" fontId="124" fillId="0" borderId="20" xfId="10" applyFont="1" applyBorder="1"/>
    <xf numFmtId="0" fontId="124" fillId="0" borderId="22" xfId="10" applyFont="1" applyBorder="1" applyAlignment="1">
      <alignment wrapText="1"/>
    </xf>
    <xf numFmtId="0" fontId="2" fillId="0" borderId="73" xfId="0" applyFont="1" applyBorder="1" applyAlignment="1" applyProtection="1">
      <alignment horizontal="center" vertical="center"/>
      <protection hidden="1"/>
    </xf>
    <xf numFmtId="168" fontId="9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  <protection hidden="1"/>
    </xf>
    <xf numFmtId="164" fontId="45" fillId="3" borderId="5" xfId="0" applyNumberFormat="1" applyFont="1" applyFill="1" applyBorder="1" applyAlignment="1" applyProtection="1">
      <alignment horizontal="center" vertical="center"/>
      <protection hidden="1"/>
    </xf>
    <xf numFmtId="165" fontId="45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3" applyAlignment="1">
      <alignment horizontal="left"/>
    </xf>
    <xf numFmtId="0" fontId="89" fillId="16" borderId="0" xfId="3" applyFont="1" applyFill="1" applyAlignment="1" applyProtection="1">
      <alignment horizontal="left" vertical="center"/>
      <protection locked="0"/>
    </xf>
    <xf numFmtId="0" fontId="13" fillId="16" borderId="5" xfId="3" applyFont="1" applyFill="1" applyBorder="1" applyAlignment="1" applyProtection="1">
      <alignment horizontal="center"/>
      <protection locked="0"/>
    </xf>
    <xf numFmtId="0" fontId="13" fillId="16" borderId="0" xfId="3" applyFont="1" applyFill="1" applyAlignment="1" applyProtection="1">
      <alignment horizontal="left"/>
      <protection locked="0"/>
    </xf>
    <xf numFmtId="0" fontId="13" fillId="16" borderId="5" xfId="3" applyFont="1" applyFill="1" applyBorder="1" applyAlignment="1" applyProtection="1">
      <alignment horizontal="center" vertical="center"/>
      <protection locked="0"/>
    </xf>
    <xf numFmtId="0" fontId="12" fillId="16" borderId="5" xfId="3" applyFont="1" applyFill="1" applyBorder="1" applyAlignment="1" applyProtection="1">
      <alignment horizontal="center" vertical="center"/>
      <protection locked="0"/>
    </xf>
    <xf numFmtId="0" fontId="2" fillId="16" borderId="0" xfId="3" applyFill="1" applyAlignment="1" applyProtection="1">
      <alignment horizontal="left"/>
      <protection locked="0"/>
    </xf>
    <xf numFmtId="1" fontId="2" fillId="16" borderId="5" xfId="3" applyNumberFormat="1" applyFill="1" applyBorder="1" applyAlignment="1" applyProtection="1">
      <alignment horizontal="center" vertical="center"/>
      <protection locked="0"/>
    </xf>
    <xf numFmtId="2" fontId="10" fillId="16" borderId="5" xfId="3" quotePrefix="1" applyNumberFormat="1" applyFont="1" applyFill="1" applyBorder="1" applyAlignment="1" applyProtection="1">
      <alignment horizontal="center" vertical="center"/>
      <protection locked="0"/>
    </xf>
    <xf numFmtId="2" fontId="2" fillId="16" borderId="5" xfId="3" applyNumberFormat="1" applyFill="1" applyBorder="1" applyAlignment="1" applyProtection="1">
      <alignment horizontal="center"/>
      <protection locked="0"/>
    </xf>
    <xf numFmtId="2" fontId="10" fillId="16" borderId="5" xfId="3" applyNumberFormat="1" applyFont="1" applyFill="1" applyBorder="1" applyAlignment="1" applyProtection="1">
      <alignment horizontal="center" vertical="center"/>
      <protection locked="0"/>
    </xf>
    <xf numFmtId="2" fontId="2" fillId="16" borderId="5" xfId="3" applyNumberFormat="1" applyFill="1" applyBorder="1" applyAlignment="1" applyProtection="1">
      <alignment horizontal="center" vertical="center"/>
      <protection locked="0"/>
    </xf>
    <xf numFmtId="0" fontId="4" fillId="16" borderId="5" xfId="3" applyFont="1" applyFill="1" applyBorder="1" applyAlignment="1" applyProtection="1">
      <alignment horizontal="center" vertical="center"/>
      <protection locked="0"/>
    </xf>
    <xf numFmtId="164" fontId="10" fillId="16" borderId="5" xfId="3" applyNumberFormat="1" applyFont="1" applyFill="1" applyBorder="1" applyAlignment="1" applyProtection="1">
      <alignment horizontal="center" vertical="center"/>
      <protection locked="0"/>
    </xf>
    <xf numFmtId="2" fontId="2" fillId="16" borderId="5" xfId="3" quotePrefix="1" applyNumberFormat="1" applyFill="1" applyBorder="1" applyAlignment="1" applyProtection="1">
      <alignment horizontal="center" vertical="center"/>
      <protection locked="0"/>
    </xf>
    <xf numFmtId="0" fontId="2" fillId="16" borderId="5" xfId="3" applyFill="1" applyBorder="1" applyAlignment="1" applyProtection="1">
      <alignment horizontal="center" vertical="center"/>
      <protection locked="0"/>
    </xf>
    <xf numFmtId="165" fontId="2" fillId="16" borderId="5" xfId="3" quotePrefix="1" applyNumberFormat="1" applyFill="1" applyBorder="1" applyAlignment="1" applyProtection="1">
      <alignment horizontal="center" vertical="center"/>
      <protection locked="0"/>
    </xf>
    <xf numFmtId="1" fontId="10" fillId="16" borderId="5" xfId="3" quotePrefix="1" applyNumberFormat="1" applyFont="1" applyFill="1" applyBorder="1" applyAlignment="1" applyProtection="1">
      <alignment horizontal="center" vertical="center"/>
      <protection locked="0"/>
    </xf>
    <xf numFmtId="0" fontId="10" fillId="16" borderId="5" xfId="3" quotePrefix="1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164" fontId="2" fillId="16" borderId="5" xfId="3" applyNumberFormat="1" applyFill="1" applyBorder="1" applyAlignment="1" applyProtection="1">
      <alignment horizontal="center" vertical="center"/>
      <protection locked="0"/>
    </xf>
    <xf numFmtId="165" fontId="2" fillId="16" borderId="5" xfId="3" applyNumberFormat="1" applyFill="1" applyBorder="1" applyAlignment="1" applyProtection="1">
      <alignment horizontal="center" vertical="center"/>
      <protection locked="0"/>
    </xf>
    <xf numFmtId="0" fontId="53" fillId="16" borderId="0" xfId="3" applyFont="1" applyFill="1" applyAlignment="1" applyProtection="1">
      <alignment horizontal="left"/>
      <protection locked="0"/>
    </xf>
    <xf numFmtId="166" fontId="2" fillId="16" borderId="5" xfId="3" applyNumberFormat="1" applyFill="1" applyBorder="1" applyAlignment="1" applyProtection="1">
      <alignment horizontal="center" vertical="center"/>
      <protection locked="0"/>
    </xf>
    <xf numFmtId="0" fontId="53" fillId="16" borderId="5" xfId="3" applyFont="1" applyFill="1" applyBorder="1" applyAlignment="1" applyProtection="1">
      <alignment horizontal="center" vertical="center"/>
      <protection locked="0"/>
    </xf>
    <xf numFmtId="0" fontId="2" fillId="3" borderId="18" xfId="3" applyFill="1" applyBorder="1" applyProtection="1">
      <protection locked="0"/>
    </xf>
    <xf numFmtId="0" fontId="2" fillId="3" borderId="0" xfId="3" applyFill="1" applyProtection="1">
      <protection locked="0"/>
    </xf>
    <xf numFmtId="0" fontId="2" fillId="3" borderId="0" xfId="3" applyFill="1" applyAlignment="1" applyProtection="1">
      <alignment horizontal="left"/>
      <protection locked="0"/>
    </xf>
    <xf numFmtId="0" fontId="2" fillId="3" borderId="19" xfId="3" applyFill="1" applyBorder="1" applyProtection="1">
      <protection locked="0"/>
    </xf>
    <xf numFmtId="0" fontId="2" fillId="3" borderId="0" xfId="3" applyFill="1" applyAlignment="1">
      <alignment horizontal="left"/>
    </xf>
    <xf numFmtId="0" fontId="41" fillId="16" borderId="0" xfId="3" applyFont="1" applyFill="1" applyAlignment="1" applyProtection="1">
      <alignment horizontal="left" vertical="center"/>
      <protection locked="0"/>
    </xf>
    <xf numFmtId="0" fontId="13" fillId="16" borderId="4" xfId="3" applyFont="1" applyFill="1" applyBorder="1" applyAlignment="1" applyProtection="1">
      <alignment horizontal="center"/>
      <protection locked="0"/>
    </xf>
    <xf numFmtId="0" fontId="13" fillId="16" borderId="4" xfId="3" applyFont="1" applyFill="1" applyBorder="1" applyAlignment="1" applyProtection="1">
      <alignment horizontal="center" vertical="center"/>
      <protection locked="0"/>
    </xf>
    <xf numFmtId="0" fontId="12" fillId="16" borderId="4" xfId="3" applyFont="1" applyFill="1" applyBorder="1" applyAlignment="1" applyProtection="1">
      <alignment horizontal="center" vertical="center"/>
      <protection locked="0"/>
    </xf>
    <xf numFmtId="0" fontId="2" fillId="16" borderId="5" xfId="3" applyFill="1" applyBorder="1" applyAlignment="1" applyProtection="1">
      <alignment horizontal="right" vertical="center"/>
      <protection locked="0"/>
    </xf>
    <xf numFmtId="164" fontId="2" fillId="16" borderId="5" xfId="3" applyNumberFormat="1" applyFill="1" applyBorder="1" applyAlignment="1" applyProtection="1">
      <alignment horizontal="right" vertical="center"/>
      <protection locked="0"/>
    </xf>
    <xf numFmtId="0" fontId="53" fillId="0" borderId="0" xfId="3" applyFont="1" applyAlignment="1">
      <alignment horizontal="left"/>
    </xf>
    <xf numFmtId="0" fontId="76" fillId="3" borderId="18" xfId="3" applyFont="1" applyFill="1" applyBorder="1" applyAlignment="1" applyProtection="1">
      <alignment horizontal="center" vertical="center" wrapText="1"/>
      <protection locked="0"/>
    </xf>
    <xf numFmtId="0" fontId="2" fillId="3" borderId="0" xfId="3" applyFill="1" applyAlignment="1" applyProtection="1">
      <alignment horizontal="center" vertical="center"/>
      <protection locked="0"/>
    </xf>
    <xf numFmtId="165" fontId="2" fillId="3" borderId="0" xfId="3" applyNumberFormat="1" applyFill="1" applyAlignment="1" applyProtection="1">
      <alignment horizontal="center" vertical="center"/>
      <protection locked="0"/>
    </xf>
    <xf numFmtId="0" fontId="76" fillId="3" borderId="0" xfId="3" applyFont="1" applyFill="1" applyAlignment="1" applyProtection="1">
      <alignment horizontal="center" vertical="center" wrapText="1"/>
      <protection locked="0"/>
    </xf>
    <xf numFmtId="0" fontId="2" fillId="3" borderId="0" xfId="3" applyFill="1" applyAlignment="1" applyProtection="1">
      <alignment horizontal="right" vertical="center"/>
      <protection locked="0"/>
    </xf>
    <xf numFmtId="2" fontId="2" fillId="16" borderId="3" xfId="3" quotePrefix="1" applyNumberFormat="1" applyFill="1" applyBorder="1" applyAlignment="1" applyProtection="1">
      <alignment horizontal="center" vertical="center"/>
      <protection locked="0"/>
    </xf>
    <xf numFmtId="2" fontId="2" fillId="16" borderId="4" xfId="3" quotePrefix="1" applyNumberFormat="1" applyFill="1" applyBorder="1" applyAlignment="1" applyProtection="1">
      <alignment horizontal="center" vertical="center"/>
      <protection locked="0"/>
    </xf>
    <xf numFmtId="164" fontId="10" fillId="16" borderId="5" xfId="3" quotePrefix="1" applyNumberFormat="1" applyFont="1" applyFill="1" applyBorder="1" applyAlignment="1" applyProtection="1">
      <alignment horizontal="center" vertical="center"/>
      <protection locked="0"/>
    </xf>
    <xf numFmtId="1" fontId="2" fillId="16" borderId="5" xfId="3" quotePrefix="1" applyNumberFormat="1" applyFill="1" applyBorder="1" applyAlignment="1" applyProtection="1">
      <alignment horizontal="center" vertical="center"/>
      <protection locked="0"/>
    </xf>
    <xf numFmtId="164" fontId="2" fillId="16" borderId="5" xfId="3" quotePrefix="1" applyNumberFormat="1" applyFill="1" applyBorder="1" applyAlignment="1" applyProtection="1">
      <alignment horizontal="center" vertical="center"/>
      <protection locked="0"/>
    </xf>
    <xf numFmtId="166" fontId="2" fillId="16" borderId="5" xfId="3" quotePrefix="1" applyNumberFormat="1" applyFill="1" applyBorder="1" applyAlignment="1" applyProtection="1">
      <alignment horizontal="center" vertical="center"/>
      <protection locked="0"/>
    </xf>
    <xf numFmtId="0" fontId="2" fillId="16" borderId="5" xfId="3" quotePrefix="1" applyFill="1" applyBorder="1" applyAlignment="1" applyProtection="1">
      <alignment horizontal="center" vertical="center"/>
      <protection locked="0"/>
    </xf>
    <xf numFmtId="0" fontId="2" fillId="6" borderId="31" xfId="3" applyFill="1" applyBorder="1"/>
    <xf numFmtId="0" fontId="76" fillId="6" borderId="31" xfId="3" applyFont="1" applyFill="1" applyBorder="1" applyAlignment="1" applyProtection="1">
      <alignment horizontal="left" vertical="center" wrapText="1"/>
      <protection locked="0"/>
    </xf>
    <xf numFmtId="0" fontId="2" fillId="3" borderId="6" xfId="11" applyFill="1" applyBorder="1" applyAlignment="1">
      <alignment horizontal="center" vertical="center"/>
    </xf>
    <xf numFmtId="0" fontId="2" fillId="3" borderId="26" xfId="11" applyFill="1" applyBorder="1" applyAlignment="1">
      <alignment horizontal="center" vertical="center"/>
    </xf>
    <xf numFmtId="0" fontId="2" fillId="3" borderId="23" xfId="11" applyFill="1" applyBorder="1" applyAlignment="1">
      <alignment horizontal="center" vertical="center"/>
    </xf>
    <xf numFmtId="2" fontId="17" fillId="18" borderId="25" xfId="3" applyNumberFormat="1" applyFont="1" applyFill="1" applyBorder="1" applyAlignment="1">
      <alignment horizontal="center" vertical="center"/>
    </xf>
    <xf numFmtId="0" fontId="17" fillId="18" borderId="5" xfId="3" applyFont="1" applyFill="1" applyBorder="1" applyAlignment="1">
      <alignment horizontal="center" vertical="center"/>
    </xf>
    <xf numFmtId="165" fontId="70" fillId="18" borderId="74" xfId="3" applyNumberFormat="1" applyFont="1" applyFill="1" applyBorder="1" applyAlignment="1">
      <alignment horizontal="center"/>
    </xf>
    <xf numFmtId="2" fontId="17" fillId="18" borderId="26" xfId="3" applyNumberFormat="1" applyFont="1" applyFill="1" applyBorder="1" applyAlignment="1">
      <alignment horizontal="center" vertical="center"/>
    </xf>
    <xf numFmtId="2" fontId="2" fillId="3" borderId="6" xfId="11" applyNumberFormat="1" applyFill="1" applyBorder="1" applyAlignment="1">
      <alignment horizontal="center" vertical="center"/>
    </xf>
    <xf numFmtId="0" fontId="70" fillId="18" borderId="74" xfId="3" applyFont="1" applyFill="1" applyBorder="1" applyAlignment="1">
      <alignment horizontal="center"/>
    </xf>
    <xf numFmtId="164" fontId="53" fillId="3" borderId="44" xfId="3" applyNumberFormat="1" applyFont="1" applyFill="1" applyBorder="1" applyAlignment="1">
      <alignment horizontal="center" vertical="center" wrapText="1"/>
    </xf>
    <xf numFmtId="2" fontId="9" fillId="18" borderId="38" xfId="3" applyNumberFormat="1" applyFont="1" applyFill="1" applyBorder="1" applyAlignment="1">
      <alignment horizontal="center" vertical="center"/>
    </xf>
    <xf numFmtId="164" fontId="52" fillId="18" borderId="46" xfId="3" applyNumberFormat="1" applyFont="1" applyFill="1" applyBorder="1" applyAlignment="1">
      <alignment horizontal="center" vertical="center"/>
    </xf>
    <xf numFmtId="1" fontId="53" fillId="3" borderId="25" xfId="3" applyNumberFormat="1" applyFont="1" applyFill="1" applyBorder="1" applyAlignment="1">
      <alignment horizontal="center" vertical="center" wrapText="1"/>
    </xf>
    <xf numFmtId="165" fontId="128" fillId="18" borderId="6" xfId="3" applyNumberFormat="1" applyFont="1" applyFill="1" applyBorder="1" applyAlignment="1">
      <alignment horizontal="center" vertical="center"/>
    </xf>
    <xf numFmtId="165" fontId="52" fillId="18" borderId="26" xfId="3" applyNumberFormat="1" applyFont="1" applyFill="1" applyBorder="1" applyAlignment="1">
      <alignment horizontal="center" vertical="center"/>
    </xf>
    <xf numFmtId="165" fontId="17" fillId="18" borderId="25" xfId="3" applyNumberFormat="1" applyFont="1" applyFill="1" applyBorder="1" applyAlignment="1">
      <alignment horizontal="center" vertical="center"/>
    </xf>
    <xf numFmtId="165" fontId="17" fillId="18" borderId="5" xfId="3" applyNumberFormat="1" applyFont="1" applyFill="1" applyBorder="1" applyAlignment="1">
      <alignment horizontal="center" vertical="center"/>
    </xf>
    <xf numFmtId="165" fontId="17" fillId="18" borderId="26" xfId="3" applyNumberFormat="1" applyFont="1" applyFill="1" applyBorder="1" applyAlignment="1">
      <alignment horizontal="center" vertical="center"/>
    </xf>
    <xf numFmtId="166" fontId="9" fillId="18" borderId="6" xfId="3" applyNumberFormat="1" applyFont="1" applyFill="1" applyBorder="1" applyAlignment="1">
      <alignment horizontal="center" vertical="center"/>
    </xf>
    <xf numFmtId="166" fontId="9" fillId="18" borderId="11" xfId="3" applyNumberFormat="1" applyFont="1" applyFill="1" applyBorder="1" applyAlignment="1">
      <alignment horizontal="center" vertical="center"/>
    </xf>
    <xf numFmtId="164" fontId="52" fillId="18" borderId="26" xfId="3" applyNumberFormat="1" applyFont="1" applyFill="1" applyBorder="1" applyAlignment="1">
      <alignment horizontal="center" vertical="center"/>
    </xf>
    <xf numFmtId="164" fontId="17" fillId="18" borderId="25" xfId="3" applyNumberFormat="1" applyFont="1" applyFill="1" applyBorder="1" applyAlignment="1">
      <alignment horizontal="center" vertical="center"/>
    </xf>
    <xf numFmtId="2" fontId="17" fillId="18" borderId="5" xfId="3" applyNumberFormat="1" applyFont="1" applyFill="1" applyBorder="1" applyAlignment="1">
      <alignment horizontal="center" vertical="center"/>
    </xf>
    <xf numFmtId="0" fontId="2" fillId="18" borderId="73" xfId="3" applyFill="1" applyBorder="1" applyAlignment="1">
      <alignment horizontal="center"/>
    </xf>
    <xf numFmtId="164" fontId="53" fillId="3" borderId="23" xfId="3" applyNumberFormat="1" applyFont="1" applyFill="1" applyBorder="1" applyAlignment="1">
      <alignment horizontal="center" vertical="center" wrapText="1"/>
    </xf>
    <xf numFmtId="2" fontId="9" fillId="18" borderId="5" xfId="3" applyNumberFormat="1" applyFont="1" applyFill="1" applyBorder="1" applyAlignment="1">
      <alignment horizontal="center" vertical="center"/>
    </xf>
    <xf numFmtId="164" fontId="128" fillId="18" borderId="9" xfId="3" applyNumberFormat="1" applyFont="1" applyFill="1" applyBorder="1" applyAlignment="1">
      <alignment horizontal="center" vertical="center"/>
    </xf>
    <xf numFmtId="164" fontId="128" fillId="18" borderId="6" xfId="3" applyNumberFormat="1" applyFont="1" applyFill="1" applyBorder="1" applyAlignment="1">
      <alignment horizontal="center" vertical="center"/>
    </xf>
    <xf numFmtId="0" fontId="49" fillId="18" borderId="76" xfId="3" applyFont="1" applyFill="1" applyBorder="1" applyAlignment="1">
      <alignment horizontal="right"/>
    </xf>
    <xf numFmtId="1" fontId="2" fillId="3" borderId="23" xfId="11" applyNumberFormat="1" applyFill="1" applyBorder="1" applyAlignment="1">
      <alignment horizontal="center" vertical="center"/>
    </xf>
    <xf numFmtId="164" fontId="2" fillId="3" borderId="6" xfId="11" applyNumberFormat="1" applyFill="1" applyBorder="1" applyAlignment="1">
      <alignment horizontal="center" vertical="center"/>
    </xf>
    <xf numFmtId="0" fontId="129" fillId="18" borderId="0" xfId="3" applyFont="1" applyFill="1"/>
    <xf numFmtId="2" fontId="9" fillId="18" borderId="0" xfId="3" applyNumberFormat="1" applyFont="1" applyFill="1" applyAlignment="1">
      <alignment horizontal="center" vertical="center"/>
    </xf>
    <xf numFmtId="0" fontId="1" fillId="0" borderId="76" xfId="3" applyFont="1" applyBorder="1" applyAlignment="1">
      <alignment horizontal="right"/>
    </xf>
    <xf numFmtId="2" fontId="52" fillId="18" borderId="25" xfId="3" applyNumberFormat="1" applyFont="1" applyFill="1" applyBorder="1" applyAlignment="1">
      <alignment horizontal="center" vertical="center"/>
    </xf>
    <xf numFmtId="0" fontId="52" fillId="18" borderId="5" xfId="3" applyFont="1" applyFill="1" applyBorder="1" applyAlignment="1">
      <alignment horizontal="center" vertical="center"/>
    </xf>
    <xf numFmtId="2" fontId="52" fillId="18" borderId="5" xfId="3" applyNumberFormat="1" applyFont="1" applyFill="1" applyBorder="1" applyAlignment="1">
      <alignment horizontal="center" vertical="center"/>
    </xf>
    <xf numFmtId="0" fontId="2" fillId="0" borderId="18" xfId="3" applyBorder="1" applyAlignment="1">
      <alignment horizontal="left"/>
    </xf>
    <xf numFmtId="0" fontId="2" fillId="0" borderId="19" xfId="3" applyBorder="1" applyAlignment="1">
      <alignment horizontal="left"/>
    </xf>
    <xf numFmtId="0" fontId="17" fillId="3" borderId="20" xfId="3" applyFont="1" applyFill="1" applyBorder="1" applyAlignment="1">
      <alignment horizontal="left" vertical="center"/>
    </xf>
    <xf numFmtId="0" fontId="17" fillId="3" borderId="0" xfId="3" applyFont="1" applyFill="1" applyAlignment="1">
      <alignment horizontal="left" vertical="center"/>
    </xf>
    <xf numFmtId="0" fontId="6" fillId="0" borderId="0" xfId="3" applyFont="1" applyAlignment="1">
      <alignment horizontal="left"/>
    </xf>
    <xf numFmtId="0" fontId="17" fillId="0" borderId="0" xfId="3" applyFont="1" applyAlignment="1">
      <alignment horizontal="left" vertical="center"/>
    </xf>
    <xf numFmtId="2" fontId="17" fillId="0" borderId="0" xfId="3" applyNumberFormat="1" applyFont="1" applyAlignment="1">
      <alignment horizontal="left" vertical="center"/>
    </xf>
    <xf numFmtId="0" fontId="52" fillId="3" borderId="0" xfId="3" applyFont="1" applyFill="1" applyAlignment="1">
      <alignment horizontal="left" vertical="center"/>
    </xf>
    <xf numFmtId="0" fontId="2" fillId="3" borderId="43" xfId="11" applyFill="1" applyBorder="1" applyAlignment="1">
      <alignment horizontal="center" vertical="center"/>
    </xf>
    <xf numFmtId="164" fontId="2" fillId="3" borderId="78" xfId="11" applyNumberFormat="1" applyFill="1" applyBorder="1" applyAlignment="1">
      <alignment horizontal="center" vertical="center"/>
    </xf>
    <xf numFmtId="2" fontId="2" fillId="3" borderId="78" xfId="11" applyNumberFormat="1" applyFill="1" applyBorder="1" applyAlignment="1">
      <alignment horizontal="center" vertical="center"/>
    </xf>
    <xf numFmtId="0" fontId="2" fillId="3" borderId="42" xfId="11" applyFill="1" applyBorder="1" applyAlignment="1">
      <alignment horizontal="center" vertical="center"/>
    </xf>
    <xf numFmtId="0" fontId="4" fillId="17" borderId="23" xfId="11" applyFont="1" applyFill="1" applyBorder="1"/>
    <xf numFmtId="0" fontId="4" fillId="17" borderId="7" xfId="11" applyFont="1" applyFill="1" applyBorder="1" applyAlignment="1">
      <alignment horizontal="center" vertical="center"/>
    </xf>
    <xf numFmtId="0" fontId="5" fillId="17" borderId="7" xfId="11" applyFont="1" applyFill="1" applyBorder="1" applyAlignment="1">
      <alignment horizontal="center" vertical="center"/>
    </xf>
    <xf numFmtId="0" fontId="5" fillId="17" borderId="7" xfId="11" applyFont="1" applyFill="1" applyBorder="1" applyAlignment="1">
      <alignment vertical="center"/>
    </xf>
    <xf numFmtId="0" fontId="5" fillId="17" borderId="9" xfId="11" applyFont="1" applyFill="1" applyBorder="1" applyAlignment="1">
      <alignment horizontal="left" vertical="center"/>
    </xf>
    <xf numFmtId="0" fontId="5" fillId="17" borderId="5" xfId="11" applyFont="1" applyFill="1" applyBorder="1" applyAlignment="1">
      <alignment vertical="center"/>
    </xf>
    <xf numFmtId="0" fontId="5" fillId="17" borderId="26" xfId="11" applyFont="1" applyFill="1" applyBorder="1" applyAlignment="1">
      <alignment horizontal="center" vertical="center"/>
    </xf>
    <xf numFmtId="0" fontId="43" fillId="0" borderId="25" xfId="11" applyFont="1" applyBorder="1" applyAlignment="1">
      <alignment horizontal="center" vertical="center"/>
    </xf>
    <xf numFmtId="0" fontId="43" fillId="0" borderId="6" xfId="11" applyFont="1" applyBorder="1"/>
    <xf numFmtId="0" fontId="43" fillId="0" borderId="7" xfId="11" applyFont="1" applyBorder="1" applyAlignment="1">
      <alignment horizontal="left"/>
    </xf>
    <xf numFmtId="0" fontId="43" fillId="0" borderId="7" xfId="11" applyFont="1" applyBorder="1"/>
    <xf numFmtId="0" fontId="43" fillId="0" borderId="24" xfId="11" applyFont="1" applyBorder="1"/>
    <xf numFmtId="0" fontId="5" fillId="17" borderId="5" xfId="11" applyFont="1" applyFill="1" applyBorder="1" applyAlignment="1">
      <alignment horizontal="right" vertical="center"/>
    </xf>
    <xf numFmtId="0" fontId="130" fillId="3" borderId="43" xfId="11" applyFont="1" applyFill="1" applyBorder="1"/>
    <xf numFmtId="0" fontId="130" fillId="3" borderId="70" xfId="11" applyFont="1" applyFill="1" applyBorder="1"/>
    <xf numFmtId="0" fontId="130" fillId="3" borderId="69" xfId="11" applyFont="1" applyFill="1" applyBorder="1"/>
    <xf numFmtId="0" fontId="4" fillId="3" borderId="0" xfId="11" applyFont="1" applyFill="1"/>
    <xf numFmtId="0" fontId="12" fillId="3" borderId="33" xfId="0" applyFont="1" applyFill="1" applyBorder="1" applyAlignment="1" applyProtection="1">
      <alignment horizontal="center" vertical="center" wrapText="1"/>
      <protection hidden="1"/>
    </xf>
    <xf numFmtId="0" fontId="12" fillId="3" borderId="33" xfId="0" applyFont="1" applyFill="1" applyBorder="1" applyAlignment="1" applyProtection="1">
      <alignment horizontal="center"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5" fillId="8" borderId="30" xfId="2" applyFont="1" applyFill="1" applyBorder="1" applyAlignment="1" applyProtection="1">
      <alignment horizontal="center"/>
      <protection hidden="1"/>
    </xf>
    <xf numFmtId="0" fontId="5" fillId="8" borderId="31" xfId="2" applyFont="1" applyFill="1" applyBorder="1" applyAlignment="1" applyProtection="1">
      <alignment horizontal="center"/>
      <protection hidden="1"/>
    </xf>
    <xf numFmtId="0" fontId="5" fillId="8" borderId="54" xfId="2" applyFont="1" applyFill="1" applyBorder="1" applyAlignment="1" applyProtection="1">
      <alignment horizontal="center"/>
      <protection hidden="1"/>
    </xf>
    <xf numFmtId="164" fontId="12" fillId="0" borderId="5" xfId="0" applyNumberFormat="1" applyFont="1" applyBorder="1" applyAlignment="1" applyProtection="1">
      <alignment horizontal="center" vertical="center"/>
      <protection hidden="1"/>
    </xf>
    <xf numFmtId="0" fontId="0" fillId="3" borderId="5" xfId="0" applyFill="1" applyBorder="1" applyAlignment="1">
      <alignment horizontal="center" vertical="center"/>
    </xf>
    <xf numFmtId="164" fontId="12" fillId="0" borderId="41" xfId="0" applyNumberFormat="1" applyFont="1" applyBorder="1" applyAlignment="1" applyProtection="1">
      <alignment horizontal="center" vertical="center"/>
      <protection hidden="1"/>
    </xf>
    <xf numFmtId="164" fontId="12" fillId="0" borderId="26" xfId="0" applyNumberFormat="1" applyFont="1" applyBorder="1" applyAlignment="1" applyProtection="1">
      <alignment horizontal="center" vertical="center"/>
      <protection hidden="1"/>
    </xf>
    <xf numFmtId="164" fontId="12" fillId="0" borderId="42" xfId="0" applyNumberFormat="1" applyFont="1" applyBorder="1" applyAlignment="1" applyProtection="1">
      <alignment horizontal="center" vertical="center"/>
      <protection hidden="1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41" xfId="0" applyNumberFormat="1" applyFill="1" applyBorder="1" applyAlignment="1">
      <alignment horizontal="center" vertical="center"/>
    </xf>
    <xf numFmtId="164" fontId="0" fillId="3" borderId="42" xfId="0" applyNumberFormat="1" applyFill="1" applyBorder="1" applyAlignment="1">
      <alignment horizontal="center" vertical="center"/>
    </xf>
    <xf numFmtId="0" fontId="41" fillId="3" borderId="5" xfId="0" applyFont="1" applyFill="1" applyBorder="1" applyAlignment="1" applyProtection="1">
      <alignment horizontal="center" vertical="center"/>
      <protection hidden="1"/>
    </xf>
    <xf numFmtId="0" fontId="12" fillId="3" borderId="38" xfId="0" applyFont="1" applyFill="1" applyBorder="1" applyAlignment="1" applyProtection="1">
      <alignment horizontal="center" vertical="center"/>
      <protection hidden="1"/>
    </xf>
    <xf numFmtId="0" fontId="12" fillId="3" borderId="37" xfId="0" applyFont="1" applyFill="1" applyBorder="1" applyAlignment="1" applyProtection="1">
      <alignment horizontal="center" vertical="center"/>
      <protection hidden="1"/>
    </xf>
    <xf numFmtId="0" fontId="12" fillId="3" borderId="0" xfId="0" applyFont="1" applyFill="1" applyBorder="1" applyAlignment="1" applyProtection="1">
      <alignment horizontal="center" vertical="center" wrapText="1"/>
      <protection hidden="1"/>
    </xf>
    <xf numFmtId="0" fontId="12" fillId="3" borderId="0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12" fillId="3" borderId="34" xfId="0" applyFont="1" applyFill="1" applyBorder="1" applyAlignment="1" applyProtection="1">
      <alignment horizontal="center" vertical="center" wrapText="1"/>
      <protection hidden="1"/>
    </xf>
    <xf numFmtId="0" fontId="41" fillId="3" borderId="25" xfId="0" applyFont="1" applyFill="1" applyBorder="1" applyAlignment="1" applyProtection="1">
      <alignment horizontal="center" vertical="center"/>
      <protection hidden="1"/>
    </xf>
    <xf numFmtId="0" fontId="12" fillId="3" borderId="39" xfId="0" applyFont="1" applyFill="1" applyBorder="1" applyAlignment="1" applyProtection="1">
      <alignment horizontal="center" vertical="center" wrapText="1"/>
      <protection hidden="1"/>
    </xf>
    <xf numFmtId="0" fontId="2" fillId="3" borderId="25" xfId="0" applyFont="1" applyFill="1" applyBorder="1" applyAlignment="1" applyProtection="1">
      <alignment horizontal="center" vertical="center"/>
      <protection hidden="1"/>
    </xf>
    <xf numFmtId="0" fontId="2" fillId="3" borderId="40" xfId="0" applyFont="1" applyFill="1" applyBorder="1" applyAlignment="1" applyProtection="1">
      <alignment horizontal="center" vertical="center"/>
      <protection hidden="1"/>
    </xf>
    <xf numFmtId="164" fontId="2" fillId="3" borderId="26" xfId="0" applyNumberFormat="1" applyFont="1" applyFill="1" applyBorder="1" applyAlignment="1" applyProtection="1">
      <alignment horizontal="center" vertical="center"/>
      <protection hidden="1"/>
    </xf>
    <xf numFmtId="164" fontId="2" fillId="3" borderId="41" xfId="0" applyNumberFormat="1" applyFont="1" applyFill="1" applyBorder="1" applyAlignment="1" applyProtection="1">
      <alignment horizontal="center" vertical="center"/>
      <protection hidden="1"/>
    </xf>
    <xf numFmtId="164" fontId="2" fillId="3" borderId="42" xfId="0" applyNumberFormat="1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horizontal="left"/>
      <protection hidden="1"/>
    </xf>
    <xf numFmtId="0" fontId="5" fillId="3" borderId="0" xfId="2" applyFont="1" applyFill="1" applyBorder="1" applyAlignment="1" applyProtection="1">
      <alignment horizontal="center"/>
      <protection hidden="1"/>
    </xf>
    <xf numFmtId="164" fontId="62" fillId="3" borderId="5" xfId="0" applyNumberFormat="1" applyFont="1" applyFill="1" applyBorder="1" applyAlignment="1" applyProtection="1">
      <alignment horizontal="center" vertical="center"/>
      <protection hidden="1"/>
    </xf>
    <xf numFmtId="1" fontId="62" fillId="3" borderId="5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0" fontId="5" fillId="0" borderId="0" xfId="0" applyNumberFormat="1" applyFont="1"/>
    <xf numFmtId="0" fontId="71" fillId="5" borderId="25" xfId="0" applyNumberFormat="1" applyFont="1" applyFill="1" applyBorder="1" applyAlignment="1">
      <alignment horizontal="center" vertical="center"/>
    </xf>
    <xf numFmtId="0" fontId="13" fillId="5" borderId="25" xfId="2" applyNumberFormat="1" applyFont="1" applyFill="1" applyBorder="1" applyAlignment="1">
      <alignment horizontal="center" vertical="center"/>
    </xf>
    <xf numFmtId="0" fontId="71" fillId="5" borderId="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 applyProtection="1">
      <alignment horizontal="center"/>
      <protection hidden="1"/>
    </xf>
    <xf numFmtId="0" fontId="5" fillId="3" borderId="25" xfId="0" applyNumberFormat="1" applyFont="1" applyFill="1" applyBorder="1" applyAlignment="1" applyProtection="1">
      <alignment horizontal="center"/>
      <protection hidden="1"/>
    </xf>
    <xf numFmtId="0" fontId="5" fillId="3" borderId="25" xfId="0" quotePrefix="1" applyNumberFormat="1" applyFont="1" applyFill="1" applyBorder="1" applyAlignment="1" applyProtection="1">
      <alignment horizontal="center"/>
      <protection hidden="1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NumberFormat="1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3" borderId="0" xfId="0" quotePrefix="1" applyNumberFormat="1" applyFont="1" applyFill="1" applyAlignment="1">
      <alignment horizontal="center" vertical="center"/>
    </xf>
    <xf numFmtId="0" fontId="5" fillId="3" borderId="18" xfId="0" applyNumberFormat="1" applyFont="1" applyFill="1" applyBorder="1"/>
    <xf numFmtId="0" fontId="5" fillId="3" borderId="0" xfId="0" applyNumberFormat="1" applyFont="1" applyFill="1"/>
    <xf numFmtId="0" fontId="5" fillId="0" borderId="18" xfId="0" applyNumberFormat="1" applyFont="1" applyBorder="1"/>
    <xf numFmtId="0" fontId="71" fillId="3" borderId="1" xfId="0" applyNumberFormat="1" applyFont="1" applyFill="1" applyBorder="1" applyAlignment="1">
      <alignment horizontal="center" vertical="center"/>
    </xf>
    <xf numFmtId="0" fontId="71" fillId="5" borderId="5" xfId="0" quotePrefix="1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 applyProtection="1">
      <alignment horizontal="center" vertical="center"/>
      <protection hidden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26" xfId="0" applyNumberFormat="1" applyFont="1" applyFill="1" applyBorder="1" applyAlignment="1">
      <alignment horizontal="center" vertical="center"/>
    </xf>
    <xf numFmtId="0" fontId="5" fillId="3" borderId="2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 applyProtection="1">
      <alignment horizontal="center" vertical="center"/>
      <protection hidden="1"/>
    </xf>
    <xf numFmtId="0" fontId="5" fillId="3" borderId="5" xfId="0" quotePrefix="1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center"/>
      <protection hidden="1"/>
    </xf>
    <xf numFmtId="0" fontId="5" fillId="3" borderId="1" xfId="0" applyNumberFormat="1" applyFont="1" applyFill="1" applyBorder="1" applyAlignment="1">
      <alignment horizontal="center" vertical="center"/>
    </xf>
    <xf numFmtId="0" fontId="71" fillId="5" borderId="25" xfId="0" applyNumberFormat="1" applyFont="1" applyFill="1" applyBorder="1" applyAlignment="1">
      <alignment horizontal="center" vertical="center" wrapText="1"/>
    </xf>
    <xf numFmtId="164" fontId="17" fillId="0" borderId="5" xfId="0" applyNumberFormat="1" applyFont="1" applyBorder="1" applyAlignment="1">
      <alignment horizontal="center" vertical="center"/>
    </xf>
    <xf numFmtId="183" fontId="85" fillId="3" borderId="3" xfId="0" applyNumberFormat="1" applyFont="1" applyFill="1" applyBorder="1" applyAlignment="1" applyProtection="1">
      <alignment horizontal="center" vertical="center" wrapText="1"/>
      <protection locked="0"/>
    </xf>
    <xf numFmtId="183" fontId="56" fillId="0" borderId="5" xfId="0" applyNumberFormat="1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>
      <alignment horizontal="center" vertical="center"/>
    </xf>
    <xf numFmtId="164" fontId="17" fillId="15" borderId="5" xfId="0" applyNumberFormat="1" applyFont="1" applyFill="1" applyBorder="1" applyAlignment="1">
      <alignment horizontal="center" vertical="center"/>
    </xf>
    <xf numFmtId="2" fontId="17" fillId="13" borderId="5" xfId="0" applyNumberFormat="1" applyFont="1" applyFill="1" applyBorder="1" applyAlignment="1">
      <alignment horizontal="center" vertical="center"/>
    </xf>
    <xf numFmtId="175" fontId="17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168" fontId="17" fillId="0" borderId="0" xfId="0" applyNumberFormat="1" applyFont="1" applyBorder="1" applyAlignment="1">
      <alignment horizontal="center" vertical="center"/>
    </xf>
    <xf numFmtId="183" fontId="0" fillId="5" borderId="5" xfId="0" applyNumberFormat="1" applyFill="1" applyBorder="1" applyAlignment="1">
      <alignment horizontal="center"/>
    </xf>
    <xf numFmtId="183" fontId="0" fillId="0" borderId="5" xfId="0" applyNumberFormat="1" applyBorder="1" applyAlignment="1">
      <alignment horizontal="center"/>
    </xf>
    <xf numFmtId="183" fontId="5" fillId="0" borderId="5" xfId="0" applyNumberFormat="1" applyFont="1" applyBorder="1" applyAlignment="1">
      <alignment horizontal="center" vertical="center"/>
    </xf>
    <xf numFmtId="183" fontId="0" fillId="3" borderId="5" xfId="0" applyNumberFormat="1" applyFill="1" applyBorder="1" applyAlignment="1">
      <alignment horizontal="center"/>
    </xf>
    <xf numFmtId="183" fontId="17" fillId="0" borderId="5" xfId="0" applyNumberFormat="1" applyFont="1" applyBorder="1" applyAlignment="1">
      <alignment horizontal="center" vertical="center"/>
    </xf>
    <xf numFmtId="183" fontId="46" fillId="3" borderId="3" xfId="0" applyNumberFormat="1" applyFont="1" applyFill="1" applyBorder="1" applyAlignment="1">
      <alignment horizontal="center" vertical="center" wrapText="1"/>
    </xf>
    <xf numFmtId="183" fontId="46" fillId="3" borderId="5" xfId="0" applyNumberFormat="1" applyFont="1" applyFill="1" applyBorder="1" applyAlignment="1">
      <alignment horizontal="center" vertical="center" wrapText="1"/>
    </xf>
    <xf numFmtId="0" fontId="7" fillId="19" borderId="44" xfId="11" quotePrefix="1" applyFont="1" applyFill="1" applyBorder="1" applyAlignment="1">
      <alignment horizontal="center" vertical="center"/>
    </xf>
    <xf numFmtId="0" fontId="7" fillId="19" borderId="45" xfId="11" quotePrefix="1" applyFont="1" applyFill="1" applyBorder="1" applyAlignment="1">
      <alignment horizontal="center" vertical="center"/>
    </xf>
    <xf numFmtId="0" fontId="7" fillId="19" borderId="46" xfId="11" quotePrefix="1" applyFont="1" applyFill="1" applyBorder="1" applyAlignment="1">
      <alignment horizontal="center" vertical="center"/>
    </xf>
    <xf numFmtId="0" fontId="43" fillId="0" borderId="35" xfId="11" applyFont="1" applyBorder="1" applyAlignment="1">
      <alignment horizontal="center"/>
    </xf>
    <xf numFmtId="0" fontId="43" fillId="0" borderId="36" xfId="11" applyFont="1" applyBorder="1" applyAlignment="1">
      <alignment horizontal="center"/>
    </xf>
    <xf numFmtId="0" fontId="43" fillId="0" borderId="67" xfId="11" applyFont="1" applyBorder="1" applyAlignment="1">
      <alignment horizontal="center"/>
    </xf>
    <xf numFmtId="0" fontId="41" fillId="17" borderId="43" xfId="11" applyFont="1" applyFill="1" applyBorder="1" applyAlignment="1">
      <alignment horizontal="center"/>
    </xf>
    <xf numFmtId="0" fontId="41" fillId="17" borderId="70" xfId="11" applyFont="1" applyFill="1" applyBorder="1" applyAlignment="1">
      <alignment horizontal="center"/>
    </xf>
    <xf numFmtId="0" fontId="41" fillId="17" borderId="69" xfId="11" applyFont="1" applyFill="1" applyBorder="1" applyAlignment="1">
      <alignment horizontal="center"/>
    </xf>
    <xf numFmtId="0" fontId="2" fillId="18" borderId="62" xfId="3" applyFill="1" applyBorder="1" applyAlignment="1">
      <alignment horizontal="center" wrapText="1"/>
    </xf>
    <xf numFmtId="0" fontId="2" fillId="18" borderId="63" xfId="3" applyFill="1" applyBorder="1" applyAlignment="1">
      <alignment horizontal="center" wrapText="1"/>
    </xf>
    <xf numFmtId="0" fontId="52" fillId="18" borderId="23" xfId="3" applyFont="1" applyFill="1" applyBorder="1" applyAlignment="1">
      <alignment horizontal="center" vertical="center" wrapText="1"/>
    </xf>
    <xf numFmtId="0" fontId="52" fillId="18" borderId="7" xfId="3" applyFont="1" applyFill="1" applyBorder="1" applyAlignment="1">
      <alignment horizontal="center" vertical="center" wrapText="1"/>
    </xf>
    <xf numFmtId="0" fontId="52" fillId="18" borderId="24" xfId="3" applyFont="1" applyFill="1" applyBorder="1" applyAlignment="1">
      <alignment horizontal="center" vertical="center" wrapText="1"/>
    </xf>
    <xf numFmtId="0" fontId="41" fillId="3" borderId="23" xfId="11" applyFont="1" applyFill="1" applyBorder="1" applyAlignment="1">
      <alignment horizontal="center" vertical="center"/>
    </xf>
    <xf numFmtId="0" fontId="41" fillId="3" borderId="7" xfId="11" applyFont="1" applyFill="1" applyBorder="1" applyAlignment="1">
      <alignment horizontal="center" vertical="center"/>
    </xf>
    <xf numFmtId="0" fontId="41" fillId="3" borderId="9" xfId="11" applyFont="1" applyFill="1" applyBorder="1" applyAlignment="1">
      <alignment horizontal="center" vertical="center"/>
    </xf>
    <xf numFmtId="0" fontId="113" fillId="3" borderId="0" xfId="3" applyFont="1" applyFill="1" applyAlignment="1">
      <alignment horizontal="left" wrapText="1"/>
    </xf>
    <xf numFmtId="0" fontId="90" fillId="3" borderId="0" xfId="3" applyFont="1" applyFill="1" applyAlignment="1">
      <alignment horizontal="center" vertical="center" wrapText="1"/>
    </xf>
    <xf numFmtId="0" fontId="127" fillId="3" borderId="62" xfId="11" applyFont="1" applyFill="1" applyBorder="1" applyAlignment="1">
      <alignment horizontal="center" vertical="center" wrapText="1"/>
    </xf>
    <xf numFmtId="0" fontId="127" fillId="3" borderId="47" xfId="11" applyFont="1" applyFill="1" applyBorder="1" applyAlignment="1">
      <alignment horizontal="center" vertical="center" wrapText="1"/>
    </xf>
    <xf numFmtId="0" fontId="127" fillId="3" borderId="63" xfId="11" applyFont="1" applyFill="1" applyBorder="1" applyAlignment="1">
      <alignment horizontal="center" vertical="center" wrapText="1"/>
    </xf>
    <xf numFmtId="0" fontId="41" fillId="18" borderId="34" xfId="3" applyFont="1" applyFill="1" applyBorder="1" applyAlignment="1">
      <alignment horizontal="center" vertical="center" wrapText="1"/>
    </xf>
    <xf numFmtId="0" fontId="41" fillId="18" borderId="27" xfId="3" applyFont="1" applyFill="1" applyBorder="1" applyAlignment="1">
      <alignment horizontal="center" vertical="center" wrapText="1"/>
    </xf>
    <xf numFmtId="0" fontId="41" fillId="18" borderId="68" xfId="3" applyFont="1" applyFill="1" applyBorder="1" applyAlignment="1">
      <alignment horizontal="center" vertical="center" wrapText="1"/>
    </xf>
    <xf numFmtId="0" fontId="17" fillId="18" borderId="23" xfId="3" applyFont="1" applyFill="1" applyBorder="1" applyAlignment="1">
      <alignment horizontal="center" vertical="center" wrapText="1"/>
    </xf>
    <xf numFmtId="0" fontId="17" fillId="18" borderId="7" xfId="3" applyFont="1" applyFill="1" applyBorder="1" applyAlignment="1">
      <alignment horizontal="center" vertical="center" wrapText="1"/>
    </xf>
    <xf numFmtId="0" fontId="17" fillId="18" borderId="24" xfId="3" applyFont="1" applyFill="1" applyBorder="1" applyAlignment="1">
      <alignment horizontal="center" vertical="center" wrapText="1"/>
    </xf>
    <xf numFmtId="0" fontId="12" fillId="16" borderId="6" xfId="3" applyFont="1" applyFill="1" applyBorder="1" applyAlignment="1" applyProtection="1">
      <alignment horizontal="center" vertical="center" wrapText="1"/>
      <protection locked="0"/>
    </xf>
    <xf numFmtId="0" fontId="12" fillId="16" borderId="7" xfId="3" applyFont="1" applyFill="1" applyBorder="1" applyAlignment="1" applyProtection="1">
      <alignment horizontal="center" vertical="center" wrapText="1"/>
      <protection locked="0"/>
    </xf>
    <xf numFmtId="0" fontId="12" fillId="16" borderId="9" xfId="3" applyFont="1" applyFill="1" applyBorder="1" applyAlignment="1" applyProtection="1">
      <alignment horizontal="center" vertical="center" wrapText="1"/>
      <protection locked="0"/>
    </xf>
    <xf numFmtId="0" fontId="12" fillId="3" borderId="35" xfId="11" applyFont="1" applyFill="1" applyBorder="1" applyAlignment="1">
      <alignment horizontal="center" vertical="center" wrapText="1"/>
    </xf>
    <xf numFmtId="0" fontId="12" fillId="3" borderId="36" xfId="11" applyFont="1" applyFill="1" applyBorder="1" applyAlignment="1">
      <alignment horizontal="center" vertical="center" wrapText="1"/>
    </xf>
    <xf numFmtId="0" fontId="12" fillId="3" borderId="67" xfId="11" applyFont="1" applyFill="1" applyBorder="1" applyAlignment="1">
      <alignment horizontal="center" vertical="center" wrapText="1"/>
    </xf>
    <xf numFmtId="0" fontId="12" fillId="3" borderId="23" xfId="11" applyFont="1" applyFill="1" applyBorder="1" applyAlignment="1">
      <alignment horizontal="center" vertical="center"/>
    </xf>
    <xf numFmtId="0" fontId="12" fillId="3" borderId="7" xfId="11" applyFont="1" applyFill="1" applyBorder="1" applyAlignment="1">
      <alignment horizontal="center" vertical="center"/>
    </xf>
    <xf numFmtId="0" fontId="12" fillId="3" borderId="24" xfId="11" applyFont="1" applyFill="1" applyBorder="1" applyAlignment="1">
      <alignment horizontal="center" vertical="center"/>
    </xf>
    <xf numFmtId="0" fontId="17" fillId="18" borderId="35" xfId="3" applyFont="1" applyFill="1" applyBorder="1" applyAlignment="1">
      <alignment horizontal="center" vertical="center"/>
    </xf>
    <xf numFmtId="0" fontId="17" fillId="18" borderId="36" xfId="3" applyFont="1" applyFill="1" applyBorder="1" applyAlignment="1">
      <alignment horizontal="center" vertical="center"/>
    </xf>
    <xf numFmtId="0" fontId="17" fillId="18" borderId="67" xfId="3" applyFont="1" applyFill="1" applyBorder="1" applyAlignment="1">
      <alignment horizontal="center" vertical="center"/>
    </xf>
    <xf numFmtId="0" fontId="70" fillId="18" borderId="51" xfId="3" applyFont="1" applyFill="1" applyBorder="1" applyAlignment="1">
      <alignment horizontal="center" vertical="center" wrapText="1"/>
    </xf>
    <xf numFmtId="0" fontId="70" fillId="18" borderId="52" xfId="3" applyFont="1" applyFill="1" applyBorder="1" applyAlignment="1">
      <alignment horizontal="center" vertical="center" wrapText="1"/>
    </xf>
    <xf numFmtId="0" fontId="70" fillId="18" borderId="53" xfId="3" applyFont="1" applyFill="1" applyBorder="1" applyAlignment="1">
      <alignment horizontal="center" vertical="center" wrapText="1"/>
    </xf>
    <xf numFmtId="0" fontId="70" fillId="18" borderId="33" xfId="3" applyFont="1" applyFill="1" applyBorder="1" applyAlignment="1">
      <alignment horizontal="center" vertical="center" wrapText="1"/>
    </xf>
    <xf numFmtId="0" fontId="70" fillId="18" borderId="1" xfId="3" applyFont="1" applyFill="1" applyBorder="1" applyAlignment="1">
      <alignment horizontal="center" vertical="center" wrapText="1"/>
    </xf>
    <xf numFmtId="0" fontId="70" fillId="18" borderId="66" xfId="3" applyFont="1" applyFill="1" applyBorder="1" applyAlignment="1">
      <alignment horizontal="center" vertical="center" wrapText="1"/>
    </xf>
    <xf numFmtId="0" fontId="12" fillId="16" borderId="13" xfId="3" applyFont="1" applyFill="1" applyBorder="1" applyAlignment="1" applyProtection="1">
      <alignment horizontal="center" vertical="center"/>
      <protection locked="0"/>
    </xf>
    <xf numFmtId="0" fontId="12" fillId="16" borderId="10" xfId="3" applyFont="1" applyFill="1" applyBorder="1" applyAlignment="1" applyProtection="1">
      <alignment horizontal="center" vertical="center"/>
      <protection locked="0"/>
    </xf>
    <xf numFmtId="0" fontId="12" fillId="16" borderId="14" xfId="3" applyFont="1" applyFill="1" applyBorder="1" applyAlignment="1" applyProtection="1">
      <alignment horizontal="center" vertical="center"/>
      <protection locked="0"/>
    </xf>
    <xf numFmtId="0" fontId="12" fillId="16" borderId="6" xfId="3" applyFont="1" applyFill="1" applyBorder="1" applyAlignment="1" applyProtection="1">
      <alignment horizontal="center" vertical="center"/>
      <protection locked="0"/>
    </xf>
    <xf numFmtId="0" fontId="12" fillId="16" borderId="7" xfId="3" applyFont="1" applyFill="1" applyBorder="1" applyAlignment="1" applyProtection="1">
      <alignment horizontal="center" vertical="center"/>
      <protection locked="0"/>
    </xf>
    <xf numFmtId="0" fontId="12" fillId="16" borderId="9" xfId="3" applyFont="1" applyFill="1" applyBorder="1" applyAlignment="1" applyProtection="1">
      <alignment horizontal="center" vertical="center"/>
      <protection locked="0"/>
    </xf>
    <xf numFmtId="0" fontId="76" fillId="16" borderId="3" xfId="3" applyFont="1" applyFill="1" applyBorder="1" applyAlignment="1" applyProtection="1">
      <alignment horizontal="center" vertical="center" wrapText="1"/>
      <protection locked="0"/>
    </xf>
    <xf numFmtId="0" fontId="76" fillId="16" borderId="1" xfId="3" applyFont="1" applyFill="1" applyBorder="1" applyAlignment="1" applyProtection="1">
      <alignment horizontal="center" vertical="center" wrapText="1"/>
      <protection locked="0"/>
    </xf>
    <xf numFmtId="0" fontId="76" fillId="16" borderId="4" xfId="3" applyFont="1" applyFill="1" applyBorder="1" applyAlignment="1" applyProtection="1">
      <alignment horizontal="center" vertical="center" wrapText="1"/>
      <protection locked="0"/>
    </xf>
    <xf numFmtId="0" fontId="41" fillId="16" borderId="5" xfId="3" applyFont="1" applyFill="1" applyBorder="1" applyAlignment="1" applyProtection="1">
      <alignment horizontal="center" vertical="center" wrapText="1"/>
      <protection locked="0"/>
    </xf>
    <xf numFmtId="0" fontId="89" fillId="16" borderId="5" xfId="3" applyFont="1" applyFill="1" applyBorder="1" applyAlignment="1" applyProtection="1">
      <alignment horizontal="center" vertical="center"/>
      <protection locked="0"/>
    </xf>
    <xf numFmtId="0" fontId="13" fillId="16" borderId="4" xfId="3" applyFont="1" applyFill="1" applyBorder="1" applyAlignment="1" applyProtection="1">
      <alignment horizontal="center"/>
      <protection locked="0"/>
    </xf>
    <xf numFmtId="0" fontId="13" fillId="16" borderId="5" xfId="3" applyFont="1" applyFill="1" applyBorder="1" applyAlignment="1" applyProtection="1">
      <alignment horizontal="center"/>
      <protection locked="0"/>
    </xf>
    <xf numFmtId="0" fontId="89" fillId="16" borderId="5" xfId="3" applyFont="1" applyFill="1" applyBorder="1" applyAlignment="1" applyProtection="1">
      <alignment horizontal="center" vertical="center" wrapText="1"/>
      <protection locked="0"/>
    </xf>
    <xf numFmtId="0" fontId="13" fillId="16" borderId="6" xfId="3" applyFont="1" applyFill="1" applyBorder="1" applyAlignment="1" applyProtection="1">
      <alignment horizontal="center" vertical="center"/>
      <protection locked="0"/>
    </xf>
    <xf numFmtId="0" fontId="13" fillId="16" borderId="7" xfId="3" applyFont="1" applyFill="1" applyBorder="1" applyAlignment="1" applyProtection="1">
      <alignment horizontal="center" vertical="center"/>
      <protection locked="0"/>
    </xf>
    <xf numFmtId="0" fontId="13" fillId="16" borderId="9" xfId="3" applyFont="1" applyFill="1" applyBorder="1" applyAlignment="1" applyProtection="1">
      <alignment horizontal="center" vertical="center"/>
      <protection locked="0"/>
    </xf>
    <xf numFmtId="0" fontId="126" fillId="3" borderId="18" xfId="3" applyFont="1" applyFill="1" applyBorder="1" applyAlignment="1">
      <alignment horizontal="center" vertical="center"/>
    </xf>
    <xf numFmtId="0" fontId="126" fillId="3" borderId="0" xfId="3" applyFont="1" applyFill="1" applyAlignment="1">
      <alignment horizontal="center" vertical="center"/>
    </xf>
    <xf numFmtId="0" fontId="126" fillId="3" borderId="19" xfId="3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2" fontId="27" fillId="0" borderId="3" xfId="0" applyNumberFormat="1" applyFont="1" applyBorder="1" applyAlignment="1">
      <alignment horizontal="center" vertical="center" wrapText="1"/>
    </xf>
    <xf numFmtId="2" fontId="27" fillId="0" borderId="4" xfId="0" applyNumberFormat="1" applyFont="1" applyBorder="1" applyAlignment="1">
      <alignment horizontal="center" vertical="center" wrapText="1"/>
    </xf>
    <xf numFmtId="0" fontId="27" fillId="0" borderId="3" xfId="0" quotePrefix="1" applyFont="1" applyBorder="1" applyAlignment="1">
      <alignment horizontal="center" vertical="center" wrapText="1"/>
    </xf>
    <xf numFmtId="0" fontId="27" fillId="0" borderId="4" xfId="0" quotePrefix="1" applyFont="1" applyBorder="1" applyAlignment="1">
      <alignment horizontal="center" vertical="center" wrapText="1"/>
    </xf>
    <xf numFmtId="0" fontId="27" fillId="0" borderId="3" xfId="0" quotePrefix="1" applyFont="1" applyBorder="1" applyAlignment="1">
      <alignment horizontal="center" vertical="center"/>
    </xf>
    <xf numFmtId="0" fontId="27" fillId="0" borderId="4" xfId="0" quotePrefix="1" applyFont="1" applyBorder="1" applyAlignment="1">
      <alignment horizontal="center" vertical="center"/>
    </xf>
    <xf numFmtId="0" fontId="27" fillId="0" borderId="1" xfId="0" quotePrefix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68" fontId="27" fillId="0" borderId="0" xfId="0" applyNumberFormat="1" applyFont="1" applyAlignment="1">
      <alignment horizontal="center" vertical="center"/>
    </xf>
    <xf numFmtId="1" fontId="27" fillId="0" borderId="49" xfId="0" applyNumberFormat="1" applyFont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5" xfId="0" quotePrefix="1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9" fontId="39" fillId="0" borderId="5" xfId="0" applyNumberFormat="1" applyFont="1" applyBorder="1" applyAlignment="1">
      <alignment horizontal="center" vertical="center" wrapText="1"/>
    </xf>
    <xf numFmtId="9" fontId="28" fillId="0" borderId="5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3" xfId="0" quotePrefix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49" fillId="0" borderId="5" xfId="2" applyFont="1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44" fillId="7" borderId="5" xfId="2" applyFont="1" applyFill="1" applyBorder="1" applyAlignment="1">
      <alignment horizontal="center"/>
    </xf>
    <xf numFmtId="0" fontId="12" fillId="0" borderId="73" xfId="0" applyFont="1" applyBorder="1" applyAlignment="1" applyProtection="1">
      <alignment horizontal="center" vertical="center"/>
      <protection hidden="1"/>
    </xf>
    <xf numFmtId="0" fontId="62" fillId="9" borderId="6" xfId="0" applyFont="1" applyFill="1" applyBorder="1" applyAlignment="1">
      <alignment horizontal="center" wrapText="1"/>
    </xf>
    <xf numFmtId="0" fontId="62" fillId="9" borderId="7" xfId="0" applyFont="1" applyFill="1" applyBorder="1" applyAlignment="1">
      <alignment horizontal="center" wrapText="1"/>
    </xf>
    <xf numFmtId="0" fontId="62" fillId="9" borderId="9" xfId="0" applyFont="1" applyFill="1" applyBorder="1" applyAlignment="1">
      <alignment horizontal="center" wrapText="1"/>
    </xf>
    <xf numFmtId="0" fontId="62" fillId="0" borderId="6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9" borderId="6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44" fillId="7" borderId="25" xfId="2" applyFont="1" applyFill="1" applyBorder="1" applyAlignment="1">
      <alignment horizontal="center"/>
    </xf>
    <xf numFmtId="0" fontId="44" fillId="7" borderId="5" xfId="2" applyFont="1" applyFill="1" applyBorder="1" applyAlignment="1">
      <alignment horizontal="center" vertical="center"/>
    </xf>
    <xf numFmtId="0" fontId="5" fillId="8" borderId="51" xfId="2" applyFont="1" applyFill="1" applyBorder="1" applyAlignment="1" applyProtection="1">
      <alignment horizontal="center" vertical="center" wrapText="1"/>
      <protection hidden="1"/>
    </xf>
    <xf numFmtId="0" fontId="5" fillId="8" borderId="33" xfId="2" applyFont="1" applyFill="1" applyBorder="1" applyAlignment="1" applyProtection="1">
      <alignment horizontal="center" vertical="center" wrapText="1"/>
      <protection hidden="1"/>
    </xf>
    <xf numFmtId="0" fontId="5" fillId="8" borderId="34" xfId="2" applyFont="1" applyFill="1" applyBorder="1" applyAlignment="1" applyProtection="1">
      <alignment horizontal="center" vertical="center" wrapText="1"/>
      <protection hidden="1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6" fillId="3" borderId="21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2" fillId="9" borderId="38" xfId="0" applyFont="1" applyFill="1" applyBorder="1" applyAlignment="1">
      <alignment horizontal="center"/>
    </xf>
    <xf numFmtId="0" fontId="0" fillId="9" borderId="67" xfId="0" applyFill="1" applyBorder="1" applyAlignment="1">
      <alignment horizontal="center"/>
    </xf>
    <xf numFmtId="1" fontId="12" fillId="0" borderId="43" xfId="0" applyNumberFormat="1" applyFont="1" applyBorder="1" applyAlignment="1" applyProtection="1">
      <alignment horizontal="center" vertical="center"/>
      <protection hidden="1"/>
    </xf>
    <xf numFmtId="1" fontId="12" fillId="0" borderId="72" xfId="0" applyNumberFormat="1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/>
    </xf>
    <xf numFmtId="0" fontId="12" fillId="0" borderId="13" xfId="0" applyFont="1" applyBorder="1" applyAlignment="1" applyProtection="1">
      <alignment horizontal="center" vertical="center"/>
      <protection hidden="1"/>
    </xf>
    <xf numFmtId="0" fontId="12" fillId="0" borderId="14" xfId="0" applyFont="1" applyBorder="1" applyAlignment="1" applyProtection="1">
      <alignment horizontal="center" vertical="center"/>
      <protection hidden="1"/>
    </xf>
    <xf numFmtId="0" fontId="45" fillId="8" borderId="30" xfId="2" applyFont="1" applyFill="1" applyBorder="1" applyAlignment="1" applyProtection="1">
      <alignment horizontal="center"/>
      <protection hidden="1"/>
    </xf>
    <xf numFmtId="0" fontId="45" fillId="8" borderId="31" xfId="2" applyFont="1" applyFill="1" applyBorder="1" applyAlignment="1" applyProtection="1">
      <alignment horizontal="center"/>
      <protection hidden="1"/>
    </xf>
    <xf numFmtId="0" fontId="45" fillId="8" borderId="54" xfId="2" applyFont="1" applyFill="1" applyBorder="1" applyAlignment="1" applyProtection="1">
      <alignment horizont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 wrapText="1"/>
      <protection hidden="1"/>
    </xf>
    <xf numFmtId="0" fontId="12" fillId="0" borderId="39" xfId="0" applyFont="1" applyBorder="1" applyAlignment="1" applyProtection="1">
      <alignment horizontal="center" vertical="center" wrapText="1"/>
      <protection hidden="1"/>
    </xf>
    <xf numFmtId="1" fontId="12" fillId="0" borderId="23" xfId="0" applyNumberFormat="1" applyFont="1" applyBorder="1" applyAlignment="1" applyProtection="1">
      <alignment horizontal="center" vertical="center"/>
      <protection hidden="1"/>
    </xf>
    <xf numFmtId="1" fontId="12" fillId="0" borderId="9" xfId="0" applyNumberFormat="1" applyFont="1" applyBorder="1" applyAlignment="1" applyProtection="1">
      <alignment horizontal="center" vertical="center"/>
      <protection hidden="1"/>
    </xf>
    <xf numFmtId="0" fontId="101" fillId="3" borderId="0" xfId="0" applyFont="1" applyFill="1" applyAlignment="1">
      <alignment horizontal="center"/>
    </xf>
    <xf numFmtId="0" fontId="12" fillId="0" borderId="28" xfId="0" applyFont="1" applyBorder="1" applyAlignment="1" applyProtection="1">
      <alignment horizontal="center" vertical="center" wrapText="1"/>
      <protection hidden="1"/>
    </xf>
    <xf numFmtId="0" fontId="12" fillId="0" borderId="2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 wrapText="1"/>
      <protection hidden="1"/>
    </xf>
    <xf numFmtId="0" fontId="12" fillId="0" borderId="37" xfId="0" applyFont="1" applyBorder="1" applyAlignment="1" applyProtection="1">
      <alignment horizontal="center" vertical="center" wrapText="1"/>
      <protection hidden="1"/>
    </xf>
    <xf numFmtId="0" fontId="12" fillId="0" borderId="38" xfId="0" applyFont="1" applyBorder="1" applyAlignment="1" applyProtection="1">
      <alignment horizontal="center" vertical="center"/>
      <protection hidden="1"/>
    </xf>
    <xf numFmtId="0" fontId="12" fillId="0" borderId="37" xfId="0" applyFont="1" applyBorder="1" applyAlignment="1" applyProtection="1">
      <alignment horizontal="center" vertical="center"/>
      <protection hidden="1"/>
    </xf>
    <xf numFmtId="0" fontId="12" fillId="14" borderId="5" xfId="0" applyFont="1" applyFill="1" applyBorder="1" applyAlignment="1">
      <alignment horizontal="center" vertical="center"/>
    </xf>
    <xf numFmtId="0" fontId="7" fillId="14" borderId="6" xfId="2" applyFont="1" applyFill="1" applyBorder="1" applyAlignment="1">
      <alignment horizontal="center"/>
    </xf>
    <xf numFmtId="0" fontId="7" fillId="14" borderId="7" xfId="2" applyFont="1" applyFill="1" applyBorder="1" applyAlignment="1">
      <alignment horizontal="center"/>
    </xf>
    <xf numFmtId="0" fontId="7" fillId="14" borderId="9" xfId="2" applyFont="1" applyFill="1" applyBorder="1" applyAlignment="1">
      <alignment horizontal="center"/>
    </xf>
    <xf numFmtId="0" fontId="44" fillId="14" borderId="5" xfId="2" applyFont="1" applyFill="1" applyBorder="1" applyAlignment="1">
      <alignment horizontal="center"/>
    </xf>
    <xf numFmtId="0" fontId="44" fillId="14" borderId="5" xfId="2" applyFont="1" applyFill="1" applyBorder="1" applyAlignment="1">
      <alignment horizontal="center" vertical="center"/>
    </xf>
    <xf numFmtId="0" fontId="98" fillId="13" borderId="0" xfId="0" applyFont="1" applyFill="1" applyAlignment="1">
      <alignment horizontal="center" vertical="center" textRotation="255"/>
    </xf>
    <xf numFmtId="0" fontId="6" fillId="0" borderId="5" xfId="0" applyFont="1" applyBorder="1" applyAlignment="1">
      <alignment horizontal="center"/>
    </xf>
    <xf numFmtId="0" fontId="47" fillId="0" borderId="5" xfId="0" applyFont="1" applyBorder="1" applyAlignment="1" applyProtection="1">
      <alignment horizontal="center" vertical="center"/>
      <protection locked="0"/>
    </xf>
    <xf numFmtId="0" fontId="47" fillId="0" borderId="5" xfId="0" applyFont="1" applyBorder="1" applyAlignment="1" applyProtection="1">
      <alignment horizontal="center" vertical="center" wrapText="1"/>
      <protection locked="0"/>
    </xf>
    <xf numFmtId="0" fontId="47" fillId="0" borderId="2" xfId="1" applyFont="1" applyBorder="1" applyAlignment="1" applyProtection="1">
      <alignment horizontal="center" vertical="center"/>
      <protection locked="0"/>
    </xf>
    <xf numFmtId="0" fontId="44" fillId="3" borderId="0" xfId="2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3" fillId="5" borderId="25" xfId="2" applyNumberFormat="1" applyFont="1" applyFill="1" applyBorder="1" applyAlignment="1">
      <alignment horizontal="center" wrapText="1"/>
    </xf>
    <xf numFmtId="0" fontId="13" fillId="5" borderId="5" xfId="2" applyNumberFormat="1" applyFont="1" applyFill="1" applyBorder="1" applyAlignment="1">
      <alignment horizontal="center" wrapText="1"/>
    </xf>
    <xf numFmtId="0" fontId="71" fillId="5" borderId="5" xfId="0" applyNumberFormat="1" applyFont="1" applyFill="1" applyBorder="1" applyAlignment="1">
      <alignment horizontal="center" vertical="center"/>
    </xf>
    <xf numFmtId="0" fontId="71" fillId="5" borderId="5" xfId="0" applyNumberFormat="1" applyFont="1" applyFill="1" applyBorder="1" applyAlignment="1">
      <alignment horizontal="center" vertical="center" wrapText="1"/>
    </xf>
    <xf numFmtId="0" fontId="41" fillId="9" borderId="15" xfId="0" applyFont="1" applyFill="1" applyBorder="1" applyAlignment="1">
      <alignment horizontal="center" vertical="center"/>
    </xf>
    <xf numFmtId="0" fontId="41" fillId="9" borderId="16" xfId="0" applyFont="1" applyFill="1" applyBorder="1" applyAlignment="1">
      <alignment horizontal="center" vertical="center"/>
    </xf>
    <xf numFmtId="0" fontId="41" fillId="9" borderId="17" xfId="0" applyFont="1" applyFill="1" applyBorder="1" applyAlignment="1">
      <alignment horizontal="center" vertical="center"/>
    </xf>
    <xf numFmtId="0" fontId="104" fillId="5" borderId="0" xfId="0" applyFont="1" applyFill="1" applyAlignment="1">
      <alignment horizontal="center"/>
    </xf>
    <xf numFmtId="0" fontId="7" fillId="5" borderId="23" xfId="2" applyNumberFormat="1" applyFont="1" applyFill="1" applyBorder="1" applyAlignment="1">
      <alignment horizontal="center"/>
    </xf>
    <xf numFmtId="0" fontId="7" fillId="5" borderId="7" xfId="2" applyNumberFormat="1" applyFont="1" applyFill="1" applyBorder="1" applyAlignment="1">
      <alignment horizontal="center"/>
    </xf>
    <xf numFmtId="0" fontId="7" fillId="5" borderId="9" xfId="2" applyNumberFormat="1" applyFont="1" applyFill="1" applyBorder="1" applyAlignment="1">
      <alignment horizontal="center"/>
    </xf>
    <xf numFmtId="0" fontId="13" fillId="5" borderId="5" xfId="2" applyNumberFormat="1" applyFont="1" applyFill="1" applyBorder="1" applyAlignment="1">
      <alignment horizontal="center"/>
    </xf>
    <xf numFmtId="0" fontId="13" fillId="5" borderId="25" xfId="2" applyNumberFormat="1" applyFont="1" applyFill="1" applyBorder="1" applyAlignment="1">
      <alignment horizontal="center"/>
    </xf>
    <xf numFmtId="0" fontId="13" fillId="5" borderId="5" xfId="2" applyNumberFormat="1" applyFont="1" applyFill="1" applyBorder="1" applyAlignment="1">
      <alignment horizontal="center" vertical="center"/>
    </xf>
    <xf numFmtId="0" fontId="7" fillId="5" borderId="6" xfId="2" applyNumberFormat="1" applyFont="1" applyFill="1" applyBorder="1" applyAlignment="1">
      <alignment horizontal="center"/>
    </xf>
    <xf numFmtId="0" fontId="72" fillId="0" borderId="30" xfId="0" applyFont="1" applyBorder="1" applyAlignment="1">
      <alignment horizontal="center" vertical="center"/>
    </xf>
    <xf numFmtId="0" fontId="72" fillId="0" borderId="31" xfId="0" applyFont="1" applyBorder="1" applyAlignment="1">
      <alignment horizontal="center" vertical="center"/>
    </xf>
    <xf numFmtId="0" fontId="72" fillId="0" borderId="54" xfId="0" applyFont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 wrapText="1"/>
      <protection hidden="1"/>
    </xf>
    <xf numFmtId="0" fontId="12" fillId="3" borderId="4" xfId="0" applyFont="1" applyFill="1" applyBorder="1" applyAlignment="1" applyProtection="1">
      <alignment horizontal="center" vertical="center" wrapText="1"/>
      <protection hidden="1"/>
    </xf>
    <xf numFmtId="0" fontId="5" fillId="8" borderId="30" xfId="2" applyFont="1" applyFill="1" applyBorder="1" applyAlignment="1" applyProtection="1">
      <alignment horizontal="center"/>
      <protection hidden="1"/>
    </xf>
    <xf numFmtId="0" fontId="5" fillId="8" borderId="31" xfId="2" applyFont="1" applyFill="1" applyBorder="1" applyAlignment="1" applyProtection="1">
      <alignment horizontal="center"/>
      <protection hidden="1"/>
    </xf>
    <xf numFmtId="0" fontId="5" fillId="8" borderId="54" xfId="2" applyFont="1" applyFill="1" applyBorder="1" applyAlignment="1" applyProtection="1">
      <alignment horizont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horizontal="left" vertical="center" wrapText="1"/>
      <protection locked="0"/>
    </xf>
    <xf numFmtId="0" fontId="47" fillId="0" borderId="3" xfId="0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 wrapText="1"/>
      <protection locked="0"/>
    </xf>
    <xf numFmtId="0" fontId="46" fillId="3" borderId="0" xfId="0" applyFont="1" applyFill="1" applyAlignment="1" applyProtection="1">
      <alignment vertical="center"/>
      <protection locked="0"/>
    </xf>
    <xf numFmtId="0" fontId="46" fillId="0" borderId="3" xfId="0" applyFont="1" applyBorder="1" applyAlignment="1" applyProtection="1">
      <alignment horizontal="center" vertical="center" wrapText="1"/>
      <protection locked="0"/>
    </xf>
    <xf numFmtId="0" fontId="46" fillId="0" borderId="4" xfId="0" applyFont="1" applyBorder="1" applyAlignment="1" applyProtection="1">
      <alignment horizontal="center" vertical="center" wrapText="1"/>
      <protection locked="0"/>
    </xf>
    <xf numFmtId="0" fontId="47" fillId="0" borderId="3" xfId="1" applyFont="1" applyBorder="1" applyAlignment="1" applyProtection="1">
      <alignment horizontal="center" vertical="center"/>
      <protection locked="0"/>
    </xf>
    <xf numFmtId="0" fontId="47" fillId="0" borderId="4" xfId="1" applyFont="1" applyBorder="1" applyAlignment="1" applyProtection="1">
      <alignment horizontal="center" vertical="center"/>
      <protection locked="0"/>
    </xf>
    <xf numFmtId="0" fontId="85" fillId="3" borderId="6" xfId="1" applyFont="1" applyFill="1" applyBorder="1" applyAlignment="1" applyProtection="1">
      <alignment horizontal="left" vertical="center"/>
      <protection locked="0"/>
    </xf>
    <xf numFmtId="0" fontId="85" fillId="3" borderId="7" xfId="1" applyFont="1" applyFill="1" applyBorder="1" applyAlignment="1" applyProtection="1">
      <alignment horizontal="left" vertical="center"/>
      <protection locked="0"/>
    </xf>
    <xf numFmtId="0" fontId="85" fillId="3" borderId="9" xfId="1" applyFont="1" applyFill="1" applyBorder="1" applyAlignment="1" applyProtection="1">
      <alignment horizontal="left" vertical="center"/>
      <protection locked="0"/>
    </xf>
    <xf numFmtId="0" fontId="61" fillId="0" borderId="0" xfId="0" applyFont="1" applyAlignment="1" applyProtection="1">
      <alignment horizontal="center" vertical="center" wrapText="1"/>
      <protection locked="0"/>
    </xf>
    <xf numFmtId="0" fontId="85" fillId="3" borderId="6" xfId="0" applyFont="1" applyFill="1" applyBorder="1" applyAlignment="1" applyProtection="1">
      <alignment horizontal="center" vertical="center"/>
      <protection locked="0"/>
    </xf>
    <xf numFmtId="0" fontId="85" fillId="3" borderId="9" xfId="0" applyFont="1" applyFill="1" applyBorder="1" applyAlignment="1" applyProtection="1">
      <alignment horizontal="center" vertical="center"/>
      <protection locked="0"/>
    </xf>
    <xf numFmtId="0" fontId="47" fillId="2" borderId="6" xfId="0" applyFont="1" applyFill="1" applyBorder="1" applyAlignment="1" applyProtection="1">
      <alignment horizontal="center" vertical="center"/>
      <protection locked="0"/>
    </xf>
    <xf numFmtId="0" fontId="47" fillId="2" borderId="9" xfId="0" applyFont="1" applyFill="1" applyBorder="1" applyAlignment="1" applyProtection="1">
      <alignment horizontal="center" vertical="center"/>
      <protection locked="0"/>
    </xf>
    <xf numFmtId="0" fontId="46" fillId="0" borderId="3" xfId="0" quotePrefix="1" applyFont="1" applyBorder="1" applyAlignment="1" applyProtection="1">
      <alignment horizontal="center" vertical="center"/>
      <protection locked="0"/>
    </xf>
    <xf numFmtId="0" fontId="46" fillId="0" borderId="4" xfId="0" quotePrefix="1" applyFont="1" applyBorder="1" applyAlignment="1" applyProtection="1">
      <alignment horizontal="center" vertical="center"/>
      <protection locked="0"/>
    </xf>
    <xf numFmtId="0" fontId="47" fillId="0" borderId="3" xfId="0" applyFont="1" applyBorder="1" applyAlignment="1" applyProtection="1">
      <alignment horizontal="center" vertical="center"/>
      <protection locked="0"/>
    </xf>
    <xf numFmtId="0" fontId="47" fillId="0" borderId="4" xfId="0" applyFont="1" applyBorder="1" applyAlignment="1" applyProtection="1">
      <alignment horizontal="center" vertical="center"/>
      <protection locked="0"/>
    </xf>
    <xf numFmtId="0" fontId="85" fillId="3" borderId="0" xfId="0" quotePrefix="1" applyFont="1" applyFill="1" applyAlignment="1" applyProtection="1">
      <alignment horizontal="left" vertical="center"/>
      <protection locked="0"/>
    </xf>
    <xf numFmtId="0" fontId="47" fillId="0" borderId="6" xfId="0" applyFont="1" applyBorder="1" applyAlignment="1" applyProtection="1">
      <alignment horizontal="center" vertical="center"/>
      <protection locked="0"/>
    </xf>
    <xf numFmtId="0" fontId="47" fillId="0" borderId="7" xfId="0" applyFont="1" applyBorder="1" applyAlignment="1" applyProtection="1">
      <alignment horizontal="center" vertical="center"/>
      <protection locked="0"/>
    </xf>
    <xf numFmtId="0" fontId="47" fillId="0" borderId="9" xfId="0" applyFont="1" applyBorder="1" applyAlignment="1" applyProtection="1">
      <alignment horizontal="center" vertical="center"/>
      <protection locked="0"/>
    </xf>
    <xf numFmtId="0" fontId="46" fillId="2" borderId="0" xfId="0" applyFont="1" applyFill="1" applyAlignment="1" applyProtection="1">
      <alignment horizontal="left" vertical="center" wrapText="1"/>
      <protection hidden="1"/>
    </xf>
    <xf numFmtId="0" fontId="85" fillId="3" borderId="0" xfId="0" applyFont="1" applyFill="1" applyAlignment="1" applyProtection="1">
      <alignment horizontal="left" vertical="center"/>
      <protection locked="0"/>
    </xf>
    <xf numFmtId="0" fontId="46" fillId="0" borderId="0" xfId="0" applyFont="1" applyAlignment="1" applyProtection="1">
      <alignment horizontal="left" vertical="center"/>
      <protection locked="0"/>
    </xf>
    <xf numFmtId="0" fontId="46" fillId="0" borderId="5" xfId="0" applyFont="1" applyBorder="1" applyAlignment="1">
      <alignment horizontal="center" vertical="center"/>
    </xf>
    <xf numFmtId="0" fontId="47" fillId="3" borderId="10" xfId="0" applyFont="1" applyFill="1" applyBorder="1" applyAlignment="1" applyProtection="1">
      <alignment horizontal="left" vertical="center"/>
      <protection locked="0"/>
    </xf>
    <xf numFmtId="164" fontId="46" fillId="0" borderId="5" xfId="0" applyNumberFormat="1" applyFont="1" applyBorder="1" applyAlignment="1" applyProtection="1">
      <alignment horizontal="center" vertical="center"/>
      <protection hidden="1"/>
    </xf>
    <xf numFmtId="0" fontId="47" fillId="0" borderId="6" xfId="0" applyFont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>
      <alignment horizontal="center" vertical="center"/>
    </xf>
    <xf numFmtId="0" fontId="85" fillId="3" borderId="6" xfId="0" applyFont="1" applyFill="1" applyBorder="1" applyAlignment="1" applyProtection="1">
      <alignment horizontal="left" vertical="center"/>
      <protection locked="0"/>
    </xf>
    <xf numFmtId="0" fontId="85" fillId="3" borderId="7" xfId="0" applyFont="1" applyFill="1" applyBorder="1" applyAlignment="1" applyProtection="1">
      <alignment horizontal="left" vertical="center"/>
      <protection locked="0"/>
    </xf>
    <xf numFmtId="0" fontId="85" fillId="3" borderId="9" xfId="0" applyFont="1" applyFill="1" applyBorder="1" applyAlignment="1" applyProtection="1">
      <alignment horizontal="left" vertical="center"/>
      <protection locked="0"/>
    </xf>
    <xf numFmtId="0" fontId="46" fillId="0" borderId="3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164" fontId="85" fillId="3" borderId="6" xfId="0" applyNumberFormat="1" applyFont="1" applyFill="1" applyBorder="1" applyAlignment="1" applyProtection="1">
      <alignment horizontal="center" vertical="center"/>
      <protection locked="0"/>
    </xf>
    <xf numFmtId="164" fontId="85" fillId="3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6" xfId="10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119" fillId="0" borderId="0" xfId="10" applyFont="1" applyAlignment="1" applyProtection="1">
      <alignment horizontal="center" vertical="center"/>
      <protection locked="0"/>
    </xf>
    <xf numFmtId="176" fontId="121" fillId="0" borderId="0" xfId="10" quotePrefix="1" applyNumberFormat="1" applyFont="1" applyAlignment="1" applyProtection="1">
      <alignment horizontal="center" vertical="center"/>
      <protection locked="0"/>
    </xf>
    <xf numFmtId="176" fontId="121" fillId="0" borderId="0" xfId="10" applyNumberFormat="1" applyFont="1" applyAlignment="1" applyProtection="1">
      <alignment horizontal="center" vertical="center"/>
      <protection locked="0"/>
    </xf>
    <xf numFmtId="0" fontId="7" fillId="0" borderId="0" xfId="10" applyFont="1" applyAlignment="1">
      <alignment horizontal="center"/>
    </xf>
    <xf numFmtId="0" fontId="37" fillId="0" borderId="0" xfId="10" applyFont="1" applyAlignment="1">
      <alignment horizontal="right" vertical="center"/>
    </xf>
    <xf numFmtId="0" fontId="118" fillId="0" borderId="0" xfId="10" applyFont="1" applyAlignment="1">
      <alignment horizontal="center"/>
    </xf>
    <xf numFmtId="0" fontId="121" fillId="0" borderId="0" xfId="10" quotePrefix="1" applyFont="1" applyAlignment="1" applyProtection="1">
      <alignment horizontal="left"/>
      <protection locked="0"/>
    </xf>
    <xf numFmtId="0" fontId="7" fillId="0" borderId="0" xfId="10" applyFont="1" applyAlignment="1">
      <alignment horizontal="left" vertical="center" wrapText="1"/>
    </xf>
    <xf numFmtId="1" fontId="7" fillId="0" borderId="0" xfId="10" applyNumberFormat="1" applyFont="1" applyAlignment="1">
      <alignment horizontal="left" vertical="center" wrapText="1"/>
    </xf>
    <xf numFmtId="0" fontId="122" fillId="0" borderId="0" xfId="10" quotePrefix="1" applyFont="1" applyAlignment="1" applyProtection="1">
      <alignment horizontal="left" vertical="center" wrapText="1"/>
      <protection locked="0"/>
    </xf>
    <xf numFmtId="11" fontId="121" fillId="0" borderId="0" xfId="10" quotePrefix="1" applyNumberFormat="1" applyFont="1" applyAlignment="1" applyProtection="1">
      <alignment horizontal="left"/>
      <protection locked="0"/>
    </xf>
    <xf numFmtId="0" fontId="121" fillId="0" borderId="0" xfId="10" applyFont="1" applyAlignment="1" applyProtection="1">
      <alignment horizontal="left"/>
      <protection locked="0"/>
    </xf>
    <xf numFmtId="0" fontId="7" fillId="0" borderId="0" xfId="10" applyFont="1" applyAlignment="1" applyProtection="1">
      <alignment horizontal="left" vertical="center" wrapText="1"/>
      <protection locked="0"/>
    </xf>
    <xf numFmtId="176" fontId="7" fillId="0" borderId="0" xfId="10" applyNumberFormat="1" applyFont="1" applyAlignment="1">
      <alignment horizontal="left" vertical="center" wrapText="1"/>
    </xf>
    <xf numFmtId="0" fontId="122" fillId="0" borderId="0" xfId="10" applyFont="1" applyAlignment="1" applyProtection="1">
      <alignment horizontal="left" vertical="center" wrapText="1"/>
      <protection locked="0"/>
    </xf>
    <xf numFmtId="0" fontId="7" fillId="0" borderId="0" xfId="10" applyFont="1" applyAlignment="1" applyProtection="1">
      <alignment horizontal="left" vertical="top" wrapText="1"/>
      <protection locked="0"/>
    </xf>
    <xf numFmtId="0" fontId="7" fillId="0" borderId="0" xfId="10" applyFont="1" applyAlignment="1" applyProtection="1">
      <alignment horizontal="justify" vertical="top" wrapText="1"/>
      <protection locked="0"/>
    </xf>
    <xf numFmtId="182" fontId="121" fillId="0" borderId="0" xfId="10" quotePrefix="1" applyNumberFormat="1" applyFont="1" applyAlignment="1" applyProtection="1">
      <alignment horizontal="left" vertical="center"/>
      <protection locked="0"/>
    </xf>
    <xf numFmtId="182" fontId="121" fillId="0" borderId="0" xfId="10" applyNumberFormat="1" applyFont="1" applyAlignment="1" applyProtection="1">
      <alignment horizontal="left" vertical="center"/>
      <protection locked="0"/>
    </xf>
    <xf numFmtId="1" fontId="7" fillId="0" borderId="0" xfId="10" applyNumberFormat="1" applyFont="1" applyAlignment="1">
      <alignment horizontal="left" vertical="top" wrapText="1"/>
    </xf>
    <xf numFmtId="0" fontId="7" fillId="0" borderId="0" xfId="10" applyFont="1" applyAlignment="1">
      <alignment horizontal="left" vertical="top" wrapText="1"/>
    </xf>
    <xf numFmtId="0" fontId="117" fillId="0" borderId="0" xfId="10" applyFont="1" applyAlignment="1">
      <alignment horizontal="center"/>
    </xf>
    <xf numFmtId="0" fontId="7" fillId="5" borderId="0" xfId="10" applyFont="1" applyFill="1" applyAlignment="1">
      <alignment horizontal="justify" vertical="center" wrapText="1"/>
    </xf>
    <xf numFmtId="0" fontId="4" fillId="0" borderId="0" xfId="10" applyFont="1" applyAlignment="1">
      <alignment horizontal="left" vertical="center" wrapText="1"/>
    </xf>
    <xf numFmtId="176" fontId="7" fillId="0" borderId="0" xfId="10" applyNumberFormat="1" applyFont="1" applyAlignment="1">
      <alignment horizontal="left" vertical="top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left" wrapText="1"/>
    </xf>
    <xf numFmtId="0" fontId="2" fillId="10" borderId="23" xfId="0" applyFont="1" applyFill="1" applyBorder="1" applyAlignment="1">
      <alignment horizontal="left" wrapText="1"/>
    </xf>
    <xf numFmtId="0" fontId="2" fillId="10" borderId="7" xfId="0" applyFont="1" applyFill="1" applyBorder="1" applyAlignment="1">
      <alignment horizontal="left" wrapText="1"/>
    </xf>
    <xf numFmtId="0" fontId="95" fillId="8" borderId="0" xfId="0" applyFont="1" applyFill="1" applyAlignment="1" applyProtection="1">
      <alignment horizontal="center" wrapText="1"/>
      <protection hidden="1"/>
    </xf>
    <xf numFmtId="1" fontId="100" fillId="3" borderId="0" xfId="0" applyNumberFormat="1" applyFont="1" applyFill="1" applyAlignment="1" applyProtection="1">
      <alignment horizontal="center" vertical="center"/>
      <protection hidden="1"/>
    </xf>
    <xf numFmtId="0" fontId="81" fillId="12" borderId="6" xfId="0" applyFont="1" applyFill="1" applyBorder="1" applyAlignment="1">
      <alignment horizontal="center" wrapText="1"/>
    </xf>
    <xf numFmtId="0" fontId="81" fillId="12" borderId="9" xfId="0" applyFont="1" applyFill="1" applyBorder="1" applyAlignment="1">
      <alignment horizontal="center" wrapText="1"/>
    </xf>
    <xf numFmtId="0" fontId="95" fillId="3" borderId="0" xfId="0" applyFont="1" applyFill="1" applyAlignment="1">
      <alignment horizontal="center" vertical="center"/>
    </xf>
    <xf numFmtId="0" fontId="96" fillId="0" borderId="0" xfId="3" applyFont="1" applyAlignment="1">
      <alignment horizontal="center"/>
    </xf>
    <xf numFmtId="0" fontId="97" fillId="0" borderId="0" xfId="2" applyFont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 vertical="top"/>
    </xf>
    <xf numFmtId="0" fontId="61" fillId="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56" fillId="2" borderId="6" xfId="0" applyFont="1" applyFill="1" applyBorder="1" applyAlignment="1">
      <alignment vertical="center"/>
    </xf>
    <xf numFmtId="0" fontId="56" fillId="2" borderId="7" xfId="0" applyFont="1" applyFill="1" applyBorder="1" applyAlignment="1">
      <alignment vertical="center"/>
    </xf>
    <xf numFmtId="0" fontId="56" fillId="2" borderId="9" xfId="0" applyFont="1" applyFill="1" applyBorder="1" applyAlignment="1">
      <alignment vertical="center"/>
    </xf>
    <xf numFmtId="0" fontId="56" fillId="3" borderId="6" xfId="0" applyFont="1" applyFill="1" applyBorder="1" applyAlignment="1">
      <alignment vertical="center"/>
    </xf>
    <xf numFmtId="0" fontId="56" fillId="3" borderId="7" xfId="0" applyFont="1" applyFill="1" applyBorder="1" applyAlignment="1">
      <alignment vertical="center"/>
    </xf>
    <xf numFmtId="0" fontId="56" fillId="3" borderId="9" xfId="0" applyFont="1" applyFill="1" applyBorder="1" applyAlignment="1">
      <alignment vertical="center"/>
    </xf>
    <xf numFmtId="0" fontId="46" fillId="3" borderId="6" xfId="1" applyFont="1" applyFill="1" applyBorder="1" applyAlignment="1">
      <alignment vertical="center"/>
    </xf>
    <xf numFmtId="0" fontId="46" fillId="3" borderId="7" xfId="1" applyFont="1" applyFill="1" applyBorder="1" applyAlignment="1">
      <alignment vertical="center"/>
    </xf>
    <xf numFmtId="0" fontId="46" fillId="3" borderId="9" xfId="1" applyFont="1" applyFill="1" applyBorder="1" applyAlignment="1">
      <alignment vertical="center"/>
    </xf>
    <xf numFmtId="0" fontId="56" fillId="2" borderId="5" xfId="0" applyFont="1" applyFill="1" applyBorder="1" applyAlignment="1">
      <alignment vertical="center"/>
    </xf>
    <xf numFmtId="0" fontId="47" fillId="0" borderId="6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6" fillId="2" borderId="0" xfId="0" applyFont="1" applyFill="1" applyAlignment="1" applyProtection="1">
      <alignment horizontal="left" vertical="center" wrapText="1"/>
      <protection locked="0"/>
    </xf>
    <xf numFmtId="0" fontId="47" fillId="0" borderId="7" xfId="0" applyFont="1" applyBorder="1" applyAlignment="1">
      <alignment horizontal="center" vertical="center" wrapText="1"/>
    </xf>
    <xf numFmtId="1" fontId="99" fillId="2" borderId="11" xfId="0" applyNumberFormat="1" applyFont="1" applyFill="1" applyBorder="1" applyAlignment="1" applyProtection="1">
      <alignment horizontal="center" vertical="center"/>
      <protection locked="0"/>
    </xf>
    <xf numFmtId="1" fontId="99" fillId="2" borderId="12" xfId="0" applyNumberFormat="1" applyFont="1" applyFill="1" applyBorder="1" applyAlignment="1" applyProtection="1">
      <alignment horizontal="center" vertical="center"/>
      <protection locked="0"/>
    </xf>
    <xf numFmtId="1" fontId="99" fillId="2" borderId="2" xfId="0" applyNumberFormat="1" applyFont="1" applyFill="1" applyBorder="1" applyAlignment="1" applyProtection="1">
      <alignment horizontal="center" vertical="center"/>
      <protection locked="0"/>
    </xf>
    <xf numFmtId="1" fontId="99" fillId="2" borderId="61" xfId="0" applyNumberFormat="1" applyFont="1" applyFill="1" applyBorder="1" applyAlignment="1" applyProtection="1">
      <alignment horizontal="center" vertical="center"/>
      <protection locked="0"/>
    </xf>
    <xf numFmtId="1" fontId="99" fillId="2" borderId="13" xfId="0" applyNumberFormat="1" applyFont="1" applyFill="1" applyBorder="1" applyAlignment="1" applyProtection="1">
      <alignment horizontal="center" vertical="center"/>
      <protection locked="0"/>
    </xf>
    <xf numFmtId="1" fontId="99" fillId="2" borderId="14" xfId="0" applyNumberFormat="1" applyFont="1" applyFill="1" applyBorder="1" applyAlignment="1" applyProtection="1">
      <alignment horizontal="center" vertical="center"/>
      <protection locked="0"/>
    </xf>
    <xf numFmtId="0" fontId="55" fillId="0" borderId="6" xfId="0" applyFont="1" applyBorder="1" applyAlignment="1" applyProtection="1">
      <alignment horizontal="center" vertical="center"/>
      <protection locked="0"/>
    </xf>
    <xf numFmtId="0" fontId="55" fillId="0" borderId="9" xfId="0" applyFont="1" applyBorder="1" applyAlignment="1" applyProtection="1">
      <alignment horizontal="center" vertical="center"/>
      <protection locked="0"/>
    </xf>
    <xf numFmtId="0" fontId="61" fillId="0" borderId="5" xfId="0" applyFont="1" applyBorder="1" applyAlignment="1" applyProtection="1">
      <alignment horizontal="center" vertical="center"/>
      <protection locked="0"/>
    </xf>
    <xf numFmtId="0" fontId="46" fillId="0" borderId="5" xfId="0" applyFont="1" applyBorder="1" applyAlignment="1">
      <alignment horizontal="center" vertical="center" wrapText="1"/>
    </xf>
    <xf numFmtId="0" fontId="46" fillId="0" borderId="0" xfId="0" applyFont="1" applyAlignment="1" applyProtection="1">
      <alignment vertical="center"/>
      <protection locked="0"/>
    </xf>
    <xf numFmtId="0" fontId="62" fillId="0" borderId="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7" fillId="0" borderId="14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46" fillId="0" borderId="12" xfId="0" applyFont="1" applyBorder="1" applyAlignment="1">
      <alignment horizontal="center" vertical="center" wrapText="1"/>
    </xf>
    <xf numFmtId="0" fontId="46" fillId="0" borderId="13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46" fillId="0" borderId="3" xfId="0" quotePrefix="1" applyFont="1" applyBorder="1" applyAlignment="1">
      <alignment horizontal="center" vertical="center"/>
    </xf>
    <xf numFmtId="0" fontId="46" fillId="0" borderId="4" xfId="0" quotePrefix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109" fillId="5" borderId="5" xfId="0" applyFont="1" applyFill="1" applyBorder="1" applyAlignment="1">
      <alignment horizontal="center" vertical="center"/>
    </xf>
    <xf numFmtId="0" fontId="62" fillId="0" borderId="5" xfId="0" applyFont="1" applyBorder="1" applyAlignment="1">
      <alignment vertical="center"/>
    </xf>
    <xf numFmtId="0" fontId="110" fillId="0" borderId="13" xfId="1" applyFont="1" applyBorder="1" applyAlignment="1">
      <alignment horizontal="center" vertical="center"/>
    </xf>
    <xf numFmtId="0" fontId="110" fillId="0" borderId="10" xfId="1" applyFont="1" applyBorder="1" applyAlignment="1">
      <alignment horizontal="center" vertical="center"/>
    </xf>
    <xf numFmtId="0" fontId="110" fillId="0" borderId="14" xfId="1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109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top"/>
    </xf>
    <xf numFmtId="0" fontId="47" fillId="0" borderId="7" xfId="0" applyFont="1" applyBorder="1" applyAlignment="1">
      <alignment horizontal="center" vertical="top"/>
    </xf>
    <xf numFmtId="0" fontId="47" fillId="0" borderId="9" xfId="0" applyFont="1" applyBorder="1" applyAlignment="1">
      <alignment horizontal="center" vertical="top"/>
    </xf>
    <xf numFmtId="0" fontId="47" fillId="0" borderId="5" xfId="0" applyFont="1" applyBorder="1" applyAlignment="1">
      <alignment horizontal="center" vertical="top" wrapText="1"/>
    </xf>
    <xf numFmtId="0" fontId="56" fillId="3" borderId="6" xfId="0" applyFont="1" applyFill="1" applyBorder="1" applyAlignment="1">
      <alignment horizontal="left" vertical="center"/>
    </xf>
    <xf numFmtId="0" fontId="56" fillId="3" borderId="7" xfId="0" applyFont="1" applyFill="1" applyBorder="1" applyAlignment="1">
      <alignment horizontal="left" vertical="center"/>
    </xf>
    <xf numFmtId="0" fontId="46" fillId="3" borderId="6" xfId="1" applyFont="1" applyFill="1" applyBorder="1" applyAlignment="1">
      <alignment horizontal="left" vertical="center"/>
    </xf>
    <xf numFmtId="0" fontId="46" fillId="3" borderId="7" xfId="1" applyFont="1" applyFill="1" applyBorder="1" applyAlignment="1">
      <alignment horizontal="left" vertical="center"/>
    </xf>
    <xf numFmtId="0" fontId="46" fillId="0" borderId="1" xfId="0" quotePrefix="1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center" wrapText="1"/>
    </xf>
    <xf numFmtId="0" fontId="46" fillId="0" borderId="1" xfId="0" applyFont="1" applyBorder="1" applyAlignment="1">
      <alignment horizontal="left" vertical="center"/>
    </xf>
    <xf numFmtId="0" fontId="47" fillId="0" borderId="3" xfId="0" applyFont="1" applyBorder="1" applyAlignment="1">
      <alignment horizontal="center" vertical="top"/>
    </xf>
    <xf numFmtId="0" fontId="47" fillId="0" borderId="4" xfId="0" applyFont="1" applyBorder="1" applyAlignment="1">
      <alignment horizontal="center" vertical="top"/>
    </xf>
    <xf numFmtId="0" fontId="47" fillId="0" borderId="1" xfId="0" applyFont="1" applyBorder="1" applyAlignment="1">
      <alignment horizontal="center" vertical="top"/>
    </xf>
    <xf numFmtId="0" fontId="47" fillId="0" borderId="3" xfId="0" applyFont="1" applyBorder="1" applyAlignment="1">
      <alignment horizontal="center" vertical="top" wrapText="1"/>
    </xf>
    <xf numFmtId="0" fontId="47" fillId="0" borderId="4" xfId="0" applyFont="1" applyBorder="1" applyAlignment="1">
      <alignment horizontal="center" vertical="top" wrapText="1"/>
    </xf>
    <xf numFmtId="0" fontId="47" fillId="0" borderId="11" xfId="0" applyFont="1" applyBorder="1" applyAlignment="1">
      <alignment horizontal="center" vertical="top" wrapText="1"/>
    </xf>
    <xf numFmtId="0" fontId="47" fillId="0" borderId="12" xfId="0" applyFont="1" applyBorder="1" applyAlignment="1">
      <alignment horizontal="center" vertical="top" wrapText="1"/>
    </xf>
    <xf numFmtId="0" fontId="47" fillId="0" borderId="13" xfId="0" applyFont="1" applyBorder="1" applyAlignment="1">
      <alignment horizontal="center" vertical="top" wrapText="1"/>
    </xf>
    <xf numFmtId="0" fontId="47" fillId="0" borderId="14" xfId="0" applyFont="1" applyBorder="1" applyAlignment="1">
      <alignment horizontal="center" vertical="top" wrapText="1"/>
    </xf>
    <xf numFmtId="164" fontId="46" fillId="3" borderId="6" xfId="0" applyNumberFormat="1" applyFont="1" applyFill="1" applyBorder="1" applyAlignment="1">
      <alignment horizontal="center" vertical="center" wrapText="1"/>
    </xf>
    <xf numFmtId="164" fontId="46" fillId="3" borderId="9" xfId="0" applyNumberFormat="1" applyFont="1" applyFill="1" applyBorder="1" applyAlignment="1">
      <alignment horizontal="center" vertical="center" wrapText="1"/>
    </xf>
    <xf numFmtId="0" fontId="5" fillId="3" borderId="62" xfId="5" applyFont="1" applyFill="1" applyBorder="1" applyAlignment="1">
      <alignment horizontal="center" vertical="center"/>
    </xf>
    <xf numFmtId="0" fontId="5" fillId="3" borderId="63" xfId="5" applyFont="1" applyFill="1" applyBorder="1" applyAlignment="1">
      <alignment horizontal="center" vertical="center"/>
    </xf>
    <xf numFmtId="0" fontId="17" fillId="3" borderId="30" xfId="5" applyFont="1" applyFill="1" applyBorder="1" applyAlignment="1">
      <alignment horizontal="center" vertical="center"/>
    </xf>
    <xf numFmtId="0" fontId="17" fillId="3" borderId="31" xfId="5" applyFont="1" applyFill="1" applyBorder="1" applyAlignment="1">
      <alignment horizontal="center" vertical="center"/>
    </xf>
    <xf numFmtId="0" fontId="17" fillId="3" borderId="54" xfId="5" applyFont="1" applyFill="1" applyBorder="1" applyAlignment="1">
      <alignment horizontal="center" vertical="center"/>
    </xf>
    <xf numFmtId="0" fontId="6" fillId="11" borderId="35" xfId="5" applyFont="1" applyFill="1" applyBorder="1" applyAlignment="1" applyProtection="1">
      <alignment horizontal="center" vertical="center"/>
      <protection locked="0"/>
    </xf>
    <xf numFmtId="0" fontId="6" fillId="11" borderId="36" xfId="5" applyFont="1" applyFill="1" applyBorder="1" applyAlignment="1" applyProtection="1">
      <alignment horizontal="center" vertical="center"/>
      <protection locked="0"/>
    </xf>
    <xf numFmtId="0" fontId="6" fillId="11" borderId="16" xfId="5" applyFont="1" applyFill="1" applyBorder="1" applyAlignment="1" applyProtection="1">
      <alignment horizontal="center" vertical="center"/>
      <protection locked="0"/>
    </xf>
    <xf numFmtId="0" fontId="6" fillId="11" borderId="67" xfId="5" applyFont="1" applyFill="1" applyBorder="1" applyAlignment="1" applyProtection="1">
      <alignment horizontal="center" vertical="center"/>
      <protection locked="0"/>
    </xf>
    <xf numFmtId="0" fontId="6" fillId="3" borderId="5" xfId="3" applyFont="1" applyFill="1" applyBorder="1" applyAlignment="1">
      <alignment horizontal="center" vertical="center"/>
    </xf>
    <xf numFmtId="0" fontId="6" fillId="11" borderId="40" xfId="5" applyFont="1" applyFill="1" applyBorder="1" applyAlignment="1" applyProtection="1">
      <alignment horizontal="center" vertical="center"/>
      <protection locked="0"/>
    </xf>
    <xf numFmtId="0" fontId="6" fillId="11" borderId="41" xfId="5" applyFont="1" applyFill="1" applyBorder="1" applyAlignment="1" applyProtection="1">
      <alignment horizontal="center" vertical="center"/>
      <protection locked="0"/>
    </xf>
    <xf numFmtId="0" fontId="6" fillId="11" borderId="66" xfId="5" applyFont="1" applyFill="1" applyBorder="1" applyAlignment="1" applyProtection="1">
      <alignment horizontal="center" vertical="center"/>
      <protection locked="0"/>
    </xf>
    <xf numFmtId="0" fontId="6" fillId="11" borderId="42" xfId="5" applyFont="1" applyFill="1" applyBorder="1" applyAlignment="1" applyProtection="1">
      <alignment horizontal="center" vertical="center"/>
      <protection locked="0"/>
    </xf>
    <xf numFmtId="0" fontId="17" fillId="3" borderId="38" xfId="3" applyFont="1" applyFill="1" applyBorder="1" applyAlignment="1">
      <alignment horizontal="left" vertical="center" wrapText="1"/>
    </xf>
    <xf numFmtId="0" fontId="17" fillId="3" borderId="36" xfId="3" applyFont="1" applyFill="1" applyBorder="1" applyAlignment="1">
      <alignment horizontal="left" vertical="center" wrapText="1"/>
    </xf>
    <xf numFmtId="0" fontId="17" fillId="3" borderId="67" xfId="3" applyFont="1" applyFill="1" applyBorder="1" applyAlignment="1">
      <alignment horizontal="left" vertical="center" wrapText="1"/>
    </xf>
    <xf numFmtId="0" fontId="71" fillId="3" borderId="5" xfId="5" applyFont="1" applyFill="1" applyBorder="1" applyAlignment="1">
      <alignment horizontal="center" vertical="center"/>
    </xf>
    <xf numFmtId="0" fontId="71" fillId="3" borderId="6" xfId="5" applyFont="1" applyFill="1" applyBorder="1" applyAlignment="1">
      <alignment horizontal="center" vertical="center"/>
    </xf>
    <xf numFmtId="0" fontId="71" fillId="3" borderId="26" xfId="5" applyFont="1" applyFill="1" applyBorder="1" applyAlignment="1">
      <alignment horizontal="center" vertical="center"/>
    </xf>
    <xf numFmtId="0" fontId="17" fillId="3" borderId="58" xfId="5" applyFont="1" applyFill="1" applyBorder="1" applyAlignment="1">
      <alignment horizontal="center" vertical="center" wrapText="1"/>
    </xf>
    <xf numFmtId="0" fontId="17" fillId="3" borderId="52" xfId="5" applyFont="1" applyFill="1" applyBorder="1" applyAlignment="1">
      <alignment horizontal="center" vertical="center" wrapText="1"/>
    </xf>
    <xf numFmtId="0" fontId="17" fillId="3" borderId="57" xfId="5" applyFont="1" applyFill="1" applyBorder="1" applyAlignment="1">
      <alignment horizontal="center" vertical="center" wrapText="1"/>
    </xf>
    <xf numFmtId="0" fontId="17" fillId="3" borderId="5" xfId="5" applyFont="1" applyFill="1" applyBorder="1" applyAlignment="1">
      <alignment horizontal="center" vertical="center" wrapText="1"/>
    </xf>
    <xf numFmtId="0" fontId="6" fillId="3" borderId="26" xfId="3" applyFont="1" applyFill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/>
    </xf>
    <xf numFmtId="0" fontId="5" fillId="3" borderId="4" xfId="5" applyFont="1" applyFill="1" applyBorder="1" applyAlignment="1">
      <alignment horizontal="center"/>
    </xf>
    <xf numFmtId="0" fontId="5" fillId="11" borderId="25" xfId="5" applyFont="1" applyFill="1" applyBorder="1" applyAlignment="1">
      <alignment horizontal="center" vertical="center"/>
    </xf>
    <xf numFmtId="0" fontId="5" fillId="11" borderId="5" xfId="5" applyFont="1" applyFill="1" applyBorder="1" applyAlignment="1">
      <alignment horizontal="center" vertical="center"/>
    </xf>
    <xf numFmtId="0" fontId="17" fillId="3" borderId="45" xfId="3" applyFont="1" applyFill="1" applyBorder="1" applyAlignment="1">
      <alignment horizontal="left" vertical="center" wrapText="1"/>
    </xf>
    <xf numFmtId="0" fontId="17" fillId="3" borderId="46" xfId="3" applyFont="1" applyFill="1" applyBorder="1" applyAlignment="1">
      <alignment horizontal="left" vertical="center" wrapText="1"/>
    </xf>
    <xf numFmtId="1" fontId="17" fillId="5" borderId="5" xfId="5" applyNumberFormat="1" applyFont="1" applyFill="1" applyBorder="1" applyAlignment="1">
      <alignment horizontal="center" vertical="center"/>
    </xf>
    <xf numFmtId="1" fontId="17" fillId="5" borderId="6" xfId="5" applyNumberFormat="1" applyFont="1" applyFill="1" applyBorder="1" applyAlignment="1">
      <alignment horizontal="center" vertical="center"/>
    </xf>
    <xf numFmtId="0" fontId="6" fillId="5" borderId="5" xfId="5" applyFont="1" applyFill="1" applyBorder="1" applyAlignment="1">
      <alignment horizontal="center" vertical="center"/>
    </xf>
    <xf numFmtId="0" fontId="6" fillId="5" borderId="6" xfId="5" applyFont="1" applyFill="1" applyBorder="1" applyAlignment="1">
      <alignment horizontal="center" vertical="center"/>
    </xf>
    <xf numFmtId="0" fontId="17" fillId="11" borderId="45" xfId="3" applyFont="1" applyFill="1" applyBorder="1" applyAlignment="1">
      <alignment horizontal="center" vertical="center"/>
    </xf>
    <xf numFmtId="1" fontId="17" fillId="5" borderId="45" xfId="5" applyNumberFormat="1" applyFont="1" applyFill="1" applyBorder="1" applyAlignment="1">
      <alignment horizontal="center" vertical="center"/>
    </xf>
    <xf numFmtId="1" fontId="17" fillId="5" borderId="38" xfId="5" applyNumberFormat="1" applyFont="1" applyFill="1" applyBorder="1" applyAlignment="1">
      <alignment horizontal="center" vertical="center"/>
    </xf>
    <xf numFmtId="0" fontId="71" fillId="11" borderId="5" xfId="5" applyFont="1" applyFill="1" applyBorder="1" applyAlignment="1">
      <alignment horizontal="center" vertical="center"/>
    </xf>
    <xf numFmtId="0" fontId="6" fillId="11" borderId="44" xfId="5" applyFont="1" applyFill="1" applyBorder="1" applyAlignment="1">
      <alignment horizontal="center" vertical="center"/>
    </xf>
    <xf numFmtId="0" fontId="6" fillId="11" borderId="25" xfId="5" applyFont="1" applyFill="1" applyBorder="1" applyAlignment="1">
      <alignment horizontal="center" vertical="center"/>
    </xf>
    <xf numFmtId="0" fontId="6" fillId="11" borderId="45" xfId="5" applyFont="1" applyFill="1" applyBorder="1" applyAlignment="1">
      <alignment horizontal="center" vertical="center" wrapText="1"/>
    </xf>
    <xf numFmtId="0" fontId="6" fillId="11" borderId="5" xfId="5" applyFont="1" applyFill="1" applyBorder="1" applyAlignment="1">
      <alignment horizontal="center" vertical="center" wrapText="1"/>
    </xf>
    <xf numFmtId="0" fontId="6" fillId="11" borderId="45" xfId="5" applyFont="1" applyFill="1" applyBorder="1" applyAlignment="1">
      <alignment horizontal="center" vertical="center"/>
    </xf>
    <xf numFmtId="0" fontId="6" fillId="11" borderId="5" xfId="5" applyFont="1" applyFill="1" applyBorder="1" applyAlignment="1">
      <alignment horizontal="center" vertical="center"/>
    </xf>
    <xf numFmtId="0" fontId="2" fillId="0" borderId="62" xfId="5" applyBorder="1" applyAlignment="1">
      <alignment horizontal="center" vertical="center"/>
    </xf>
    <xf numFmtId="0" fontId="2" fillId="0" borderId="47" xfId="5" applyBorder="1" applyAlignment="1">
      <alignment horizontal="center" vertical="center"/>
    </xf>
    <xf numFmtId="0" fontId="2" fillId="0" borderId="63" xfId="5" applyBorder="1" applyAlignment="1">
      <alignment horizontal="center" vertical="center"/>
    </xf>
    <xf numFmtId="0" fontId="17" fillId="11" borderId="15" xfId="3" applyFont="1" applyFill="1" applyBorder="1" applyAlignment="1">
      <alignment horizontal="center" vertical="center"/>
    </xf>
    <xf numFmtId="0" fontId="17" fillId="11" borderId="16" xfId="3" applyFont="1" applyFill="1" applyBorder="1" applyAlignment="1">
      <alignment horizontal="center" vertical="center"/>
    </xf>
    <xf numFmtId="0" fontId="17" fillId="11" borderId="17" xfId="3" applyFont="1" applyFill="1" applyBorder="1" applyAlignment="1">
      <alignment horizontal="center" vertical="center"/>
    </xf>
    <xf numFmtId="0" fontId="12" fillId="11" borderId="30" xfId="5" applyFont="1" applyFill="1" applyBorder="1" applyAlignment="1">
      <alignment horizontal="center" vertical="center"/>
    </xf>
    <xf numFmtId="0" fontId="12" fillId="11" borderId="32" xfId="5" applyFont="1" applyFill="1" applyBorder="1" applyAlignment="1">
      <alignment horizontal="center" vertical="center"/>
    </xf>
    <xf numFmtId="0" fontId="12" fillId="11" borderId="64" xfId="5" applyFont="1" applyFill="1" applyBorder="1" applyAlignment="1">
      <alignment horizontal="center" vertical="center"/>
    </xf>
    <xf numFmtId="0" fontId="12" fillId="11" borderId="31" xfId="5" applyFont="1" applyFill="1" applyBorder="1" applyAlignment="1">
      <alignment horizontal="center" vertical="center"/>
    </xf>
    <xf numFmtId="0" fontId="12" fillId="11" borderId="62" xfId="5" applyFont="1" applyFill="1" applyBorder="1" applyAlignment="1">
      <alignment horizontal="center" vertical="center"/>
    </xf>
    <xf numFmtId="0" fontId="12" fillId="11" borderId="63" xfId="5" applyFont="1" applyFill="1" applyBorder="1" applyAlignment="1">
      <alignment horizontal="center" vertical="center"/>
    </xf>
    <xf numFmtId="0" fontId="13" fillId="11" borderId="30" xfId="3" applyFont="1" applyFill="1" applyBorder="1" applyAlignment="1">
      <alignment horizontal="center" vertical="center"/>
    </xf>
    <xf numFmtId="0" fontId="13" fillId="11" borderId="32" xfId="3" applyFont="1" applyFill="1" applyBorder="1" applyAlignment="1">
      <alignment horizontal="center" vertical="center"/>
    </xf>
    <xf numFmtId="0" fontId="42" fillId="11" borderId="20" xfId="3" applyFont="1" applyFill="1" applyBorder="1" applyAlignment="1">
      <alignment horizontal="center" vertical="center"/>
    </xf>
    <xf numFmtId="0" fontId="13" fillId="11" borderId="65" xfId="3" applyFont="1" applyFill="1" applyBorder="1" applyAlignment="1">
      <alignment horizontal="center" vertical="center"/>
    </xf>
    <xf numFmtId="1" fontId="70" fillId="11" borderId="15" xfId="5" applyNumberFormat="1" applyFont="1" applyFill="1" applyBorder="1" applyAlignment="1">
      <alignment horizontal="center" vertical="center"/>
    </xf>
    <xf numFmtId="1" fontId="70" fillId="11" borderId="17" xfId="5" applyNumberFormat="1" applyFont="1" applyFill="1" applyBorder="1" applyAlignment="1">
      <alignment horizontal="center" vertical="center"/>
    </xf>
    <xf numFmtId="0" fontId="17" fillId="11" borderId="30" xfId="3" applyFont="1" applyFill="1" applyBorder="1" applyAlignment="1">
      <alignment horizontal="center" vertical="center"/>
    </xf>
    <xf numFmtId="0" fontId="17" fillId="11" borderId="31" xfId="3" applyFont="1" applyFill="1" applyBorder="1" applyAlignment="1">
      <alignment horizontal="center" vertical="center"/>
    </xf>
    <xf numFmtId="0" fontId="17" fillId="11" borderId="54" xfId="3" applyFont="1" applyFill="1" applyBorder="1" applyAlignment="1">
      <alignment horizontal="center" vertical="center"/>
    </xf>
    <xf numFmtId="0" fontId="13" fillId="11" borderId="5" xfId="3" applyFont="1" applyFill="1" applyBorder="1" applyAlignment="1">
      <alignment horizontal="center" vertical="center"/>
    </xf>
    <xf numFmtId="0" fontId="42" fillId="11" borderId="5" xfId="3" applyFont="1" applyFill="1" applyBorder="1" applyAlignment="1">
      <alignment horizontal="center" vertical="center"/>
    </xf>
    <xf numFmtId="0" fontId="2" fillId="0" borderId="15" xfId="5" applyBorder="1" applyAlignment="1">
      <alignment horizontal="center" vertical="center"/>
    </xf>
    <xf numFmtId="0" fontId="2" fillId="0" borderId="18" xfId="5" applyBorder="1" applyAlignment="1">
      <alignment horizontal="center" vertical="center"/>
    </xf>
    <xf numFmtId="0" fontId="2" fillId="0" borderId="20" xfId="5" applyBorder="1" applyAlignment="1">
      <alignment horizontal="center" vertical="center"/>
    </xf>
    <xf numFmtId="0" fontId="17" fillId="11" borderId="5" xfId="3" applyFont="1" applyFill="1" applyBorder="1" applyAlignment="1">
      <alignment horizontal="center" vertical="center"/>
    </xf>
    <xf numFmtId="1" fontId="70" fillId="11" borderId="5" xfId="5" applyNumberFormat="1" applyFont="1" applyFill="1" applyBorder="1" applyAlignment="1">
      <alignment horizontal="center" vertical="center"/>
    </xf>
    <xf numFmtId="0" fontId="12" fillId="11" borderId="5" xfId="5" applyFont="1" applyFill="1" applyBorder="1" applyAlignment="1">
      <alignment horizontal="center" vertical="center"/>
    </xf>
    <xf numFmtId="0" fontId="69" fillId="6" borderId="30" xfId="5" applyFont="1" applyFill="1" applyBorder="1" applyAlignment="1">
      <alignment horizontal="center" vertical="center"/>
    </xf>
    <xf numFmtId="0" fontId="69" fillId="6" borderId="16" xfId="5" applyFont="1" applyFill="1" applyBorder="1" applyAlignment="1">
      <alignment horizontal="center" vertical="center"/>
    </xf>
    <xf numFmtId="0" fontId="69" fillId="6" borderId="31" xfId="5" applyFont="1" applyFill="1" applyBorder="1" applyAlignment="1">
      <alignment horizontal="center" vertical="center"/>
    </xf>
    <xf numFmtId="0" fontId="69" fillId="6" borderId="17" xfId="5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95" fillId="3" borderId="0" xfId="0" applyFont="1" applyFill="1" applyAlignment="1">
      <alignment horizontal="center" wrapText="1"/>
    </xf>
    <xf numFmtId="0" fontId="5" fillId="8" borderId="60" xfId="0" applyFont="1" applyFill="1" applyBorder="1" applyAlignment="1" applyProtection="1">
      <alignment horizontal="center" wrapText="1"/>
      <protection hidden="1"/>
    </xf>
    <xf numFmtId="0" fontId="5" fillId="8" borderId="55" xfId="0" applyFont="1" applyFill="1" applyBorder="1" applyAlignment="1" applyProtection="1">
      <alignment horizontal="center" wrapText="1"/>
      <protection hidden="1"/>
    </xf>
    <xf numFmtId="0" fontId="5" fillId="8" borderId="34" xfId="0" applyFont="1" applyFill="1" applyBorder="1" applyAlignment="1" applyProtection="1">
      <alignment horizontal="center" wrapText="1"/>
      <protection hidden="1"/>
    </xf>
    <xf numFmtId="1" fontId="17" fillId="3" borderId="13" xfId="0" applyNumberFormat="1" applyFont="1" applyFill="1" applyBorder="1" applyAlignment="1" applyProtection="1">
      <alignment horizontal="center" vertical="center"/>
      <protection hidden="1"/>
    </xf>
    <xf numFmtId="1" fontId="17" fillId="3" borderId="14" xfId="0" applyNumberFormat="1" applyFont="1" applyFill="1" applyBorder="1" applyAlignment="1" applyProtection="1">
      <alignment horizontal="center" vertical="center"/>
      <protection hidden="1"/>
    </xf>
    <xf numFmtId="1" fontId="17" fillId="3" borderId="33" xfId="0" applyNumberFormat="1" applyFont="1" applyFill="1" applyBorder="1" applyAlignment="1" applyProtection="1">
      <alignment horizontal="center" vertical="center"/>
      <protection hidden="1"/>
    </xf>
    <xf numFmtId="1" fontId="17" fillId="3" borderId="4" xfId="0" applyNumberFormat="1" applyFont="1" applyFill="1" applyBorder="1" applyAlignment="1" applyProtection="1">
      <alignment horizontal="center" vertical="center"/>
      <protection hidden="1"/>
    </xf>
    <xf numFmtId="1" fontId="52" fillId="3" borderId="5" xfId="0" applyNumberFormat="1" applyFont="1" applyFill="1" applyBorder="1" applyAlignment="1" applyProtection="1">
      <alignment horizontal="center" vertical="center"/>
      <protection hidden="1"/>
    </xf>
    <xf numFmtId="1" fontId="17" fillId="3" borderId="6" xfId="0" applyNumberFormat="1" applyFont="1" applyFill="1" applyBorder="1" applyAlignment="1" applyProtection="1">
      <alignment horizontal="center" vertical="center"/>
      <protection hidden="1"/>
    </xf>
    <xf numFmtId="1" fontId="17" fillId="3" borderId="9" xfId="0" applyNumberFormat="1" applyFont="1" applyFill="1" applyBorder="1" applyAlignment="1" applyProtection="1">
      <alignment horizontal="center" vertical="center"/>
      <protection hidden="1"/>
    </xf>
    <xf numFmtId="1" fontId="17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3" xfId="0" applyNumberFormat="1" applyFont="1" applyFill="1" applyBorder="1" applyAlignment="1" applyProtection="1">
      <alignment horizontal="center" vertical="center"/>
      <protection hidden="1"/>
    </xf>
    <xf numFmtId="1" fontId="52" fillId="3" borderId="4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2" fillId="3" borderId="25" xfId="0" applyFont="1" applyFill="1" applyBorder="1" applyAlignment="1">
      <alignment horizontal="center" wrapText="1"/>
    </xf>
    <xf numFmtId="1" fontId="17" fillId="5" borderId="6" xfId="0" applyNumberFormat="1" applyFont="1" applyFill="1" applyBorder="1" applyAlignment="1" applyProtection="1">
      <alignment horizontal="center" vertical="center"/>
      <protection hidden="1"/>
    </xf>
    <xf numFmtId="1" fontId="17" fillId="5" borderId="9" xfId="0" applyNumberFormat="1" applyFont="1" applyFill="1" applyBorder="1" applyAlignment="1" applyProtection="1">
      <alignment horizontal="center" vertical="center"/>
      <protection hidden="1"/>
    </xf>
    <xf numFmtId="1" fontId="17" fillId="5" borderId="3" xfId="0" applyNumberFormat="1" applyFont="1" applyFill="1" applyBorder="1" applyAlignment="1" applyProtection="1">
      <alignment horizontal="center" vertical="center"/>
      <protection hidden="1"/>
    </xf>
    <xf numFmtId="1" fontId="17" fillId="5" borderId="4" xfId="0" applyNumberFormat="1" applyFont="1" applyFill="1" applyBorder="1" applyAlignment="1" applyProtection="1">
      <alignment horizontal="center" vertical="center"/>
      <protection hidden="1"/>
    </xf>
    <xf numFmtId="1" fontId="52" fillId="5" borderId="3" xfId="0" applyNumberFormat="1" applyFont="1" applyFill="1" applyBorder="1" applyAlignment="1" applyProtection="1">
      <alignment horizontal="center" vertical="center"/>
      <protection hidden="1"/>
    </xf>
    <xf numFmtId="1" fontId="52" fillId="5" borderId="4" xfId="0" applyNumberFormat="1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165" fontId="46" fillId="0" borderId="6" xfId="0" applyNumberFormat="1" applyFont="1" applyBorder="1" applyAlignment="1">
      <alignment horizontal="right" vertical="center"/>
    </xf>
    <xf numFmtId="165" fontId="56" fillId="2" borderId="9" xfId="0" applyNumberFormat="1" applyFont="1" applyFill="1" applyBorder="1" applyAlignment="1">
      <alignment vertical="center"/>
    </xf>
    <xf numFmtId="164" fontId="56" fillId="2" borderId="9" xfId="0" applyNumberFormat="1" applyFont="1" applyFill="1" applyBorder="1" applyAlignment="1">
      <alignment horizontal="center" vertical="center"/>
    </xf>
    <xf numFmtId="164" fontId="46" fillId="0" borderId="9" xfId="0" applyNumberFormat="1" applyFont="1" applyBorder="1" applyAlignment="1">
      <alignment horizontal="center" vertical="center"/>
    </xf>
  </cellXfs>
  <cellStyles count="12">
    <cellStyle name="Normal" xfId="0" builtinId="0"/>
    <cellStyle name="Normal 2" xfId="2" xr:uid="{00000000-0005-0000-0000-000001000000}"/>
    <cellStyle name="Normal 2 2" xfId="3" xr:uid="{00000000-0005-0000-0000-000002000000}"/>
    <cellStyle name="Normal 2 3" xfId="10" xr:uid="{3B53AB31-E99A-46C7-9F2A-9B4F7E0216B2}"/>
    <cellStyle name="Normal 3" xfId="5" xr:uid="{00000000-0005-0000-0000-000003000000}"/>
    <cellStyle name="Normal 4" xfId="6" xr:uid="{00000000-0005-0000-0000-000004000000}"/>
    <cellStyle name="Normal 4 2" xfId="4" xr:uid="{00000000-0005-0000-0000-000005000000}"/>
    <cellStyle name="Normal 5" xfId="9" xr:uid="{AB26C88E-EA2E-48B3-98A4-D9A27A94473E}"/>
    <cellStyle name="Normal 5 2" xfId="11" xr:uid="{3B449E12-E948-42F9-BCE0-754FAAC81DA4}"/>
    <cellStyle name="Normal_Daftar kelistrikan (ecg)" xfId="1" xr:uid="{00000000-0005-0000-0000-000006000000}"/>
    <cellStyle name="Percent" xfId="7" builtinId="5"/>
    <cellStyle name="Percent 2" xfId="8" xr:uid="{00000000-0005-0000-0000-00000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43659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27</xdr:row>
      <xdr:rowOff>157490</xdr:rowOff>
    </xdr:from>
    <xdr:to>
      <xdr:col>8</xdr:col>
      <xdr:colOff>734011</xdr:colOff>
      <xdr:row>27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4365967" y="59772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4823167" y="5786765"/>
          <a:ext cx="446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1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1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1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1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29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1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391697</xdr:colOff>
      <xdr:row>29</xdr:row>
      <xdr:rowOff>52497</xdr:rowOff>
    </xdr:from>
    <xdr:to>
      <xdr:col>9</xdr:col>
      <xdr:colOff>712616</xdr:colOff>
      <xdr:row>29</xdr:row>
      <xdr:rowOff>52497</xdr:rowOff>
    </xdr:to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678197" y="55960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>
          <a:spLocks noChangeArrowheads="1"/>
        </xdr:cNvSpPr>
      </xdr:nvSpPr>
      <xdr:spPr bwMode="auto">
        <a:xfrm>
          <a:off x="5327992" y="471996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2" name="Object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6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3" name="Object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6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4" name="Object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6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5" name="Object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6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6" name="Object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6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7" name="Object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6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8" name="Object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6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19" name="Object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6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120" name="Object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6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99060</xdr:colOff>
          <xdr:row>27</xdr:row>
          <xdr:rowOff>0</xdr:rowOff>
        </xdr:from>
        <xdr:to>
          <xdr:col>13</xdr:col>
          <xdr:colOff>441960</xdr:colOff>
          <xdr:row>27</xdr:row>
          <xdr:rowOff>0</xdr:rowOff>
        </xdr:to>
        <xdr:sp macro="" textlink="">
          <xdr:nvSpPr>
            <xdr:cNvPr id="1128" name="Object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6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0</xdr:row>
      <xdr:rowOff>0</xdr:rowOff>
    </xdr:from>
    <xdr:to>
      <xdr:col>11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7219950" y="34290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22</xdr:col>
      <xdr:colOff>314325</xdr:colOff>
      <xdr:row>0</xdr:row>
      <xdr:rowOff>0</xdr:rowOff>
    </xdr:from>
    <xdr:to>
      <xdr:col>23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7248525" y="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25</xdr:row>
      <xdr:rowOff>157490</xdr:rowOff>
    </xdr:from>
    <xdr:to>
      <xdr:col>8</xdr:col>
      <xdr:colOff>734011</xdr:colOff>
      <xdr:row>25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5308942" y="5205740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9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8" name="Object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09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699" name="Object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09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0" name="Object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09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1" name="Object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09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2" name="Object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09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3" name="Object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09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4" name="Object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09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9705" name="Object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09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99060</xdr:colOff>
          <xdr:row>26</xdr:row>
          <xdr:rowOff>0</xdr:rowOff>
        </xdr:from>
        <xdr:to>
          <xdr:col>15</xdr:col>
          <xdr:colOff>487680</xdr:colOff>
          <xdr:row>26</xdr:row>
          <xdr:rowOff>0</xdr:rowOff>
        </xdr:to>
        <xdr:sp macro="" textlink="">
          <xdr:nvSpPr>
            <xdr:cNvPr id="29706" name="Object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09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413092</xdr:colOff>
      <xdr:row>25</xdr:row>
      <xdr:rowOff>157490</xdr:rowOff>
    </xdr:from>
    <xdr:to>
      <xdr:col>6</xdr:col>
      <xdr:colOff>734011</xdr:colOff>
      <xdr:row>25</xdr:row>
      <xdr:rowOff>157490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59185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656624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78" name="Object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0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79" name="Object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0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0" name="Object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0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1" name="Object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0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2" name="Object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0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3" name="Object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0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4" name="Object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0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0</xdr:rowOff>
        </xdr:from>
        <xdr:to>
          <xdr:col>6</xdr:col>
          <xdr:colOff>22860</xdr:colOff>
          <xdr:row>26</xdr:row>
          <xdr:rowOff>0</xdr:rowOff>
        </xdr:to>
        <xdr:sp macro="" textlink="">
          <xdr:nvSpPr>
            <xdr:cNvPr id="32786" name="Object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0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25</xdr:row>
      <xdr:rowOff>157490</xdr:rowOff>
    </xdr:from>
    <xdr:to>
      <xdr:col>7</xdr:col>
      <xdr:colOff>734011</xdr:colOff>
      <xdr:row>25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6166192" y="515811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13" Type="http://schemas.openxmlformats.org/officeDocument/2006/relationships/oleObject" Target="../embeddings/oleObject28.bin"/><Relationship Id="rId3" Type="http://schemas.openxmlformats.org/officeDocument/2006/relationships/vmlDrawing" Target="../drawings/vmlDrawing9.vml"/><Relationship Id="rId7" Type="http://schemas.openxmlformats.org/officeDocument/2006/relationships/oleObject" Target="../embeddings/oleObject22.bin"/><Relationship Id="rId12" Type="http://schemas.openxmlformats.org/officeDocument/2006/relationships/oleObject" Target="../embeddings/oleObject27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21.bin"/><Relationship Id="rId11" Type="http://schemas.openxmlformats.org/officeDocument/2006/relationships/oleObject" Target="../embeddings/oleObject2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5.bin"/><Relationship Id="rId4" Type="http://schemas.openxmlformats.org/officeDocument/2006/relationships/oleObject" Target="../embeddings/oleObject20.bin"/><Relationship Id="rId9" Type="http://schemas.openxmlformats.org/officeDocument/2006/relationships/oleObject" Target="../embeddings/oleObject24.bin"/><Relationship Id="rId14" Type="http://schemas.openxmlformats.org/officeDocument/2006/relationships/oleObject" Target="../embeddings/oleObject2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3.bin"/><Relationship Id="rId13" Type="http://schemas.openxmlformats.org/officeDocument/2006/relationships/oleObject" Target="../embeddings/oleObject38.bin"/><Relationship Id="rId3" Type="http://schemas.openxmlformats.org/officeDocument/2006/relationships/vmlDrawing" Target="../drawings/vmlDrawing10.vml"/><Relationship Id="rId7" Type="http://schemas.openxmlformats.org/officeDocument/2006/relationships/oleObject" Target="../embeddings/oleObject32.bin"/><Relationship Id="rId12" Type="http://schemas.openxmlformats.org/officeDocument/2006/relationships/oleObject" Target="../embeddings/oleObject37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31.bin"/><Relationship Id="rId11" Type="http://schemas.openxmlformats.org/officeDocument/2006/relationships/oleObject" Target="../embeddings/oleObject36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5.bin"/><Relationship Id="rId4" Type="http://schemas.openxmlformats.org/officeDocument/2006/relationships/oleObject" Target="../embeddings/oleObject30.bin"/><Relationship Id="rId9" Type="http://schemas.openxmlformats.org/officeDocument/2006/relationships/oleObject" Target="../embeddings/oleObject3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3.bin"/><Relationship Id="rId13" Type="http://schemas.openxmlformats.org/officeDocument/2006/relationships/oleObject" Target="../embeddings/oleObject18.bin"/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12.bin"/><Relationship Id="rId12" Type="http://schemas.openxmlformats.org/officeDocument/2006/relationships/oleObject" Target="../embeddings/oleObject1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1.bin"/><Relationship Id="rId11" Type="http://schemas.openxmlformats.org/officeDocument/2006/relationships/oleObject" Target="../embeddings/oleObject16.bin"/><Relationship Id="rId5" Type="http://schemas.openxmlformats.org/officeDocument/2006/relationships/image" Target="../media/image1.emf"/><Relationship Id="rId15" Type="http://schemas.openxmlformats.org/officeDocument/2006/relationships/comments" Target="../comments5.xml"/><Relationship Id="rId10" Type="http://schemas.openxmlformats.org/officeDocument/2006/relationships/oleObject" Target="../embeddings/oleObject15.bin"/><Relationship Id="rId4" Type="http://schemas.openxmlformats.org/officeDocument/2006/relationships/oleObject" Target="../embeddings/oleObject10.bin"/><Relationship Id="rId9" Type="http://schemas.openxmlformats.org/officeDocument/2006/relationships/oleObject" Target="../embeddings/oleObject14.bin"/><Relationship Id="rId14" Type="http://schemas.openxmlformats.org/officeDocument/2006/relationships/oleObject" Target="../embeddings/oleObject1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1D4E-8E27-49D0-90D8-BEEA4EDA4BF0}">
  <sheetPr>
    <tabColor rgb="FF00B050"/>
  </sheetPr>
  <dimension ref="A1:AX219"/>
  <sheetViews>
    <sheetView topLeftCell="A130" zoomScale="85" zoomScaleNormal="85" zoomScaleSheetLayoutView="77" workbookViewId="0">
      <selection activeCell="N143" sqref="N143"/>
    </sheetView>
  </sheetViews>
  <sheetFormatPr defaultColWidth="9" defaultRowHeight="13.2" x14ac:dyDescent="0.25"/>
  <cols>
    <col min="1" max="7" width="9.6640625" style="425" customWidth="1"/>
    <col min="8" max="8" width="9.6640625" style="1010" customWidth="1"/>
    <col min="9" max="14" width="9.6640625" style="425" customWidth="1"/>
    <col min="15" max="15" width="14" style="425" customWidth="1"/>
    <col min="16" max="16" width="9.6640625" style="1010" customWidth="1"/>
    <col min="17" max="23" width="9.6640625" style="425" customWidth="1"/>
    <col min="24" max="24" width="9" style="1010"/>
    <col min="25" max="16384" width="9" style="425"/>
  </cols>
  <sheetData>
    <row r="1" spans="1:25" ht="48" customHeight="1" x14ac:dyDescent="0.25">
      <c r="A1" s="1281" t="s">
        <v>236</v>
      </c>
      <c r="B1" s="1282"/>
      <c r="C1" s="1282"/>
      <c r="D1" s="1282"/>
      <c r="E1" s="1282"/>
      <c r="F1" s="1282"/>
      <c r="G1" s="1282"/>
      <c r="H1" s="1282"/>
      <c r="I1" s="1282"/>
      <c r="J1" s="1282"/>
      <c r="K1" s="1282"/>
      <c r="L1" s="1282"/>
      <c r="M1" s="1282"/>
      <c r="N1" s="1282"/>
      <c r="O1" s="1282"/>
      <c r="P1" s="1282"/>
      <c r="Q1" s="1282"/>
      <c r="R1" s="1282"/>
      <c r="S1" s="1282"/>
      <c r="T1" s="1282"/>
      <c r="U1" s="1282"/>
      <c r="V1" s="1282"/>
      <c r="W1" s="1283"/>
      <c r="Y1" s="425" t="s">
        <v>79</v>
      </c>
    </row>
    <row r="2" spans="1:25" ht="25.5" customHeight="1" x14ac:dyDescent="0.25">
      <c r="A2" s="1270">
        <v>1</v>
      </c>
      <c r="B2" s="1277" t="str">
        <f>A166</f>
        <v>Electrical Safety Analyzer, Merek : Fluke, Model : ESA 620, SN : 1837056</v>
      </c>
      <c r="C2" s="1277"/>
      <c r="D2" s="1277"/>
      <c r="E2" s="1277"/>
      <c r="F2" s="1277"/>
      <c r="G2" s="1277"/>
      <c r="H2" s="1011"/>
      <c r="I2" s="1270">
        <v>2</v>
      </c>
      <c r="J2" s="1277" t="str">
        <f>A167</f>
        <v>Electrical Safety Analyzer, Merek : Fluke, Model : ESA 620, SN : 1834020</v>
      </c>
      <c r="K2" s="1277"/>
      <c r="L2" s="1277"/>
      <c r="M2" s="1277"/>
      <c r="N2" s="1277"/>
      <c r="O2" s="1277"/>
      <c r="P2" s="1011"/>
      <c r="Q2" s="1270">
        <v>3</v>
      </c>
      <c r="R2" s="1277" t="str">
        <f>A168</f>
        <v>Electrical Safety Analyzer, Merek : Fluke, Model : ESA 615, SN : 2853077</v>
      </c>
      <c r="S2" s="1277"/>
      <c r="T2" s="1277"/>
      <c r="U2" s="1277"/>
      <c r="V2" s="1277"/>
      <c r="W2" s="1277"/>
    </row>
    <row r="3" spans="1:25" ht="15" customHeight="1" x14ac:dyDescent="0.3">
      <c r="A3" s="1271"/>
      <c r="B3" s="1276" t="s">
        <v>240</v>
      </c>
      <c r="C3" s="1276"/>
      <c r="D3" s="1276"/>
      <c r="E3" s="1276"/>
      <c r="F3" s="1012"/>
      <c r="G3" s="1012"/>
      <c r="H3" s="1013"/>
      <c r="I3" s="1271"/>
      <c r="J3" s="1276" t="s">
        <v>240</v>
      </c>
      <c r="K3" s="1276"/>
      <c r="L3" s="1276"/>
      <c r="M3" s="1276"/>
      <c r="N3" s="1012"/>
      <c r="O3" s="1012"/>
      <c r="P3" s="1013"/>
      <c r="Q3" s="1271"/>
      <c r="R3" s="1276" t="s">
        <v>240</v>
      </c>
      <c r="S3" s="1276"/>
      <c r="T3" s="1276"/>
      <c r="U3" s="1276"/>
      <c r="V3" s="1014"/>
      <c r="W3" s="1014"/>
    </row>
    <row r="4" spans="1:25" ht="12.75" customHeight="1" x14ac:dyDescent="0.25">
      <c r="A4" s="1271"/>
      <c r="B4" s="1267" t="s">
        <v>241</v>
      </c>
      <c r="C4" s="1268"/>
      <c r="D4" s="1268"/>
      <c r="E4" s="1269"/>
      <c r="F4" s="1015" t="s">
        <v>242</v>
      </c>
      <c r="G4" s="1015" t="s">
        <v>137</v>
      </c>
      <c r="H4" s="1016"/>
      <c r="I4" s="1271"/>
      <c r="J4" s="1267" t="s">
        <v>241</v>
      </c>
      <c r="K4" s="1268"/>
      <c r="L4" s="1268"/>
      <c r="M4" s="1269"/>
      <c r="N4" s="1015" t="s">
        <v>242</v>
      </c>
      <c r="O4" s="1015" t="s">
        <v>137</v>
      </c>
      <c r="P4" s="1016"/>
      <c r="Q4" s="1271"/>
      <c r="R4" s="1267" t="s">
        <v>241</v>
      </c>
      <c r="S4" s="1268"/>
      <c r="T4" s="1268"/>
      <c r="U4" s="1269"/>
      <c r="V4" s="1015" t="s">
        <v>242</v>
      </c>
      <c r="W4" s="1015" t="s">
        <v>137</v>
      </c>
    </row>
    <row r="5" spans="1:25" ht="15" customHeight="1" x14ac:dyDescent="0.25">
      <c r="A5" s="1271"/>
      <c r="B5" s="1014" t="s">
        <v>243</v>
      </c>
      <c r="C5" s="1015">
        <v>2019</v>
      </c>
      <c r="D5" s="1015">
        <v>2019</v>
      </c>
      <c r="E5" s="1015">
        <v>2020</v>
      </c>
      <c r="F5" s="1015"/>
      <c r="G5" s="1015"/>
      <c r="H5" s="1016"/>
      <c r="I5" s="1271"/>
      <c r="J5" s="1014" t="s">
        <v>243</v>
      </c>
      <c r="K5" s="1015">
        <v>2017</v>
      </c>
      <c r="L5" s="1015">
        <v>2017</v>
      </c>
      <c r="M5" s="1015">
        <v>2019</v>
      </c>
      <c r="N5" s="1015"/>
      <c r="O5" s="1015"/>
      <c r="P5" s="1016"/>
      <c r="Q5" s="1271"/>
      <c r="R5" s="1014" t="s">
        <v>243</v>
      </c>
      <c r="S5" s="1015">
        <v>2018</v>
      </c>
      <c r="T5" s="1015">
        <v>2021</v>
      </c>
      <c r="U5" s="1015">
        <v>2022</v>
      </c>
      <c r="V5" s="1015"/>
      <c r="W5" s="1015"/>
    </row>
    <row r="6" spans="1:25" ht="15" customHeight="1" x14ac:dyDescent="0.25">
      <c r="A6" s="1271"/>
      <c r="B6" s="1017">
        <v>150</v>
      </c>
      <c r="C6" s="1018">
        <v>0.76</v>
      </c>
      <c r="D6" s="1018">
        <v>0.76</v>
      </c>
      <c r="E6" s="1018">
        <v>0.31</v>
      </c>
      <c r="F6" s="1019">
        <f t="shared" ref="F6:F11" si="0">0.5*(MAX(C6:E6)-MIN(C6:E6))</f>
        <v>0.22500000000000001</v>
      </c>
      <c r="G6" s="1020">
        <f>B6*$H$6</f>
        <v>1.8</v>
      </c>
      <c r="H6" s="1016">
        <f>1.2/100</f>
        <v>1.2E-2</v>
      </c>
      <c r="I6" s="1271"/>
      <c r="J6" s="1017">
        <v>150</v>
      </c>
      <c r="K6" s="1021">
        <v>0.23</v>
      </c>
      <c r="L6" s="1021">
        <v>0.23</v>
      </c>
      <c r="M6" s="1018">
        <v>0.15</v>
      </c>
      <c r="N6" s="1019">
        <f t="shared" ref="N6:N11" si="1">0.5*(MAX(K6:M6)-MIN(K6:M6))</f>
        <v>4.0000000000000008E-2</v>
      </c>
      <c r="O6" s="1020">
        <f>J6*$P$6</f>
        <v>1.8</v>
      </c>
      <c r="P6" s="1016">
        <f>1.2/100</f>
        <v>1.2E-2</v>
      </c>
      <c r="Q6" s="1271"/>
      <c r="R6" s="1022">
        <v>150</v>
      </c>
      <c r="S6" s="1021">
        <v>-7.0000000000000007E-2</v>
      </c>
      <c r="T6" s="1021">
        <v>-1.6</v>
      </c>
      <c r="U6" s="1021">
        <v>-1.43</v>
      </c>
      <c r="V6" s="1019">
        <f t="shared" ref="V6:V11" si="2">0.5*(MAX(S6:U6)-MIN(S6:U6))</f>
        <v>0.76500000000000001</v>
      </c>
      <c r="W6" s="1023">
        <f>R6*$X$6</f>
        <v>1.8</v>
      </c>
      <c r="X6" s="1010">
        <f>1.2/100</f>
        <v>1.2E-2</v>
      </c>
    </row>
    <row r="7" spans="1:25" ht="12.75" customHeight="1" x14ac:dyDescent="0.25">
      <c r="A7" s="1271"/>
      <c r="B7" s="1017">
        <v>180</v>
      </c>
      <c r="C7" s="1024">
        <v>-0.13</v>
      </c>
      <c r="D7" s="1024">
        <v>-0.13</v>
      </c>
      <c r="E7" s="1024">
        <v>0.1</v>
      </c>
      <c r="F7" s="1019">
        <f t="shared" si="0"/>
        <v>0.115</v>
      </c>
      <c r="G7" s="1020">
        <f t="shared" ref="G7:G11" si="3">B7*$H$6</f>
        <v>2.16</v>
      </c>
      <c r="H7" s="1016"/>
      <c r="I7" s="1271"/>
      <c r="J7" s="1017">
        <v>180</v>
      </c>
      <c r="K7" s="1021">
        <v>-0.06</v>
      </c>
      <c r="L7" s="1021">
        <v>-0.06</v>
      </c>
      <c r="M7" s="1024">
        <v>0.12</v>
      </c>
      <c r="N7" s="1019">
        <f t="shared" si="1"/>
        <v>0.09</v>
      </c>
      <c r="O7" s="1020">
        <f t="shared" ref="O7:O11" si="4">J7*$P$6</f>
        <v>2.16</v>
      </c>
      <c r="P7" s="1016"/>
      <c r="Q7" s="1271"/>
      <c r="R7" s="1025">
        <v>180</v>
      </c>
      <c r="S7" s="1021">
        <v>-0.13</v>
      </c>
      <c r="T7" s="1021">
        <v>-1.9</v>
      </c>
      <c r="U7" s="1021">
        <v>-1.81</v>
      </c>
      <c r="V7" s="1019">
        <f t="shared" si="2"/>
        <v>0.88500000000000001</v>
      </c>
      <c r="W7" s="1023">
        <f t="shared" ref="W7:W11" si="5">R7*$X$6</f>
        <v>2.16</v>
      </c>
    </row>
    <row r="8" spans="1:25" ht="12.75" customHeight="1" x14ac:dyDescent="0.25">
      <c r="A8" s="1271"/>
      <c r="B8" s="1017">
        <v>200</v>
      </c>
      <c r="C8" s="1024">
        <v>-0.16</v>
      </c>
      <c r="D8" s="1024">
        <v>-0.16</v>
      </c>
      <c r="E8" s="1024">
        <v>-0.04</v>
      </c>
      <c r="F8" s="1019">
        <f t="shared" si="0"/>
        <v>0.06</v>
      </c>
      <c r="G8" s="1020">
        <f t="shared" si="3"/>
        <v>2.4</v>
      </c>
      <c r="H8" s="1016"/>
      <c r="I8" s="1271"/>
      <c r="J8" s="1017">
        <v>200</v>
      </c>
      <c r="K8" s="1021">
        <v>-0.18</v>
      </c>
      <c r="L8" s="1021">
        <v>-0.18</v>
      </c>
      <c r="M8" s="1024">
        <v>0.06</v>
      </c>
      <c r="N8" s="1019">
        <f t="shared" si="1"/>
        <v>0.12</v>
      </c>
      <c r="O8" s="1020">
        <f t="shared" si="4"/>
        <v>2.4</v>
      </c>
      <c r="P8" s="1016"/>
      <c r="Q8" s="1271"/>
      <c r="R8" s="1025">
        <v>200</v>
      </c>
      <c r="S8" s="1021">
        <v>-0.26</v>
      </c>
      <c r="T8" s="1021">
        <v>-2.14</v>
      </c>
      <c r="U8" s="1021">
        <v>-2.0499999999999998</v>
      </c>
      <c r="V8" s="1019">
        <f t="shared" si="2"/>
        <v>0.94000000000000006</v>
      </c>
      <c r="W8" s="1023">
        <f t="shared" si="5"/>
        <v>2.4</v>
      </c>
    </row>
    <row r="9" spans="1:25" ht="12.75" customHeight="1" x14ac:dyDescent="0.25">
      <c r="A9" s="1271"/>
      <c r="B9" s="1017">
        <v>220</v>
      </c>
      <c r="C9" s="1024">
        <v>-0.18</v>
      </c>
      <c r="D9" s="1024">
        <v>-0.18</v>
      </c>
      <c r="E9" s="1024">
        <v>-0.28000000000000003</v>
      </c>
      <c r="F9" s="1019">
        <f t="shared" si="0"/>
        <v>5.0000000000000017E-2</v>
      </c>
      <c r="G9" s="1020">
        <f t="shared" si="3"/>
        <v>2.64</v>
      </c>
      <c r="H9" s="1016"/>
      <c r="I9" s="1271"/>
      <c r="J9" s="1017">
        <v>220</v>
      </c>
      <c r="K9" s="1021">
        <v>-0.03</v>
      </c>
      <c r="L9" s="1021">
        <v>-0.03</v>
      </c>
      <c r="M9" s="1024">
        <v>0.05</v>
      </c>
      <c r="N9" s="1019">
        <f t="shared" si="1"/>
        <v>0.04</v>
      </c>
      <c r="O9" s="1020">
        <f t="shared" si="4"/>
        <v>2.64</v>
      </c>
      <c r="P9" s="1016"/>
      <c r="Q9" s="1271"/>
      <c r="R9" s="1025">
        <v>220</v>
      </c>
      <c r="S9" s="1021">
        <v>-0.28999999999999998</v>
      </c>
      <c r="T9" s="1021">
        <v>-3.44</v>
      </c>
      <c r="U9" s="1021">
        <v>-2.29</v>
      </c>
      <c r="V9" s="1019">
        <f t="shared" si="2"/>
        <v>1.575</v>
      </c>
      <c r="W9" s="1023">
        <f t="shared" si="5"/>
        <v>2.64</v>
      </c>
    </row>
    <row r="10" spans="1:25" ht="12.75" customHeight="1" x14ac:dyDescent="0.25">
      <c r="A10" s="1271"/>
      <c r="B10" s="1017">
        <v>230</v>
      </c>
      <c r="C10" s="1024">
        <v>-0.26</v>
      </c>
      <c r="D10" s="1024">
        <v>-0.26</v>
      </c>
      <c r="E10" s="1024">
        <v>-0.2</v>
      </c>
      <c r="F10" s="1019">
        <f t="shared" si="0"/>
        <v>0.03</v>
      </c>
      <c r="G10" s="1020">
        <f t="shared" si="3"/>
        <v>2.7600000000000002</v>
      </c>
      <c r="H10" s="1016"/>
      <c r="I10" s="1271"/>
      <c r="J10" s="1017">
        <v>230</v>
      </c>
      <c r="K10" s="1021">
        <v>-10.02</v>
      </c>
      <c r="L10" s="1021">
        <v>-10.02</v>
      </c>
      <c r="M10" s="1024">
        <v>0.05</v>
      </c>
      <c r="N10" s="1019">
        <f t="shared" si="1"/>
        <v>5.0350000000000001</v>
      </c>
      <c r="O10" s="1020">
        <f t="shared" si="4"/>
        <v>2.7600000000000002</v>
      </c>
      <c r="P10" s="1016"/>
      <c r="Q10" s="1271"/>
      <c r="R10" s="1025">
        <v>230</v>
      </c>
      <c r="S10" s="1021">
        <v>-0.23</v>
      </c>
      <c r="T10" s="1021">
        <v>-2.52</v>
      </c>
      <c r="U10" s="1021">
        <v>-11.79</v>
      </c>
      <c r="V10" s="1019">
        <f t="shared" si="2"/>
        <v>5.7799999999999994</v>
      </c>
      <c r="W10" s="1023">
        <f t="shared" si="5"/>
        <v>2.7600000000000002</v>
      </c>
    </row>
    <row r="11" spans="1:25" ht="12.75" customHeight="1" x14ac:dyDescent="0.25">
      <c r="A11" s="1271"/>
      <c r="B11" s="1017">
        <v>250</v>
      </c>
      <c r="C11" s="1024">
        <v>9.9999999999999995E-7</v>
      </c>
      <c r="D11" s="1024">
        <v>9.9999999999999995E-7</v>
      </c>
      <c r="E11" s="1024">
        <v>9.9999999999999995E-7</v>
      </c>
      <c r="F11" s="1019">
        <f t="shared" si="0"/>
        <v>0</v>
      </c>
      <c r="G11" s="1020">
        <f t="shared" si="3"/>
        <v>3</v>
      </c>
      <c r="H11" s="1016"/>
      <c r="I11" s="1271"/>
      <c r="J11" s="1017">
        <v>250</v>
      </c>
      <c r="K11" s="1021">
        <v>9.9999999999999995E-7</v>
      </c>
      <c r="L11" s="1021">
        <v>9.9999999999999995E-7</v>
      </c>
      <c r="M11" s="1024">
        <v>9.9999999999999995E-7</v>
      </c>
      <c r="N11" s="1019">
        <f t="shared" si="1"/>
        <v>0</v>
      </c>
      <c r="O11" s="1020">
        <f t="shared" si="4"/>
        <v>3</v>
      </c>
      <c r="P11" s="1016"/>
      <c r="Q11" s="1271"/>
      <c r="R11" s="1025">
        <v>250</v>
      </c>
      <c r="S11" s="1021">
        <v>9.9999999999999995E-7</v>
      </c>
      <c r="T11" s="1026">
        <v>9.9999999999999995E-7</v>
      </c>
      <c r="U11" s="1026">
        <v>9.9999999999999995E-7</v>
      </c>
      <c r="V11" s="1019">
        <f t="shared" si="2"/>
        <v>0</v>
      </c>
      <c r="W11" s="1023">
        <f t="shared" si="5"/>
        <v>3</v>
      </c>
    </row>
    <row r="12" spans="1:25" ht="12.75" customHeight="1" x14ac:dyDescent="0.25">
      <c r="A12" s="1271"/>
      <c r="B12" s="1246" t="s">
        <v>244</v>
      </c>
      <c r="C12" s="1247"/>
      <c r="D12" s="1247"/>
      <c r="E12" s="1248"/>
      <c r="F12" s="1015" t="s">
        <v>242</v>
      </c>
      <c r="G12" s="1015" t="s">
        <v>137</v>
      </c>
      <c r="H12" s="1016"/>
      <c r="I12" s="1271"/>
      <c r="J12" s="1246" t="s">
        <v>244</v>
      </c>
      <c r="K12" s="1247"/>
      <c r="L12" s="1247"/>
      <c r="M12" s="1248"/>
      <c r="N12" s="1015" t="s">
        <v>242</v>
      </c>
      <c r="O12" s="1015" t="s">
        <v>137</v>
      </c>
      <c r="P12" s="1016"/>
      <c r="Q12" s="1271"/>
      <c r="R12" s="1246" t="s">
        <v>244</v>
      </c>
      <c r="S12" s="1247"/>
      <c r="T12" s="1247"/>
      <c r="U12" s="1248"/>
      <c r="V12" s="1015" t="s">
        <v>242</v>
      </c>
      <c r="W12" s="1015" t="s">
        <v>137</v>
      </c>
    </row>
    <row r="13" spans="1:25" ht="15" customHeight="1" x14ac:dyDescent="0.25">
      <c r="A13" s="1271"/>
      <c r="B13" s="1014" t="s">
        <v>245</v>
      </c>
      <c r="C13" s="1015">
        <f>C5</f>
        <v>2019</v>
      </c>
      <c r="D13" s="1015">
        <f>D5</f>
        <v>2019</v>
      </c>
      <c r="E13" s="1015">
        <f>E5</f>
        <v>2020</v>
      </c>
      <c r="F13" s="1015"/>
      <c r="G13" s="1015"/>
      <c r="H13" s="1016"/>
      <c r="I13" s="1271"/>
      <c r="J13" s="1014" t="s">
        <v>245</v>
      </c>
      <c r="K13" s="1015">
        <f>K5</f>
        <v>2017</v>
      </c>
      <c r="L13" s="1015">
        <f>L5</f>
        <v>2017</v>
      </c>
      <c r="M13" s="1015">
        <f>M5</f>
        <v>2019</v>
      </c>
      <c r="N13" s="1015"/>
      <c r="O13" s="1015"/>
      <c r="P13" s="1016"/>
      <c r="Q13" s="1271"/>
      <c r="R13" s="1014" t="s">
        <v>245</v>
      </c>
      <c r="S13" s="1015">
        <f>S5</f>
        <v>2018</v>
      </c>
      <c r="T13" s="1015">
        <f>T5</f>
        <v>2021</v>
      </c>
      <c r="U13" s="1015">
        <f>U5</f>
        <v>2022</v>
      </c>
      <c r="V13" s="1015"/>
      <c r="W13" s="1015"/>
    </row>
    <row r="14" spans="1:25" ht="12.75" customHeight="1" x14ac:dyDescent="0.25">
      <c r="A14" s="1271"/>
      <c r="B14" s="1027">
        <v>9.9999999999999995E-7</v>
      </c>
      <c r="C14" s="1027">
        <v>9.9999999999999995E-7</v>
      </c>
      <c r="D14" s="1027">
        <v>9.9999999999999995E-7</v>
      </c>
      <c r="E14" s="1028">
        <v>0</v>
      </c>
      <c r="F14" s="1019">
        <f t="shared" ref="F14:F19" si="6">0.5*(MAX(C14:E14)-MIN(C14:E14))</f>
        <v>4.9999999999999998E-7</v>
      </c>
      <c r="G14" s="1029">
        <f>B14*$H$14</f>
        <v>5.8999999999999999E-9</v>
      </c>
      <c r="H14" s="1016">
        <f>0.59/100</f>
        <v>5.8999999999999999E-3</v>
      </c>
      <c r="I14" s="1271"/>
      <c r="J14" s="1030">
        <v>9.9999999999999995E-7</v>
      </c>
      <c r="K14" s="1021">
        <v>9.9999999999999995E-7</v>
      </c>
      <c r="L14" s="1021">
        <v>9.9999999999999995E-7</v>
      </c>
      <c r="M14" s="1024">
        <v>9.9999999999999995E-7</v>
      </c>
      <c r="N14" s="1019">
        <f t="shared" ref="N14:N19" si="7">0.5*(MAX(K14:M14)-MIN(K14:M14))</f>
        <v>0</v>
      </c>
      <c r="O14" s="1029">
        <f>J14*$P$14</f>
        <v>5.8999999999999999E-9</v>
      </c>
      <c r="P14" s="1016">
        <f>0.59/100</f>
        <v>5.8999999999999999E-3</v>
      </c>
      <c r="Q14" s="1271"/>
      <c r="R14" s="1021">
        <v>9.9999999999999995E-7</v>
      </c>
      <c r="S14" s="1020">
        <v>9.9999999999999995E-7</v>
      </c>
      <c r="T14" s="1024">
        <v>9.9999999999999995E-7</v>
      </c>
      <c r="U14" s="1024">
        <v>9.9999999999999995E-7</v>
      </c>
      <c r="V14" s="1019">
        <f t="shared" ref="V14:V19" si="8">0.5*(MAX(S14:U14)-MIN(S14:U14))</f>
        <v>0</v>
      </c>
      <c r="W14" s="1029">
        <f>R14*$X$14</f>
        <v>5.8999999999999999E-9</v>
      </c>
      <c r="X14" s="1010">
        <f>0.59/100</f>
        <v>5.8999999999999999E-3</v>
      </c>
    </row>
    <row r="15" spans="1:25" ht="12.75" customHeight="1" x14ac:dyDescent="0.25">
      <c r="A15" s="1271"/>
      <c r="B15" s="1025">
        <v>50</v>
      </c>
      <c r="C15" s="1024">
        <v>-0.06</v>
      </c>
      <c r="D15" s="1024">
        <v>-0.06</v>
      </c>
      <c r="E15" s="1024">
        <v>0.1</v>
      </c>
      <c r="F15" s="1019">
        <f t="shared" si="6"/>
        <v>0.08</v>
      </c>
      <c r="G15" s="1029">
        <f t="shared" ref="G15:G19" si="9">B15*$H$14</f>
        <v>0.29499999999999998</v>
      </c>
      <c r="H15" s="1016"/>
      <c r="I15" s="1271"/>
      <c r="J15" s="1025">
        <v>50</v>
      </c>
      <c r="K15" s="1021">
        <v>0.1</v>
      </c>
      <c r="L15" s="1021">
        <v>0.1</v>
      </c>
      <c r="M15" s="1024">
        <v>0.1</v>
      </c>
      <c r="N15" s="1019">
        <f t="shared" si="7"/>
        <v>0</v>
      </c>
      <c r="O15" s="1029">
        <f>J15*$P$14</f>
        <v>0.29499999999999998</v>
      </c>
      <c r="P15" s="1016"/>
      <c r="Q15" s="1271"/>
      <c r="R15" s="1025">
        <v>50</v>
      </c>
      <c r="S15" s="1021">
        <v>2</v>
      </c>
      <c r="T15" s="1021">
        <v>2.1</v>
      </c>
      <c r="U15" s="1021">
        <v>9.1</v>
      </c>
      <c r="V15" s="1019">
        <f t="shared" si="8"/>
        <v>3.55</v>
      </c>
      <c r="W15" s="1029">
        <f t="shared" ref="W15:W19" si="10">R15*$X$14</f>
        <v>0.29499999999999998</v>
      </c>
    </row>
    <row r="16" spans="1:25" ht="12.75" customHeight="1" x14ac:dyDescent="0.25">
      <c r="A16" s="1271"/>
      <c r="B16" s="1025">
        <v>100</v>
      </c>
      <c r="C16" s="1024">
        <v>-0.06</v>
      </c>
      <c r="D16" s="1024">
        <v>-0.06</v>
      </c>
      <c r="E16" s="1024">
        <v>0.2</v>
      </c>
      <c r="F16" s="1019">
        <f t="shared" si="6"/>
        <v>0.13</v>
      </c>
      <c r="G16" s="1029">
        <f t="shared" si="9"/>
        <v>0.59</v>
      </c>
      <c r="H16" s="1016"/>
      <c r="I16" s="1271"/>
      <c r="J16" s="1025">
        <v>100</v>
      </c>
      <c r="K16" s="1021">
        <v>2.2000000000000002</v>
      </c>
      <c r="L16" s="1021">
        <v>2.2000000000000002</v>
      </c>
      <c r="M16" s="1024">
        <v>0.4</v>
      </c>
      <c r="N16" s="1019">
        <f t="shared" si="7"/>
        <v>0.90000000000000013</v>
      </c>
      <c r="O16" s="1029">
        <f t="shared" ref="O16:O19" si="11">J16*$P$14</f>
        <v>0.59</v>
      </c>
      <c r="P16" s="1016"/>
      <c r="Q16" s="1271"/>
      <c r="R16" s="1025">
        <v>100</v>
      </c>
      <c r="S16" s="1021">
        <v>2</v>
      </c>
      <c r="T16" s="1021">
        <v>2.2999999999999998</v>
      </c>
      <c r="U16" s="1021">
        <v>6</v>
      </c>
      <c r="V16" s="1019">
        <f t="shared" si="8"/>
        <v>2</v>
      </c>
      <c r="W16" s="1029">
        <f t="shared" si="10"/>
        <v>0.59</v>
      </c>
    </row>
    <row r="17" spans="1:24" ht="12.75" customHeight="1" x14ac:dyDescent="0.25">
      <c r="A17" s="1271"/>
      <c r="B17" s="1025">
        <v>200</v>
      </c>
      <c r="C17" s="1024">
        <v>0</v>
      </c>
      <c r="D17" s="1024">
        <v>0</v>
      </c>
      <c r="E17" s="1024">
        <v>0.4</v>
      </c>
      <c r="F17" s="1019">
        <f t="shared" si="6"/>
        <v>0.2</v>
      </c>
      <c r="G17" s="1029">
        <f t="shared" si="9"/>
        <v>1.18</v>
      </c>
      <c r="H17" s="1016"/>
      <c r="I17" s="1271"/>
      <c r="J17" s="1025">
        <v>200</v>
      </c>
      <c r="K17" s="1021">
        <v>3.3</v>
      </c>
      <c r="L17" s="1021">
        <v>3.3</v>
      </c>
      <c r="M17" s="1024">
        <v>0.7</v>
      </c>
      <c r="N17" s="1019">
        <f t="shared" si="7"/>
        <v>1.2999999999999998</v>
      </c>
      <c r="O17" s="1029">
        <f t="shared" si="11"/>
        <v>1.18</v>
      </c>
      <c r="P17" s="1016"/>
      <c r="Q17" s="1271"/>
      <c r="R17" s="1025">
        <v>200</v>
      </c>
      <c r="S17" s="1021">
        <v>3.6</v>
      </c>
      <c r="T17" s="1021">
        <v>2.5</v>
      </c>
      <c r="U17" s="1021">
        <v>-3.6</v>
      </c>
      <c r="V17" s="1019">
        <f t="shared" si="8"/>
        <v>3.6</v>
      </c>
      <c r="W17" s="1029">
        <f t="shared" si="10"/>
        <v>1.18</v>
      </c>
    </row>
    <row r="18" spans="1:24" ht="12.75" customHeight="1" x14ac:dyDescent="0.25">
      <c r="A18" s="1271"/>
      <c r="B18" s="1025">
        <v>500</v>
      </c>
      <c r="C18" s="1024">
        <v>-0.9</v>
      </c>
      <c r="D18" s="1024">
        <v>-0.9</v>
      </c>
      <c r="E18" s="1024">
        <v>3.8</v>
      </c>
      <c r="F18" s="1019">
        <f t="shared" si="6"/>
        <v>2.35</v>
      </c>
      <c r="G18" s="1029">
        <f t="shared" si="9"/>
        <v>2.9499999999999997</v>
      </c>
      <c r="H18" s="1016"/>
      <c r="I18" s="1271"/>
      <c r="J18" s="1025">
        <v>500</v>
      </c>
      <c r="K18" s="1021">
        <v>20</v>
      </c>
      <c r="L18" s="1021">
        <v>20</v>
      </c>
      <c r="M18" s="1024">
        <v>0.8</v>
      </c>
      <c r="N18" s="1019">
        <f t="shared" si="7"/>
        <v>9.6</v>
      </c>
      <c r="O18" s="1029">
        <f t="shared" si="11"/>
        <v>2.9499999999999997</v>
      </c>
      <c r="P18" s="1016"/>
      <c r="Q18" s="1271"/>
      <c r="R18" s="1025">
        <v>500</v>
      </c>
      <c r="S18" s="1021">
        <v>2.9</v>
      </c>
      <c r="T18" s="1021">
        <v>4.3</v>
      </c>
      <c r="U18" s="1021">
        <v>-18.8</v>
      </c>
      <c r="V18" s="1019">
        <f t="shared" si="8"/>
        <v>11.55</v>
      </c>
      <c r="W18" s="1029">
        <f t="shared" si="10"/>
        <v>2.9499999999999997</v>
      </c>
    </row>
    <row r="19" spans="1:24" ht="12.75" customHeight="1" x14ac:dyDescent="0.25">
      <c r="A19" s="1271"/>
      <c r="B19" s="1025">
        <v>1000</v>
      </c>
      <c r="C19" s="1024">
        <v>-3.0000000000000001E-3</v>
      </c>
      <c r="D19" s="1024">
        <v>-3.0000000000000001E-3</v>
      </c>
      <c r="E19" s="1024">
        <v>9</v>
      </c>
      <c r="F19" s="1019">
        <f t="shared" si="6"/>
        <v>4.5015000000000001</v>
      </c>
      <c r="G19" s="1029">
        <f t="shared" si="9"/>
        <v>5.8999999999999995</v>
      </c>
      <c r="H19" s="1016"/>
      <c r="I19" s="1271"/>
      <c r="J19" s="1025">
        <v>1000</v>
      </c>
      <c r="K19" s="1031">
        <v>2</v>
      </c>
      <c r="L19" s="1031">
        <v>2</v>
      </c>
      <c r="M19" s="1024">
        <v>8.0000000000000002E-3</v>
      </c>
      <c r="N19" s="1019">
        <f t="shared" si="7"/>
        <v>0.996</v>
      </c>
      <c r="O19" s="1029">
        <f t="shared" si="11"/>
        <v>5.8999999999999995</v>
      </c>
      <c r="P19" s="1016"/>
      <c r="Q19" s="1271"/>
      <c r="R19" s="1025">
        <v>1000</v>
      </c>
      <c r="S19" s="1021">
        <v>3</v>
      </c>
      <c r="T19" s="1021">
        <v>2</v>
      </c>
      <c r="U19" s="1021">
        <v>-47</v>
      </c>
      <c r="V19" s="1019">
        <f t="shared" si="8"/>
        <v>25</v>
      </c>
      <c r="W19" s="1029">
        <f t="shared" si="10"/>
        <v>5.8999999999999995</v>
      </c>
    </row>
    <row r="20" spans="1:24" ht="12.75" customHeight="1" x14ac:dyDescent="0.25">
      <c r="A20" s="1271"/>
      <c r="B20" s="1246" t="s">
        <v>246</v>
      </c>
      <c r="C20" s="1247"/>
      <c r="D20" s="1247"/>
      <c r="E20" s="1248"/>
      <c r="F20" s="1015" t="s">
        <v>242</v>
      </c>
      <c r="G20" s="1015" t="s">
        <v>137</v>
      </c>
      <c r="H20" s="1016"/>
      <c r="I20" s="1271"/>
      <c r="J20" s="1246" t="str">
        <f>B20</f>
        <v>Main-PE</v>
      </c>
      <c r="K20" s="1247"/>
      <c r="L20" s="1247"/>
      <c r="M20" s="1248"/>
      <c r="N20" s="1015" t="s">
        <v>242</v>
      </c>
      <c r="O20" s="1015" t="s">
        <v>137</v>
      </c>
      <c r="P20" s="1016"/>
      <c r="Q20" s="1271"/>
      <c r="R20" s="1246" t="str">
        <f>B20</f>
        <v>Main-PE</v>
      </c>
      <c r="S20" s="1247"/>
      <c r="T20" s="1247"/>
      <c r="U20" s="1248"/>
      <c r="V20" s="1015" t="s">
        <v>242</v>
      </c>
      <c r="W20" s="1015" t="s">
        <v>137</v>
      </c>
    </row>
    <row r="21" spans="1:24" ht="15" customHeight="1" x14ac:dyDescent="0.25">
      <c r="A21" s="1271"/>
      <c r="B21" s="1014" t="s">
        <v>247</v>
      </c>
      <c r="C21" s="1015">
        <v>2019</v>
      </c>
      <c r="D21" s="1015">
        <v>2019</v>
      </c>
      <c r="E21" s="1015">
        <v>2015</v>
      </c>
      <c r="F21" s="1015"/>
      <c r="G21" s="1015"/>
      <c r="H21" s="1016"/>
      <c r="I21" s="1271"/>
      <c r="J21" s="1014" t="s">
        <v>247</v>
      </c>
      <c r="K21" s="1015">
        <f>K5</f>
        <v>2017</v>
      </c>
      <c r="L21" s="1015">
        <f>L5</f>
        <v>2017</v>
      </c>
      <c r="M21" s="1015">
        <f>M5</f>
        <v>2019</v>
      </c>
      <c r="N21" s="1015"/>
      <c r="O21" s="1015"/>
      <c r="P21" s="1016"/>
      <c r="Q21" s="1271"/>
      <c r="R21" s="1014" t="s">
        <v>247</v>
      </c>
      <c r="S21" s="1015">
        <f>S5</f>
        <v>2018</v>
      </c>
      <c r="T21" s="1015">
        <f>T5</f>
        <v>2021</v>
      </c>
      <c r="U21" s="1015">
        <f>U5</f>
        <v>2022</v>
      </c>
      <c r="V21" s="1015"/>
      <c r="W21" s="1015"/>
    </row>
    <row r="22" spans="1:24" ht="12.75" customHeight="1" x14ac:dyDescent="0.25">
      <c r="A22" s="1271"/>
      <c r="B22" s="1025">
        <v>10</v>
      </c>
      <c r="C22" s="1021" t="s">
        <v>129</v>
      </c>
      <c r="D22" s="1021" t="s">
        <v>129</v>
      </c>
      <c r="E22" s="1021">
        <v>9.9999999999999995E-7</v>
      </c>
      <c r="F22" s="1019">
        <f t="shared" ref="F22:F25" si="12">0.5*(MAX(C22:E22)-MIN(C22:E22))</f>
        <v>0</v>
      </c>
      <c r="G22" s="1030">
        <v>1.4</v>
      </c>
      <c r="H22" s="1016"/>
      <c r="I22" s="1271"/>
      <c r="J22" s="1025">
        <v>10</v>
      </c>
      <c r="K22" s="1021">
        <v>9.9999999999999995E-7</v>
      </c>
      <c r="L22" s="1021">
        <v>9.9999999999999995E-7</v>
      </c>
      <c r="M22" s="1024">
        <v>0.1</v>
      </c>
      <c r="N22" s="1019">
        <f t="shared" ref="N22:N25" si="13">0.5*(MAX(K22:M22)-MIN(K22:M22))</f>
        <v>4.9999500000000002E-2</v>
      </c>
      <c r="O22" s="1021">
        <f>J22*$P$22</f>
        <v>5.8999999999999997E-2</v>
      </c>
      <c r="P22" s="1016">
        <f>0.59/100</f>
        <v>5.8999999999999999E-3</v>
      </c>
      <c r="Q22" s="1271"/>
      <c r="R22" s="1025">
        <v>10</v>
      </c>
      <c r="S22" s="1021">
        <v>9.9999999999999995E-7</v>
      </c>
      <c r="T22" s="1021">
        <v>0.26</v>
      </c>
      <c r="U22" s="1021">
        <v>0</v>
      </c>
      <c r="V22" s="1019">
        <f t="shared" ref="V22:V25" si="14">0.5*(MAX(S22:U22)-MIN(S22:U22))</f>
        <v>0.13</v>
      </c>
      <c r="W22" s="1030">
        <f>R22*$X$22</f>
        <v>0.17</v>
      </c>
      <c r="X22" s="1010">
        <f>1.7/100</f>
        <v>1.7000000000000001E-2</v>
      </c>
    </row>
    <row r="23" spans="1:24" ht="12.75" customHeight="1" x14ac:dyDescent="0.25">
      <c r="A23" s="1271"/>
      <c r="B23" s="1025">
        <v>20</v>
      </c>
      <c r="C23" s="1021" t="s">
        <v>129</v>
      </c>
      <c r="D23" s="1021" t="s">
        <v>129</v>
      </c>
      <c r="E23" s="1021">
        <v>9.9999999999999995E-7</v>
      </c>
      <c r="F23" s="1019">
        <f t="shared" si="12"/>
        <v>0</v>
      </c>
      <c r="G23" s="1030">
        <v>1.4</v>
      </c>
      <c r="H23" s="1016"/>
      <c r="I23" s="1271"/>
      <c r="J23" s="1025">
        <v>20</v>
      </c>
      <c r="K23" s="1021">
        <v>0.1</v>
      </c>
      <c r="L23" s="1021">
        <v>0.1</v>
      </c>
      <c r="M23" s="1024">
        <v>0.2</v>
      </c>
      <c r="N23" s="1019">
        <f t="shared" si="13"/>
        <v>0.05</v>
      </c>
      <c r="O23" s="1021">
        <f t="shared" ref="O23:O25" si="15">J23*$P$22</f>
        <v>0.11799999999999999</v>
      </c>
      <c r="P23" s="1016"/>
      <c r="Q23" s="1271"/>
      <c r="R23" s="1025">
        <v>20</v>
      </c>
      <c r="S23" s="1021">
        <v>0</v>
      </c>
      <c r="T23" s="1026">
        <v>9.9999999999999995E-7</v>
      </c>
      <c r="U23" s="1026">
        <v>0</v>
      </c>
      <c r="V23" s="1019">
        <f t="shared" si="14"/>
        <v>4.9999999999999998E-7</v>
      </c>
      <c r="W23" s="1030">
        <f t="shared" ref="W23:W25" si="16">R23*$X$22</f>
        <v>0.34</v>
      </c>
    </row>
    <row r="24" spans="1:24" ht="12.75" customHeight="1" x14ac:dyDescent="0.25">
      <c r="A24" s="1271"/>
      <c r="B24" s="1025">
        <v>50</v>
      </c>
      <c r="C24" s="1021" t="s">
        <v>129</v>
      </c>
      <c r="D24" s="1021" t="s">
        <v>129</v>
      </c>
      <c r="E24" s="1021">
        <v>9.9999999999999995E-7</v>
      </c>
      <c r="F24" s="1019">
        <f t="shared" si="12"/>
        <v>0</v>
      </c>
      <c r="G24" s="1030">
        <v>1.4</v>
      </c>
      <c r="H24" s="1016"/>
      <c r="I24" s="1271"/>
      <c r="J24" s="1025">
        <v>50</v>
      </c>
      <c r="K24" s="1021">
        <v>0.1</v>
      </c>
      <c r="L24" s="1021">
        <v>0.1</v>
      </c>
      <c r="M24" s="1024">
        <v>0.3</v>
      </c>
      <c r="N24" s="1019">
        <f t="shared" si="13"/>
        <v>9.9999999999999992E-2</v>
      </c>
      <c r="O24" s="1021">
        <f t="shared" si="15"/>
        <v>0.29499999999999998</v>
      </c>
      <c r="P24" s="1016"/>
      <c r="Q24" s="1271"/>
      <c r="R24" s="1025">
        <v>50</v>
      </c>
      <c r="S24" s="1021">
        <v>0.3</v>
      </c>
      <c r="T24" s="1021">
        <v>0.16</v>
      </c>
      <c r="U24" s="1021">
        <v>0.1</v>
      </c>
      <c r="V24" s="1019">
        <f t="shared" si="14"/>
        <v>9.9999999999999992E-2</v>
      </c>
      <c r="W24" s="1030">
        <f t="shared" si="16"/>
        <v>0.85000000000000009</v>
      </c>
    </row>
    <row r="25" spans="1:24" ht="12.75" customHeight="1" x14ac:dyDescent="0.25">
      <c r="A25" s="1271"/>
      <c r="B25" s="1025">
        <v>100</v>
      </c>
      <c r="C25" s="1021" t="s">
        <v>129</v>
      </c>
      <c r="D25" s="1021" t="s">
        <v>129</v>
      </c>
      <c r="E25" s="1021">
        <v>-0.3</v>
      </c>
      <c r="F25" s="1019">
        <f t="shared" si="12"/>
        <v>0</v>
      </c>
      <c r="G25" s="1030">
        <v>1.4</v>
      </c>
      <c r="H25" s="1016"/>
      <c r="I25" s="1271"/>
      <c r="J25" s="1025">
        <v>100</v>
      </c>
      <c r="K25" s="1021">
        <v>9.9999999999999995E-7</v>
      </c>
      <c r="L25" s="1021">
        <v>9.9999999999999995E-7</v>
      </c>
      <c r="M25" s="1024">
        <v>0.3</v>
      </c>
      <c r="N25" s="1019">
        <f t="shared" si="13"/>
        <v>0.14999950000000001</v>
      </c>
      <c r="O25" s="1021">
        <f t="shared" si="15"/>
        <v>0.59</v>
      </c>
      <c r="P25" s="1016"/>
      <c r="Q25" s="1271"/>
      <c r="R25" s="1025">
        <v>100</v>
      </c>
      <c r="S25" s="1021">
        <v>0.6</v>
      </c>
      <c r="T25" s="1021">
        <v>0.06</v>
      </c>
      <c r="U25" s="1021">
        <v>0.1</v>
      </c>
      <c r="V25" s="1019">
        <f t="shared" si="14"/>
        <v>0.27</v>
      </c>
      <c r="W25" s="1030">
        <f t="shared" si="16"/>
        <v>1.7000000000000002</v>
      </c>
    </row>
    <row r="26" spans="1:24" ht="12.75" customHeight="1" x14ac:dyDescent="0.25">
      <c r="A26" s="1271"/>
      <c r="B26" s="1246" t="s">
        <v>248</v>
      </c>
      <c r="C26" s="1247"/>
      <c r="D26" s="1247"/>
      <c r="E26" s="1248"/>
      <c r="F26" s="1015" t="s">
        <v>242</v>
      </c>
      <c r="G26" s="1015" t="s">
        <v>137</v>
      </c>
      <c r="H26" s="1016"/>
      <c r="I26" s="1271"/>
      <c r="J26" s="1246" t="str">
        <f>B26</f>
        <v>Resistance</v>
      </c>
      <c r="K26" s="1247"/>
      <c r="L26" s="1247"/>
      <c r="M26" s="1248"/>
      <c r="N26" s="1015" t="s">
        <v>242</v>
      </c>
      <c r="O26" s="1015" t="s">
        <v>137</v>
      </c>
      <c r="P26" s="1016"/>
      <c r="Q26" s="1271"/>
      <c r="R26" s="1246" t="str">
        <f>B26</f>
        <v>Resistance</v>
      </c>
      <c r="S26" s="1247"/>
      <c r="T26" s="1247"/>
      <c r="U26" s="1248"/>
      <c r="V26" s="1015" t="s">
        <v>242</v>
      </c>
      <c r="W26" s="1015" t="s">
        <v>137</v>
      </c>
    </row>
    <row r="27" spans="1:24" ht="15" customHeight="1" x14ac:dyDescent="0.25">
      <c r="A27" s="1271"/>
      <c r="B27" s="1014" t="s">
        <v>249</v>
      </c>
      <c r="C27" s="1015">
        <f>C5</f>
        <v>2019</v>
      </c>
      <c r="D27" s="1015">
        <f>D5</f>
        <v>2019</v>
      </c>
      <c r="E27" s="1015">
        <f>E5</f>
        <v>2020</v>
      </c>
      <c r="F27" s="1015"/>
      <c r="G27" s="1015"/>
      <c r="H27" s="1016"/>
      <c r="I27" s="1271"/>
      <c r="J27" s="1014" t="s">
        <v>249</v>
      </c>
      <c r="K27" s="1015">
        <f>K5</f>
        <v>2017</v>
      </c>
      <c r="L27" s="1015">
        <f>L5</f>
        <v>2017</v>
      </c>
      <c r="M27" s="1015">
        <f>M5</f>
        <v>2019</v>
      </c>
      <c r="N27" s="1015"/>
      <c r="O27" s="1015"/>
      <c r="P27" s="1016"/>
      <c r="Q27" s="1271"/>
      <c r="R27" s="1014" t="s">
        <v>249</v>
      </c>
      <c r="S27" s="1015">
        <f>S5</f>
        <v>2018</v>
      </c>
      <c r="T27" s="1015">
        <f>T5</f>
        <v>2021</v>
      </c>
      <c r="U27" s="1015">
        <f>U5</f>
        <v>2022</v>
      </c>
      <c r="V27" s="1015"/>
      <c r="W27" s="1015"/>
    </row>
    <row r="28" spans="1:24" ht="12.75" customHeight="1" x14ac:dyDescent="0.25">
      <c r="A28" s="1271"/>
      <c r="B28" s="1025">
        <v>0.01</v>
      </c>
      <c r="C28" s="1026">
        <v>9.9999999999999995E-7</v>
      </c>
      <c r="D28" s="1026">
        <v>9.9999999999999995E-7</v>
      </c>
      <c r="E28" s="1026">
        <v>9.9999999999999995E-7</v>
      </c>
      <c r="F28" s="1019">
        <f t="shared" ref="F28:F31" si="17">0.5*(MAX(C28:E28)-MIN(C28:E28))</f>
        <v>0</v>
      </c>
      <c r="G28" s="1025">
        <f>B28*$H$28</f>
        <v>1.2E-4</v>
      </c>
      <c r="H28" s="1016">
        <f>1.2/100</f>
        <v>1.2E-2</v>
      </c>
      <c r="I28" s="1271"/>
      <c r="J28" s="1025">
        <v>0.01</v>
      </c>
      <c r="K28" s="1031">
        <v>9.9999999999999995E-7</v>
      </c>
      <c r="L28" s="1031">
        <v>9.9999999999999995E-7</v>
      </c>
      <c r="M28" s="1026">
        <v>9.9999999999999995E-7</v>
      </c>
      <c r="N28" s="1019">
        <f t="shared" ref="N28:N31" si="18">0.5*(MAX(K28:M28)-MIN(K28:M28))</f>
        <v>0</v>
      </c>
      <c r="O28" s="1025">
        <f>J28*$P$28</f>
        <v>1.2E-4</v>
      </c>
      <c r="P28" s="1032">
        <f>1.2/100</f>
        <v>1.2E-2</v>
      </c>
      <c r="Q28" s="1271"/>
      <c r="R28" s="1025">
        <v>0.01</v>
      </c>
      <c r="S28" s="1031">
        <v>9.9999999999999995E-7</v>
      </c>
      <c r="T28" s="1026">
        <v>9.9999999999999995E-7</v>
      </c>
      <c r="U28" s="1026">
        <v>0</v>
      </c>
      <c r="V28" s="1019">
        <f t="shared" ref="V28:V31" si="19">0.5*(MAX(S28:U28)-MIN(S28:U28))</f>
        <v>4.9999999999999998E-7</v>
      </c>
      <c r="W28" s="1033">
        <f>R28*$X$28</f>
        <v>1.2E-4</v>
      </c>
      <c r="X28" s="1010">
        <f>1.2/100</f>
        <v>1.2E-2</v>
      </c>
    </row>
    <row r="29" spans="1:24" ht="12.75" customHeight="1" x14ac:dyDescent="0.25">
      <c r="A29" s="1271"/>
      <c r="B29" s="1025">
        <v>0.1</v>
      </c>
      <c r="C29" s="1026">
        <v>2E-3</v>
      </c>
      <c r="D29" s="1026">
        <v>2E-3</v>
      </c>
      <c r="E29" s="1026">
        <v>-1E-3</v>
      </c>
      <c r="F29" s="1019">
        <f t="shared" si="17"/>
        <v>1.5E-3</v>
      </c>
      <c r="G29" s="1025">
        <f t="shared" ref="G29:G31" si="20">B29*$H$28</f>
        <v>1.2000000000000001E-3</v>
      </c>
      <c r="H29" s="1016"/>
      <c r="I29" s="1271"/>
      <c r="J29" s="1025">
        <v>0.1</v>
      </c>
      <c r="K29" s="1031">
        <v>5.0000000000000001E-3</v>
      </c>
      <c r="L29" s="1031">
        <v>5.0000000000000001E-3</v>
      </c>
      <c r="M29" s="1026">
        <v>6.0000000000000001E-3</v>
      </c>
      <c r="N29" s="1019">
        <f t="shared" si="18"/>
        <v>5.0000000000000001E-4</v>
      </c>
      <c r="O29" s="1025">
        <f t="shared" ref="O29:O31" si="21">J29*$P$28</f>
        <v>1.2000000000000001E-3</v>
      </c>
      <c r="P29" s="1016"/>
      <c r="Q29" s="1271"/>
      <c r="R29" s="1025">
        <v>0.1</v>
      </c>
      <c r="S29" s="1031">
        <v>9.9999999999999995E-7</v>
      </c>
      <c r="T29" s="1026">
        <v>9.9999999999999995E-7</v>
      </c>
      <c r="U29" s="1026">
        <v>-2E-3</v>
      </c>
      <c r="V29" s="1019">
        <f t="shared" si="19"/>
        <v>1.0005000000000001E-3</v>
      </c>
      <c r="W29" s="1033">
        <f t="shared" ref="W29:W31" si="22">R29*$X$28</f>
        <v>1.2000000000000001E-3</v>
      </c>
    </row>
    <row r="30" spans="1:24" ht="12.75" customHeight="1" x14ac:dyDescent="0.25">
      <c r="A30" s="1271"/>
      <c r="B30" s="1025">
        <v>1</v>
      </c>
      <c r="C30" s="1026">
        <v>1.2E-2</v>
      </c>
      <c r="D30" s="1026">
        <v>1.2E-2</v>
      </c>
      <c r="E30" s="1026">
        <v>4.0000000000000001E-3</v>
      </c>
      <c r="F30" s="1019">
        <f t="shared" si="17"/>
        <v>4.0000000000000001E-3</v>
      </c>
      <c r="G30" s="1025">
        <f t="shared" si="20"/>
        <v>1.2E-2</v>
      </c>
      <c r="H30" s="1016"/>
      <c r="I30" s="1271"/>
      <c r="J30" s="1025">
        <v>1</v>
      </c>
      <c r="K30" s="1031">
        <v>5.5E-2</v>
      </c>
      <c r="L30" s="1031">
        <v>5.5E-2</v>
      </c>
      <c r="M30" s="1026">
        <v>4.4999999999999998E-2</v>
      </c>
      <c r="N30" s="1019">
        <f t="shared" si="18"/>
        <v>5.000000000000001E-3</v>
      </c>
      <c r="O30" s="1025">
        <f t="shared" si="21"/>
        <v>1.2E-2</v>
      </c>
      <c r="P30" s="1016"/>
      <c r="Q30" s="1271"/>
      <c r="R30" s="1025">
        <v>1</v>
      </c>
      <c r="S30" s="1031">
        <v>9.9999999999999995E-7</v>
      </c>
      <c r="T30" s="1031">
        <v>6.0000000000000001E-3</v>
      </c>
      <c r="U30" s="1031">
        <v>-1.2E-2</v>
      </c>
      <c r="V30" s="1019">
        <f t="shared" si="19"/>
        <v>9.0000000000000011E-3</v>
      </c>
      <c r="W30" s="1033">
        <f t="shared" si="22"/>
        <v>1.2E-2</v>
      </c>
    </row>
    <row r="31" spans="1:24" ht="12.75" customHeight="1" x14ac:dyDescent="0.25">
      <c r="A31" s="1272"/>
      <c r="B31" s="1025">
        <v>2</v>
      </c>
      <c r="C31" s="1026">
        <v>9.9999999999999995E-7</v>
      </c>
      <c r="D31" s="1026">
        <v>9.9999999999999995E-7</v>
      </c>
      <c r="E31" s="1026">
        <v>7.0000000000000001E-3</v>
      </c>
      <c r="F31" s="1019">
        <f t="shared" si="17"/>
        <v>3.4995E-3</v>
      </c>
      <c r="G31" s="1025">
        <f t="shared" si="20"/>
        <v>2.4E-2</v>
      </c>
      <c r="H31" s="1016"/>
      <c r="I31" s="1272"/>
      <c r="J31" s="1025">
        <v>2</v>
      </c>
      <c r="K31" s="1031">
        <v>9.9999999999999995E-7</v>
      </c>
      <c r="L31" s="1031">
        <v>9.9999999999999995E-7</v>
      </c>
      <c r="M31" s="1026">
        <v>9.9999999999999995E-7</v>
      </c>
      <c r="N31" s="1019">
        <f t="shared" si="18"/>
        <v>0</v>
      </c>
      <c r="O31" s="1034">
        <f t="shared" si="21"/>
        <v>2.4E-2</v>
      </c>
      <c r="P31" s="1016"/>
      <c r="Q31" s="1272"/>
      <c r="R31" s="1025">
        <v>2</v>
      </c>
      <c r="S31" s="1031">
        <v>9.9999999999999995E-7</v>
      </c>
      <c r="T31" s="1031">
        <v>1.2999999999999999E-2</v>
      </c>
      <c r="U31" s="1031">
        <v>-8.0000000000000002E-3</v>
      </c>
      <c r="V31" s="1019">
        <f t="shared" si="19"/>
        <v>1.0499999999999999E-2</v>
      </c>
      <c r="W31" s="1033">
        <f t="shared" si="22"/>
        <v>2.4E-2</v>
      </c>
    </row>
    <row r="32" spans="1:24" s="432" customFormat="1" ht="19.5" customHeight="1" x14ac:dyDescent="0.25">
      <c r="A32" s="1035"/>
      <c r="B32" s="1036"/>
      <c r="C32" s="1036"/>
      <c r="E32" s="1036"/>
      <c r="F32" s="1036"/>
      <c r="G32" s="1036"/>
      <c r="H32" s="1037"/>
      <c r="I32" s="1036"/>
      <c r="J32" s="1036"/>
      <c r="K32" s="1036"/>
      <c r="M32" s="1036"/>
      <c r="N32" s="1036"/>
      <c r="O32" s="1036"/>
      <c r="P32" s="1037"/>
      <c r="Q32" s="1036"/>
      <c r="R32" s="1036"/>
      <c r="S32" s="1036"/>
      <c r="U32" s="1036"/>
      <c r="V32" s="1036"/>
      <c r="W32" s="1038"/>
      <c r="X32" s="1039"/>
    </row>
    <row r="33" spans="1:24" ht="30" customHeight="1" x14ac:dyDescent="0.25">
      <c r="A33" s="1270">
        <v>4</v>
      </c>
      <c r="B33" s="1273" t="str">
        <f>A169</f>
        <v>Electrical Safety Analyzer, Merek : Fluke, Model : ESA 615, SN : 2853078</v>
      </c>
      <c r="C33" s="1273"/>
      <c r="D33" s="1273"/>
      <c r="E33" s="1273"/>
      <c r="F33" s="1273"/>
      <c r="G33" s="1273"/>
      <c r="H33" s="1040"/>
      <c r="I33" s="1270">
        <v>5</v>
      </c>
      <c r="J33" s="1277" t="str">
        <f>A170</f>
        <v>Electrical Safety Analyzer, Merek : Fluke, Model : ESA 615, SN : 3148907</v>
      </c>
      <c r="K33" s="1277"/>
      <c r="L33" s="1277"/>
      <c r="M33" s="1277"/>
      <c r="N33" s="1277"/>
      <c r="O33" s="1277"/>
      <c r="P33" s="1011"/>
      <c r="Q33" s="1270">
        <v>6</v>
      </c>
      <c r="R33" s="1273" t="str">
        <f>A171</f>
        <v>Electrical Safety Analyzer, Merek : Fluke, Model : ESA 615, SN : 3148908</v>
      </c>
      <c r="S33" s="1273"/>
      <c r="T33" s="1273"/>
      <c r="U33" s="1273"/>
      <c r="V33" s="1273"/>
      <c r="W33" s="1273"/>
    </row>
    <row r="34" spans="1:24" ht="15" customHeight="1" x14ac:dyDescent="0.3">
      <c r="A34" s="1271"/>
      <c r="B34" s="1275" t="s">
        <v>240</v>
      </c>
      <c r="C34" s="1275"/>
      <c r="D34" s="1275"/>
      <c r="E34" s="1275"/>
      <c r="F34" s="1041"/>
      <c r="G34" s="1041"/>
      <c r="H34" s="1013"/>
      <c r="I34" s="1271"/>
      <c r="J34" s="1275" t="s">
        <v>240</v>
      </c>
      <c r="K34" s="1275"/>
      <c r="L34" s="1275"/>
      <c r="M34" s="1275"/>
      <c r="N34" s="1041"/>
      <c r="O34" s="1041"/>
      <c r="P34" s="1013"/>
      <c r="Q34" s="1271"/>
      <c r="R34" s="1275" t="s">
        <v>240</v>
      </c>
      <c r="S34" s="1275"/>
      <c r="T34" s="1275"/>
      <c r="U34" s="1275"/>
      <c r="V34" s="1041"/>
      <c r="W34" s="1041"/>
    </row>
    <row r="35" spans="1:24" ht="12.75" customHeight="1" x14ac:dyDescent="0.25">
      <c r="A35" s="1271"/>
      <c r="B35" s="1267" t="s">
        <v>241</v>
      </c>
      <c r="C35" s="1268"/>
      <c r="D35" s="1268"/>
      <c r="E35" s="1269"/>
      <c r="F35" s="1015" t="s">
        <v>242</v>
      </c>
      <c r="G35" s="1015" t="s">
        <v>137</v>
      </c>
      <c r="H35" s="1016"/>
      <c r="I35" s="1271"/>
      <c r="J35" s="1267" t="s">
        <v>241</v>
      </c>
      <c r="K35" s="1268"/>
      <c r="L35" s="1268"/>
      <c r="M35" s="1269"/>
      <c r="N35" s="1015" t="s">
        <v>242</v>
      </c>
      <c r="O35" s="1015" t="s">
        <v>137</v>
      </c>
      <c r="P35" s="1016"/>
      <c r="Q35" s="1271"/>
      <c r="R35" s="1267" t="s">
        <v>241</v>
      </c>
      <c r="S35" s="1268"/>
      <c r="T35" s="1268"/>
      <c r="U35" s="1269"/>
      <c r="V35" s="1015" t="s">
        <v>242</v>
      </c>
      <c r="W35" s="1015" t="s">
        <v>137</v>
      </c>
    </row>
    <row r="36" spans="1:24" ht="15" customHeight="1" x14ac:dyDescent="0.25">
      <c r="A36" s="1271"/>
      <c r="B36" s="1014" t="s">
        <v>243</v>
      </c>
      <c r="C36" s="1015">
        <v>2019</v>
      </c>
      <c r="D36" s="1015">
        <v>2019</v>
      </c>
      <c r="E36" s="1015">
        <v>2021</v>
      </c>
      <c r="F36" s="1015"/>
      <c r="G36" s="1015"/>
      <c r="H36" s="1016"/>
      <c r="I36" s="1271"/>
      <c r="J36" s="1014" t="s">
        <v>243</v>
      </c>
      <c r="K36" s="1015">
        <v>2019</v>
      </c>
      <c r="L36" s="1015">
        <v>2019</v>
      </c>
      <c r="M36" s="1015">
        <v>2021</v>
      </c>
      <c r="N36" s="1015"/>
      <c r="O36" s="1015"/>
      <c r="P36" s="1016"/>
      <c r="Q36" s="1271"/>
      <c r="R36" s="1042" t="s">
        <v>243</v>
      </c>
      <c r="S36" s="1043">
        <v>2018</v>
      </c>
      <c r="T36" s="1043">
        <v>2019</v>
      </c>
      <c r="U36" s="1043">
        <v>2022</v>
      </c>
      <c r="V36" s="1015"/>
      <c r="W36" s="1015"/>
    </row>
    <row r="37" spans="1:24" ht="12.75" customHeight="1" x14ac:dyDescent="0.25">
      <c r="A37" s="1271"/>
      <c r="B37" s="1025">
        <v>150</v>
      </c>
      <c r="C37" s="1021">
        <v>0.11</v>
      </c>
      <c r="D37" s="1021">
        <v>0.11</v>
      </c>
      <c r="E37" s="1021">
        <v>-0.05</v>
      </c>
      <c r="F37" s="1019">
        <f>0.5*(MAX(C37:E37)-MIN(C37:E37))</f>
        <v>0.08</v>
      </c>
      <c r="G37" s="1029">
        <f>B37*$H$37</f>
        <v>1.8</v>
      </c>
      <c r="H37" s="1016">
        <f>1.2/100</f>
        <v>1.2E-2</v>
      </c>
      <c r="I37" s="1271"/>
      <c r="J37" s="1044">
        <v>150</v>
      </c>
      <c r="K37" s="1021">
        <v>0.02</v>
      </c>
      <c r="L37" s="1021">
        <v>0.02</v>
      </c>
      <c r="M37" s="1021">
        <v>0.25</v>
      </c>
      <c r="N37" s="1019">
        <f t="shared" ref="N37:N42" si="23">0.5*(MAX(K37:M37)-MIN(K37:M37))</f>
        <v>0.115</v>
      </c>
      <c r="O37" s="1029">
        <f>J37*$P$37</f>
        <v>1.8</v>
      </c>
      <c r="P37" s="1016">
        <f>1.2/100</f>
        <v>1.2E-2</v>
      </c>
      <c r="Q37" s="1271"/>
      <c r="R37" s="1017">
        <v>150</v>
      </c>
      <c r="S37" s="1021">
        <v>0.03</v>
      </c>
      <c r="T37" s="1021">
        <v>-0.15</v>
      </c>
      <c r="U37" s="1021">
        <v>0.15</v>
      </c>
      <c r="V37" s="1019">
        <f t="shared" ref="V37:V42" si="24">0.5*(MAX(S37:U37)-MIN(S37:U37))</f>
        <v>0.15</v>
      </c>
      <c r="W37" s="1023">
        <f>R37*$X$37</f>
        <v>1.8</v>
      </c>
      <c r="X37" s="1010">
        <f>1.2/100</f>
        <v>1.2E-2</v>
      </c>
    </row>
    <row r="38" spans="1:24" ht="12.75" customHeight="1" x14ac:dyDescent="0.25">
      <c r="A38" s="1271"/>
      <c r="B38" s="1025">
        <v>180</v>
      </c>
      <c r="C38" s="1021">
        <v>0.03</v>
      </c>
      <c r="D38" s="1021">
        <v>0.03</v>
      </c>
      <c r="E38" s="1021">
        <v>-0.04</v>
      </c>
      <c r="F38" s="1019">
        <f t="shared" ref="F38:F42" si="25">0.5*(MAX(C38:E38)-MIN(C38:E38))</f>
        <v>3.5000000000000003E-2</v>
      </c>
      <c r="G38" s="1029">
        <f t="shared" ref="G38:G42" si="26">B38*$H$37</f>
        <v>2.16</v>
      </c>
      <c r="H38" s="1016"/>
      <c r="I38" s="1271"/>
      <c r="J38" s="1044">
        <v>180</v>
      </c>
      <c r="K38" s="1021">
        <v>0.1</v>
      </c>
      <c r="L38" s="1021">
        <v>0.1</v>
      </c>
      <c r="M38" s="1021">
        <v>0.09</v>
      </c>
      <c r="N38" s="1019">
        <f t="shared" si="23"/>
        <v>5.0000000000000044E-3</v>
      </c>
      <c r="O38" s="1029">
        <f t="shared" ref="O38:O42" si="27">J38*$P$37</f>
        <v>2.16</v>
      </c>
      <c r="P38" s="1016"/>
      <c r="Q38" s="1271"/>
      <c r="R38" s="1017">
        <v>180</v>
      </c>
      <c r="S38" s="1021">
        <v>0</v>
      </c>
      <c r="T38" s="1021">
        <v>-0.11</v>
      </c>
      <c r="U38" s="1021">
        <v>0.17</v>
      </c>
      <c r="V38" s="1019">
        <f t="shared" si="24"/>
        <v>0.14000000000000001</v>
      </c>
      <c r="W38" s="1023">
        <f t="shared" ref="W38:W42" si="28">R38*$X$37</f>
        <v>2.16</v>
      </c>
    </row>
    <row r="39" spans="1:24" ht="12.75" customHeight="1" x14ac:dyDescent="0.25">
      <c r="A39" s="1271"/>
      <c r="B39" s="1025">
        <v>200</v>
      </c>
      <c r="C39" s="1021">
        <v>0.05</v>
      </c>
      <c r="D39" s="1021">
        <v>0.05</v>
      </c>
      <c r="E39" s="1021">
        <v>-6.7000000000000004E-2</v>
      </c>
      <c r="F39" s="1019">
        <f t="shared" si="25"/>
        <v>5.8500000000000003E-2</v>
      </c>
      <c r="G39" s="1029">
        <f t="shared" si="26"/>
        <v>2.4</v>
      </c>
      <c r="H39" s="1016"/>
      <c r="I39" s="1271"/>
      <c r="J39" s="1044">
        <v>200</v>
      </c>
      <c r="K39" s="1021">
        <v>-0.03</v>
      </c>
      <c r="L39" s="1021">
        <v>-0.03</v>
      </c>
      <c r="M39" s="1021">
        <v>0.18</v>
      </c>
      <c r="N39" s="1019">
        <f t="shared" si="23"/>
        <v>0.105</v>
      </c>
      <c r="O39" s="1029">
        <f t="shared" si="27"/>
        <v>2.4</v>
      </c>
      <c r="P39" s="1016"/>
      <c r="Q39" s="1271"/>
      <c r="R39" s="1017">
        <v>200</v>
      </c>
      <c r="S39" s="1021">
        <v>0.05</v>
      </c>
      <c r="T39" s="1021">
        <v>-0.1</v>
      </c>
      <c r="U39" s="1021">
        <v>0.1</v>
      </c>
      <c r="V39" s="1019">
        <f t="shared" si="24"/>
        <v>0.1</v>
      </c>
      <c r="W39" s="1023">
        <f t="shared" si="28"/>
        <v>2.4</v>
      </c>
    </row>
    <row r="40" spans="1:24" ht="12.75" customHeight="1" x14ac:dyDescent="0.25">
      <c r="A40" s="1271"/>
      <c r="B40" s="1025">
        <v>220</v>
      </c>
      <c r="C40" s="1021">
        <v>0.1</v>
      </c>
      <c r="D40" s="1021">
        <v>0.1</v>
      </c>
      <c r="E40" s="1021">
        <v>9.9999999999999995E-7</v>
      </c>
      <c r="F40" s="1019">
        <f t="shared" si="25"/>
        <v>4.9999500000000002E-2</v>
      </c>
      <c r="G40" s="1029">
        <f t="shared" si="26"/>
        <v>2.64</v>
      </c>
      <c r="H40" s="1016"/>
      <c r="I40" s="1271"/>
      <c r="J40" s="1044">
        <v>220</v>
      </c>
      <c r="K40" s="1021">
        <v>0.38</v>
      </c>
      <c r="L40" s="1021">
        <v>0.38</v>
      </c>
      <c r="M40" s="1021">
        <v>0.56000000000000005</v>
      </c>
      <c r="N40" s="1019">
        <f t="shared" si="23"/>
        <v>9.0000000000000024E-2</v>
      </c>
      <c r="O40" s="1029">
        <f t="shared" si="27"/>
        <v>2.64</v>
      </c>
      <c r="P40" s="1016"/>
      <c r="Q40" s="1271"/>
      <c r="R40" s="1017">
        <v>220</v>
      </c>
      <c r="S40" s="1021">
        <v>0.05</v>
      </c>
      <c r="T40" s="1021">
        <v>-0.13</v>
      </c>
      <c r="U40" s="1021">
        <v>7.0000000000000007E-2</v>
      </c>
      <c r="V40" s="1019">
        <f t="shared" si="24"/>
        <v>0.1</v>
      </c>
      <c r="W40" s="1023">
        <f t="shared" si="28"/>
        <v>2.64</v>
      </c>
    </row>
    <row r="41" spans="1:24" ht="12.75" customHeight="1" x14ac:dyDescent="0.25">
      <c r="A41" s="1271"/>
      <c r="B41" s="1025">
        <v>230</v>
      </c>
      <c r="C41" s="1021">
        <v>0.36799999999999999</v>
      </c>
      <c r="D41" s="1021">
        <v>0.36799999999999999</v>
      </c>
      <c r="E41" s="1021">
        <v>-0.11</v>
      </c>
      <c r="F41" s="1019">
        <f t="shared" si="25"/>
        <v>0.23899999999999999</v>
      </c>
      <c r="G41" s="1029">
        <f t="shared" si="26"/>
        <v>2.7600000000000002</v>
      </c>
      <c r="H41" s="1016"/>
      <c r="I41" s="1271"/>
      <c r="J41" s="1044">
        <v>230</v>
      </c>
      <c r="K41" s="1021">
        <v>-0.16</v>
      </c>
      <c r="L41" s="1021">
        <v>-0.16</v>
      </c>
      <c r="M41" s="1021">
        <v>0.73</v>
      </c>
      <c r="N41" s="1019">
        <f t="shared" si="23"/>
        <v>0.44500000000000001</v>
      </c>
      <c r="O41" s="1029">
        <f t="shared" si="27"/>
        <v>2.7600000000000002</v>
      </c>
      <c r="P41" s="1016"/>
      <c r="Q41" s="1271"/>
      <c r="R41" s="1017">
        <v>230</v>
      </c>
      <c r="S41" s="1021">
        <v>-0.05</v>
      </c>
      <c r="T41" s="1021">
        <v>-0.15</v>
      </c>
      <c r="U41" s="1021">
        <v>0.08</v>
      </c>
      <c r="V41" s="1019">
        <f t="shared" si="24"/>
        <v>0.11499999999999999</v>
      </c>
      <c r="W41" s="1023">
        <f t="shared" si="28"/>
        <v>2.7600000000000002</v>
      </c>
    </row>
    <row r="42" spans="1:24" ht="12.75" customHeight="1" x14ac:dyDescent="0.25">
      <c r="A42" s="1271"/>
      <c r="B42" s="1025">
        <v>250</v>
      </c>
      <c r="C42" s="1021">
        <v>9.9999999999999995E-7</v>
      </c>
      <c r="D42" s="1021">
        <v>9.9999999999999995E-7</v>
      </c>
      <c r="E42" s="1026">
        <v>9.9999999999999995E-7</v>
      </c>
      <c r="F42" s="1019">
        <f t="shared" si="25"/>
        <v>0</v>
      </c>
      <c r="G42" s="1029">
        <f t="shared" si="26"/>
        <v>3</v>
      </c>
      <c r="H42" s="1016"/>
      <c r="I42" s="1271"/>
      <c r="J42" s="1044">
        <v>250</v>
      </c>
      <c r="K42" s="1021">
        <v>9.9999999999999995E-7</v>
      </c>
      <c r="L42" s="1021">
        <v>9.9999999999999995E-7</v>
      </c>
      <c r="M42" s="1021">
        <v>9.9999999999999995E-7</v>
      </c>
      <c r="N42" s="1019">
        <f t="shared" si="23"/>
        <v>0</v>
      </c>
      <c r="O42" s="1029">
        <f t="shared" si="27"/>
        <v>3</v>
      </c>
      <c r="P42" s="1016"/>
      <c r="Q42" s="1271"/>
      <c r="R42" s="1017">
        <v>250</v>
      </c>
      <c r="S42" s="1021">
        <v>9.9999999999999995E-7</v>
      </c>
      <c r="T42" s="1021">
        <v>9.9999999999999995E-7</v>
      </c>
      <c r="U42" s="1021">
        <v>9.9999999999999995E-7</v>
      </c>
      <c r="V42" s="1019">
        <f t="shared" si="24"/>
        <v>0</v>
      </c>
      <c r="W42" s="1023">
        <f t="shared" si="28"/>
        <v>3</v>
      </c>
    </row>
    <row r="43" spans="1:24" ht="12.75" customHeight="1" x14ac:dyDescent="0.25">
      <c r="A43" s="1271"/>
      <c r="B43" s="1246" t="s">
        <v>244</v>
      </c>
      <c r="C43" s="1247"/>
      <c r="D43" s="1247"/>
      <c r="E43" s="1248"/>
      <c r="F43" s="1015" t="s">
        <v>242</v>
      </c>
      <c r="G43" s="1015" t="s">
        <v>137</v>
      </c>
      <c r="H43" s="1016"/>
      <c r="I43" s="1271"/>
      <c r="J43" s="1246" t="s">
        <v>244</v>
      </c>
      <c r="K43" s="1247"/>
      <c r="L43" s="1247"/>
      <c r="M43" s="1248"/>
      <c r="N43" s="1015" t="s">
        <v>242</v>
      </c>
      <c r="O43" s="1015" t="s">
        <v>137</v>
      </c>
      <c r="P43" s="1016"/>
      <c r="Q43" s="1271"/>
      <c r="R43" s="1246" t="s">
        <v>244</v>
      </c>
      <c r="S43" s="1247"/>
      <c r="T43" s="1247"/>
      <c r="U43" s="1248"/>
      <c r="V43" s="1015" t="s">
        <v>242</v>
      </c>
      <c r="W43" s="1015" t="s">
        <v>137</v>
      </c>
    </row>
    <row r="44" spans="1:24" ht="15" customHeight="1" x14ac:dyDescent="0.25">
      <c r="A44" s="1271"/>
      <c r="B44" s="1014" t="s">
        <v>245</v>
      </c>
      <c r="C44" s="1015">
        <f>C36</f>
        <v>2019</v>
      </c>
      <c r="D44" s="1015">
        <f>D36</f>
        <v>2019</v>
      </c>
      <c r="E44" s="1015">
        <f>E36</f>
        <v>2021</v>
      </c>
      <c r="F44" s="1015"/>
      <c r="G44" s="1015"/>
      <c r="H44" s="1016"/>
      <c r="I44" s="1271"/>
      <c r="J44" s="1014" t="s">
        <v>245</v>
      </c>
      <c r="K44" s="1015">
        <f>K36</f>
        <v>2019</v>
      </c>
      <c r="L44" s="1015">
        <f>L36</f>
        <v>2019</v>
      </c>
      <c r="M44" s="1015">
        <f>M36</f>
        <v>2021</v>
      </c>
      <c r="N44" s="1015"/>
      <c r="O44" s="1015"/>
      <c r="P44" s="1016"/>
      <c r="Q44" s="1271"/>
      <c r="R44" s="1014" t="s">
        <v>245</v>
      </c>
      <c r="S44" s="1015">
        <f>S36</f>
        <v>2018</v>
      </c>
      <c r="T44" s="1015">
        <f>T36</f>
        <v>2019</v>
      </c>
      <c r="U44" s="1015">
        <f>U36</f>
        <v>2022</v>
      </c>
      <c r="V44" s="1015"/>
      <c r="W44" s="1015"/>
    </row>
    <row r="45" spans="1:24" ht="12.75" customHeight="1" x14ac:dyDescent="0.25">
      <c r="A45" s="1271"/>
      <c r="B45" s="1025">
        <v>0</v>
      </c>
      <c r="C45" s="1020">
        <v>9.9999999999999995E-7</v>
      </c>
      <c r="D45" s="1020">
        <v>9.9999999999999995E-7</v>
      </c>
      <c r="E45" s="1024">
        <v>9.9999999999999995E-7</v>
      </c>
      <c r="F45" s="1019">
        <f>0.5*(MAX(C45:E45)-MIN(C45:E45))</f>
        <v>0</v>
      </c>
      <c r="G45" s="1029">
        <f>B45*$H$45</f>
        <v>0</v>
      </c>
      <c r="H45" s="1016">
        <f>0.59/100</f>
        <v>5.8999999999999999E-3</v>
      </c>
      <c r="I45" s="1271"/>
      <c r="J45" s="1045">
        <v>1.0000000000000001E-5</v>
      </c>
      <c r="K45" s="1023">
        <v>9.9999999999999995E-7</v>
      </c>
      <c r="L45" s="1023">
        <v>9.9999999999999995E-7</v>
      </c>
      <c r="M45" s="1023">
        <v>9.9999999999999995E-7</v>
      </c>
      <c r="N45" s="1019">
        <f t="shared" ref="N45:N50" si="29">0.5*(MAX(K45:M45)-MIN(K45:M45))</f>
        <v>0</v>
      </c>
      <c r="O45" s="1029">
        <f>J45*$P$45</f>
        <v>5.9000000000000006E-8</v>
      </c>
      <c r="P45" s="1016">
        <f>0.59/100</f>
        <v>5.8999999999999999E-3</v>
      </c>
      <c r="Q45" s="1271"/>
      <c r="R45" s="1030">
        <v>9.9999999999999995E-7</v>
      </c>
      <c r="S45" s="1023">
        <v>9.9999999999999995E-7</v>
      </c>
      <c r="T45" s="1023">
        <v>9.9999999999999995E-7</v>
      </c>
      <c r="U45" s="1023">
        <v>9.9999999999999995E-7</v>
      </c>
      <c r="V45" s="1019">
        <f t="shared" ref="V45:V50" si="30">0.5*(MAX(S45:U45)-MIN(S45:U45))</f>
        <v>0</v>
      </c>
      <c r="W45" s="1029">
        <f>R45*$X$45</f>
        <v>5.8999999999999999E-9</v>
      </c>
      <c r="X45" s="1010">
        <f>0.59/100</f>
        <v>5.8999999999999999E-3</v>
      </c>
    </row>
    <row r="46" spans="1:24" ht="12.75" customHeight="1" x14ac:dyDescent="0.25">
      <c r="A46" s="1271"/>
      <c r="B46" s="1025">
        <v>50</v>
      </c>
      <c r="C46" s="1021">
        <v>0.2</v>
      </c>
      <c r="D46" s="1021">
        <v>0.2</v>
      </c>
      <c r="E46" s="1021">
        <v>0.4</v>
      </c>
      <c r="F46" s="1019">
        <f t="shared" ref="F46:F50" si="31">0.5*(MAX(C46:E46)-MIN(C46:E46))</f>
        <v>0.1</v>
      </c>
      <c r="G46" s="1029">
        <f t="shared" ref="G46:G50" si="32">B46*$H$45</f>
        <v>0.29499999999999998</v>
      </c>
      <c r="H46" s="1016"/>
      <c r="I46" s="1271"/>
      <c r="J46" s="1044">
        <v>50</v>
      </c>
      <c r="K46" s="1021">
        <v>-0.33</v>
      </c>
      <c r="L46" s="1021">
        <v>-0.33</v>
      </c>
      <c r="M46" s="1021">
        <v>1.2</v>
      </c>
      <c r="N46" s="1019">
        <f t="shared" si="29"/>
        <v>0.76500000000000001</v>
      </c>
      <c r="O46" s="1029">
        <f t="shared" ref="O46:O50" si="33">J46*$P$45</f>
        <v>0.29499999999999998</v>
      </c>
      <c r="P46" s="1016"/>
      <c r="Q46" s="1271"/>
      <c r="R46" s="1025">
        <v>50</v>
      </c>
      <c r="S46" s="1021">
        <v>2.1</v>
      </c>
      <c r="T46" s="1021">
        <v>2.6</v>
      </c>
      <c r="U46" s="1030">
        <v>19.100000000000001</v>
      </c>
      <c r="V46" s="1019">
        <f t="shared" si="30"/>
        <v>8.5</v>
      </c>
      <c r="W46" s="1029">
        <f t="shared" ref="W46:W50" si="34">R46*$X$45</f>
        <v>0.29499999999999998</v>
      </c>
    </row>
    <row r="47" spans="1:24" ht="12.75" customHeight="1" x14ac:dyDescent="0.25">
      <c r="A47" s="1271"/>
      <c r="B47" s="1025">
        <v>100</v>
      </c>
      <c r="C47" s="1021">
        <v>0.3</v>
      </c>
      <c r="D47" s="1021">
        <v>0.3</v>
      </c>
      <c r="E47" s="1021">
        <v>0.4</v>
      </c>
      <c r="F47" s="1019">
        <f t="shared" si="31"/>
        <v>5.0000000000000017E-2</v>
      </c>
      <c r="G47" s="1029">
        <f t="shared" si="32"/>
        <v>0.59</v>
      </c>
      <c r="H47" s="1016"/>
      <c r="I47" s="1271"/>
      <c r="J47" s="1044">
        <v>100</v>
      </c>
      <c r="K47" s="1021">
        <v>-0.42</v>
      </c>
      <c r="L47" s="1021">
        <v>-0.42</v>
      </c>
      <c r="M47" s="1021">
        <v>3.9</v>
      </c>
      <c r="N47" s="1019">
        <f t="shared" si="29"/>
        <v>2.16</v>
      </c>
      <c r="O47" s="1029">
        <f t="shared" si="33"/>
        <v>0.59</v>
      </c>
      <c r="P47" s="1016"/>
      <c r="Q47" s="1271"/>
      <c r="R47" s="1025">
        <v>100</v>
      </c>
      <c r="S47" s="1021">
        <v>2.2999999999999998</v>
      </c>
      <c r="T47" s="1021">
        <v>2.6</v>
      </c>
      <c r="U47" s="1030">
        <v>18.399999999999999</v>
      </c>
      <c r="V47" s="1019">
        <f t="shared" si="30"/>
        <v>8.0499999999999989</v>
      </c>
      <c r="W47" s="1029">
        <f t="shared" si="34"/>
        <v>0.59</v>
      </c>
    </row>
    <row r="48" spans="1:24" ht="12.75" customHeight="1" x14ac:dyDescent="0.25">
      <c r="A48" s="1271"/>
      <c r="B48" s="1025">
        <v>200</v>
      </c>
      <c r="C48" s="1021">
        <v>1.4</v>
      </c>
      <c r="D48" s="1021">
        <v>1.4</v>
      </c>
      <c r="E48" s="1026">
        <v>9.9999999999999995E-7</v>
      </c>
      <c r="F48" s="1019">
        <f t="shared" si="31"/>
        <v>0.6999995</v>
      </c>
      <c r="G48" s="1029">
        <f t="shared" si="32"/>
        <v>1.18</v>
      </c>
      <c r="H48" s="1016"/>
      <c r="I48" s="1271"/>
      <c r="J48" s="1044">
        <v>200</v>
      </c>
      <c r="K48" s="1021">
        <v>1.3</v>
      </c>
      <c r="L48" s="1021">
        <v>1.3</v>
      </c>
      <c r="M48" s="1026">
        <v>9.9999999999999995E-7</v>
      </c>
      <c r="N48" s="1019">
        <f t="shared" si="29"/>
        <v>0.64999950000000006</v>
      </c>
      <c r="O48" s="1029">
        <f t="shared" si="33"/>
        <v>1.18</v>
      </c>
      <c r="P48" s="1016"/>
      <c r="Q48" s="1271"/>
      <c r="R48" s="1025">
        <v>200</v>
      </c>
      <c r="S48" s="1021">
        <v>0.2</v>
      </c>
      <c r="T48" s="1021">
        <v>3.1</v>
      </c>
      <c r="U48" s="1030">
        <v>14.4</v>
      </c>
      <c r="V48" s="1019">
        <f t="shared" si="30"/>
        <v>7.1000000000000005</v>
      </c>
      <c r="W48" s="1029">
        <f t="shared" si="34"/>
        <v>1.18</v>
      </c>
    </row>
    <row r="49" spans="1:24" ht="12.75" customHeight="1" x14ac:dyDescent="0.25">
      <c r="A49" s="1271"/>
      <c r="B49" s="1025">
        <v>500</v>
      </c>
      <c r="C49" s="1021">
        <v>2.8</v>
      </c>
      <c r="D49" s="1021">
        <v>2.8</v>
      </c>
      <c r="E49" s="1021">
        <v>1.5</v>
      </c>
      <c r="F49" s="1019">
        <f t="shared" si="31"/>
        <v>0.64999999999999991</v>
      </c>
      <c r="G49" s="1029">
        <f t="shared" si="32"/>
        <v>2.9499999999999997</v>
      </c>
      <c r="H49" s="1016"/>
      <c r="I49" s="1271"/>
      <c r="J49" s="1044">
        <v>500</v>
      </c>
      <c r="K49" s="1021">
        <v>0.7</v>
      </c>
      <c r="L49" s="1021">
        <v>0.7</v>
      </c>
      <c r="M49" s="1021">
        <v>9.3000000000000007</v>
      </c>
      <c r="N49" s="1019">
        <f t="shared" si="29"/>
        <v>4.3000000000000007</v>
      </c>
      <c r="O49" s="1029">
        <f t="shared" si="33"/>
        <v>2.9499999999999997</v>
      </c>
      <c r="P49" s="1016"/>
      <c r="Q49" s="1271"/>
      <c r="R49" s="1025">
        <v>500</v>
      </c>
      <c r="S49" s="1021">
        <v>2.8</v>
      </c>
      <c r="T49" s="1021">
        <v>3.9</v>
      </c>
      <c r="U49" s="1030">
        <v>6.2</v>
      </c>
      <c r="V49" s="1019">
        <f t="shared" si="30"/>
        <v>1.7000000000000002</v>
      </c>
      <c r="W49" s="1029">
        <f t="shared" si="34"/>
        <v>2.9499999999999997</v>
      </c>
    </row>
    <row r="50" spans="1:24" ht="12.75" customHeight="1" x14ac:dyDescent="0.25">
      <c r="A50" s="1271"/>
      <c r="B50" s="1025">
        <v>1000</v>
      </c>
      <c r="C50" s="1021">
        <v>1.2E-2</v>
      </c>
      <c r="D50" s="1021">
        <v>1.2E-2</v>
      </c>
      <c r="E50" s="1021">
        <v>2</v>
      </c>
      <c r="F50" s="1019">
        <f t="shared" si="31"/>
        <v>0.99399999999999999</v>
      </c>
      <c r="G50" s="1029">
        <f t="shared" si="32"/>
        <v>5.8999999999999995</v>
      </c>
      <c r="H50" s="1016"/>
      <c r="I50" s="1271"/>
      <c r="J50" s="1044">
        <v>1000</v>
      </c>
      <c r="K50" s="1021">
        <v>9.9999999999999995E-7</v>
      </c>
      <c r="L50" s="1021">
        <v>9.9999999999999995E-7</v>
      </c>
      <c r="M50" s="1021">
        <v>-110</v>
      </c>
      <c r="N50" s="1019">
        <f t="shared" si="29"/>
        <v>55.000000499999999</v>
      </c>
      <c r="O50" s="1029">
        <f t="shared" si="33"/>
        <v>5.8999999999999995</v>
      </c>
      <c r="P50" s="1016"/>
      <c r="Q50" s="1271"/>
      <c r="R50" s="1025">
        <v>1000</v>
      </c>
      <c r="S50" s="1031">
        <v>13</v>
      </c>
      <c r="T50" s="1031">
        <v>5.0000000000000001E-3</v>
      </c>
      <c r="U50" s="1030">
        <v>-11</v>
      </c>
      <c r="V50" s="1019">
        <f t="shared" si="30"/>
        <v>12</v>
      </c>
      <c r="W50" s="1029">
        <f t="shared" si="34"/>
        <v>5.8999999999999995</v>
      </c>
    </row>
    <row r="51" spans="1:24" ht="12.75" customHeight="1" x14ac:dyDescent="0.25">
      <c r="A51" s="1271"/>
      <c r="B51" s="1246" t="str">
        <f>B20</f>
        <v>Main-PE</v>
      </c>
      <c r="C51" s="1247"/>
      <c r="D51" s="1247"/>
      <c r="E51" s="1248"/>
      <c r="F51" s="1015" t="s">
        <v>242</v>
      </c>
      <c r="G51" s="1015" t="s">
        <v>137</v>
      </c>
      <c r="H51" s="1016"/>
      <c r="I51" s="1271"/>
      <c r="J51" s="1246" t="str">
        <f>B51</f>
        <v>Main-PE</v>
      </c>
      <c r="K51" s="1247"/>
      <c r="L51" s="1247"/>
      <c r="M51" s="1248"/>
      <c r="N51" s="1015" t="s">
        <v>242</v>
      </c>
      <c r="O51" s="1015" t="s">
        <v>137</v>
      </c>
      <c r="P51" s="1016"/>
      <c r="Q51" s="1271"/>
      <c r="R51" s="1246" t="str">
        <f>J51</f>
        <v>Main-PE</v>
      </c>
      <c r="S51" s="1247"/>
      <c r="T51" s="1247"/>
      <c r="U51" s="1248"/>
      <c r="V51" s="1015" t="s">
        <v>242</v>
      </c>
      <c r="W51" s="1015" t="s">
        <v>137</v>
      </c>
    </row>
    <row r="52" spans="1:24" ht="15" customHeight="1" x14ac:dyDescent="0.25">
      <c r="A52" s="1271"/>
      <c r="B52" s="1014" t="s">
        <v>247</v>
      </c>
      <c r="C52" s="1015">
        <f>C36</f>
        <v>2019</v>
      </c>
      <c r="D52" s="1015">
        <f>D36</f>
        <v>2019</v>
      </c>
      <c r="E52" s="1015">
        <f>E36</f>
        <v>2021</v>
      </c>
      <c r="F52" s="1015"/>
      <c r="G52" s="1015"/>
      <c r="H52" s="1016"/>
      <c r="I52" s="1271"/>
      <c r="J52" s="1014" t="s">
        <v>247</v>
      </c>
      <c r="K52" s="1015">
        <f>K36</f>
        <v>2019</v>
      </c>
      <c r="L52" s="1015">
        <f>L36</f>
        <v>2019</v>
      </c>
      <c r="M52" s="1015">
        <f>M36</f>
        <v>2021</v>
      </c>
      <c r="N52" s="1015"/>
      <c r="O52" s="1015"/>
      <c r="P52" s="1016"/>
      <c r="Q52" s="1271"/>
      <c r="R52" s="1014" t="s">
        <v>247</v>
      </c>
      <c r="S52" s="1015">
        <f>S36</f>
        <v>2018</v>
      </c>
      <c r="T52" s="1015">
        <f>T36</f>
        <v>2019</v>
      </c>
      <c r="U52" s="1015">
        <f>U36</f>
        <v>2022</v>
      </c>
      <c r="V52" s="1015"/>
      <c r="W52" s="1015"/>
    </row>
    <row r="53" spans="1:24" ht="12.75" customHeight="1" x14ac:dyDescent="0.25">
      <c r="A53" s="1271"/>
      <c r="B53" s="1025">
        <v>10</v>
      </c>
      <c r="C53" s="1021">
        <v>0.1</v>
      </c>
      <c r="D53" s="1021">
        <v>0.1</v>
      </c>
      <c r="E53" s="1026">
        <v>9.9999999999999995E-7</v>
      </c>
      <c r="F53" s="1019">
        <f>0.5*(MAX(C53:E53)-MIN(C53:E53))</f>
        <v>4.9999500000000002E-2</v>
      </c>
      <c r="G53" s="1030">
        <f>B53*$H$53</f>
        <v>0.17</v>
      </c>
      <c r="H53" s="1016">
        <f>1.7/100</f>
        <v>1.7000000000000001E-2</v>
      </c>
      <c r="I53" s="1271"/>
      <c r="J53" s="1025">
        <v>10</v>
      </c>
      <c r="K53" s="1021">
        <v>0.1</v>
      </c>
      <c r="L53" s="1021">
        <v>0.1</v>
      </c>
      <c r="M53" s="1021">
        <v>9.9999999999999995E-7</v>
      </c>
      <c r="N53" s="1019">
        <f>0.5*(MAX(K53:M53)-MIN(K53:M53))</f>
        <v>4.9999500000000002E-2</v>
      </c>
      <c r="O53" s="1030">
        <f>J53*$P$53</f>
        <v>0.17</v>
      </c>
      <c r="P53" s="1016">
        <f>1.7/100</f>
        <v>1.7000000000000001E-2</v>
      </c>
      <c r="Q53" s="1271"/>
      <c r="R53" s="1025">
        <v>9.9999999999999995E-7</v>
      </c>
      <c r="S53" s="1021">
        <v>9.9999999999999995E-7</v>
      </c>
      <c r="T53" s="1021">
        <v>0.1</v>
      </c>
      <c r="U53" s="1021">
        <v>0.1</v>
      </c>
      <c r="V53" s="1019">
        <f t="shared" ref="V53:V56" si="35">0.5*(MAX(S53:U53)-MIN(S53:U53))</f>
        <v>4.9999500000000002E-2</v>
      </c>
      <c r="W53" s="1030">
        <f>R53*$X$53</f>
        <v>1.7E-8</v>
      </c>
      <c r="X53" s="1010">
        <f>1.7/100</f>
        <v>1.7000000000000001E-2</v>
      </c>
    </row>
    <row r="54" spans="1:24" ht="12.75" customHeight="1" x14ac:dyDescent="0.25">
      <c r="A54" s="1271"/>
      <c r="B54" s="1025">
        <v>20</v>
      </c>
      <c r="C54" s="1021">
        <v>0.2</v>
      </c>
      <c r="D54" s="1021">
        <v>0.2</v>
      </c>
      <c r="E54" s="1021">
        <v>0.1</v>
      </c>
      <c r="F54" s="1019">
        <f t="shared" ref="F54:F56" si="36">0.5*(MAX(C54:E54)-MIN(C54:E54))</f>
        <v>0.05</v>
      </c>
      <c r="G54" s="1030">
        <f t="shared" ref="G54:G56" si="37">B54*$H$53</f>
        <v>0.34</v>
      </c>
      <c r="H54" s="1016"/>
      <c r="I54" s="1271"/>
      <c r="J54" s="1025">
        <v>20</v>
      </c>
      <c r="K54" s="1021">
        <v>0.1</v>
      </c>
      <c r="L54" s="1021">
        <v>0.1</v>
      </c>
      <c r="M54" s="1021">
        <v>0.1</v>
      </c>
      <c r="N54" s="1019">
        <f>0.5*(MAX(K54:M54)-MIN(K54:M54))</f>
        <v>0</v>
      </c>
      <c r="O54" s="1030">
        <f t="shared" ref="O54:O56" si="38">J54*$P$53</f>
        <v>0.34</v>
      </c>
      <c r="P54" s="1016"/>
      <c r="Q54" s="1271"/>
      <c r="R54" s="1025">
        <v>20</v>
      </c>
      <c r="S54" s="1021">
        <v>0.1</v>
      </c>
      <c r="T54" s="1021">
        <v>0.1</v>
      </c>
      <c r="U54" s="1021">
        <v>0.1</v>
      </c>
      <c r="V54" s="1019">
        <f t="shared" si="35"/>
        <v>0</v>
      </c>
      <c r="W54" s="1030">
        <f t="shared" ref="W54:W56" si="39">R54*$X$53</f>
        <v>0.34</v>
      </c>
    </row>
    <row r="55" spans="1:24" ht="12.75" customHeight="1" x14ac:dyDescent="0.25">
      <c r="A55" s="1271"/>
      <c r="B55" s="1025">
        <v>50</v>
      </c>
      <c r="C55" s="1021">
        <v>0.5</v>
      </c>
      <c r="D55" s="1021">
        <v>0.5</v>
      </c>
      <c r="E55" s="1021">
        <v>0.4</v>
      </c>
      <c r="F55" s="1019">
        <f t="shared" si="36"/>
        <v>4.9999999999999989E-2</v>
      </c>
      <c r="G55" s="1030">
        <f t="shared" si="37"/>
        <v>0.85000000000000009</v>
      </c>
      <c r="H55" s="1016"/>
      <c r="I55" s="1271"/>
      <c r="J55" s="1025">
        <v>50</v>
      </c>
      <c r="K55" s="1021">
        <v>0.4</v>
      </c>
      <c r="L55" s="1021">
        <v>0.4</v>
      </c>
      <c r="M55" s="1021">
        <v>0.6</v>
      </c>
      <c r="N55" s="1019">
        <f>0.5*(MAX(K55:M55)-MIN(K55:M55))</f>
        <v>9.9999999999999978E-2</v>
      </c>
      <c r="O55" s="1030">
        <f t="shared" si="38"/>
        <v>0.85000000000000009</v>
      </c>
      <c r="P55" s="1016"/>
      <c r="Q55" s="1271"/>
      <c r="R55" s="1025">
        <v>50</v>
      </c>
      <c r="S55" s="1021">
        <v>0.3</v>
      </c>
      <c r="T55" s="1021">
        <v>0.3</v>
      </c>
      <c r="U55" s="1021">
        <v>0.3</v>
      </c>
      <c r="V55" s="1019">
        <f t="shared" si="35"/>
        <v>0</v>
      </c>
      <c r="W55" s="1030">
        <f t="shared" si="39"/>
        <v>0.85000000000000009</v>
      </c>
    </row>
    <row r="56" spans="1:24" ht="12.75" customHeight="1" x14ac:dyDescent="0.25">
      <c r="A56" s="1271"/>
      <c r="B56" s="1025">
        <v>100</v>
      </c>
      <c r="C56" s="1021">
        <v>1</v>
      </c>
      <c r="D56" s="1021">
        <v>1</v>
      </c>
      <c r="E56" s="1021">
        <v>1.4</v>
      </c>
      <c r="F56" s="1019">
        <f t="shared" si="36"/>
        <v>0.19999999999999996</v>
      </c>
      <c r="G56" s="1030">
        <f t="shared" si="37"/>
        <v>1.7000000000000002</v>
      </c>
      <c r="H56" s="1016"/>
      <c r="I56" s="1271"/>
      <c r="J56" s="1025">
        <v>100</v>
      </c>
      <c r="K56" s="1021">
        <v>0.8</v>
      </c>
      <c r="L56" s="1021">
        <v>0.8</v>
      </c>
      <c r="M56" s="1021">
        <v>1.5</v>
      </c>
      <c r="N56" s="1019">
        <f>0.5*(MAX(K56:M56)-MIN(K56:M56))</f>
        <v>0.35</v>
      </c>
      <c r="O56" s="1030">
        <f t="shared" si="38"/>
        <v>1.7000000000000002</v>
      </c>
      <c r="P56" s="1016"/>
      <c r="Q56" s="1271"/>
      <c r="R56" s="1025">
        <v>100</v>
      </c>
      <c r="S56" s="1021">
        <v>0.9</v>
      </c>
      <c r="T56" s="1021">
        <v>0.6</v>
      </c>
      <c r="U56" s="1021">
        <v>0.6</v>
      </c>
      <c r="V56" s="1019">
        <f t="shared" si="35"/>
        <v>0.15000000000000002</v>
      </c>
      <c r="W56" s="1030">
        <f t="shared" si="39"/>
        <v>1.7000000000000002</v>
      </c>
    </row>
    <row r="57" spans="1:24" ht="12.75" customHeight="1" x14ac:dyDescent="0.25">
      <c r="A57" s="1271"/>
      <c r="B57" s="1246" t="str">
        <f>B26</f>
        <v>Resistance</v>
      </c>
      <c r="C57" s="1247"/>
      <c r="D57" s="1247"/>
      <c r="E57" s="1248"/>
      <c r="F57" s="1015" t="s">
        <v>242</v>
      </c>
      <c r="G57" s="1015" t="s">
        <v>137</v>
      </c>
      <c r="H57" s="1016"/>
      <c r="I57" s="1271"/>
      <c r="J57" s="1246" t="str">
        <f>B57</f>
        <v>Resistance</v>
      </c>
      <c r="K57" s="1247"/>
      <c r="L57" s="1247"/>
      <c r="M57" s="1248"/>
      <c r="N57" s="1015" t="s">
        <v>242</v>
      </c>
      <c r="O57" s="1015" t="s">
        <v>137</v>
      </c>
      <c r="P57" s="1016"/>
      <c r="Q57" s="1271"/>
      <c r="R57" s="1246" t="str">
        <f>J57</f>
        <v>Resistance</v>
      </c>
      <c r="S57" s="1247"/>
      <c r="T57" s="1247"/>
      <c r="U57" s="1248"/>
      <c r="V57" s="1015" t="s">
        <v>242</v>
      </c>
      <c r="W57" s="1015" t="s">
        <v>137</v>
      </c>
    </row>
    <row r="58" spans="1:24" ht="15" customHeight="1" x14ac:dyDescent="0.25">
      <c r="A58" s="1271"/>
      <c r="B58" s="1014" t="s">
        <v>249</v>
      </c>
      <c r="C58" s="1015">
        <f>C36</f>
        <v>2019</v>
      </c>
      <c r="D58" s="1015">
        <f>D36</f>
        <v>2019</v>
      </c>
      <c r="E58" s="1015">
        <f>E36</f>
        <v>2021</v>
      </c>
      <c r="F58" s="1015"/>
      <c r="G58" s="1015"/>
      <c r="H58" s="1016"/>
      <c r="I58" s="1271"/>
      <c r="J58" s="1014" t="s">
        <v>249</v>
      </c>
      <c r="K58" s="1015">
        <f>K36</f>
        <v>2019</v>
      </c>
      <c r="L58" s="1015">
        <f>L36</f>
        <v>2019</v>
      </c>
      <c r="M58" s="1015">
        <f>M36</f>
        <v>2021</v>
      </c>
      <c r="N58" s="1015"/>
      <c r="O58" s="1015"/>
      <c r="P58" s="1016"/>
      <c r="Q58" s="1271"/>
      <c r="R58" s="1014" t="s">
        <v>249</v>
      </c>
      <c r="S58" s="1015">
        <f>S36</f>
        <v>2018</v>
      </c>
      <c r="T58" s="1015">
        <f>T36</f>
        <v>2019</v>
      </c>
      <c r="U58" s="1015">
        <f>U36</f>
        <v>2022</v>
      </c>
      <c r="V58" s="1015"/>
      <c r="W58" s="1015"/>
    </row>
    <row r="59" spans="1:24" ht="12.75" customHeight="1" x14ac:dyDescent="0.25">
      <c r="A59" s="1271"/>
      <c r="B59" s="1025">
        <v>0.01</v>
      </c>
      <c r="C59" s="1031">
        <v>9.9999999999999995E-7</v>
      </c>
      <c r="D59" s="1031">
        <v>9.9999999999999995E-7</v>
      </c>
      <c r="E59" s="1026">
        <v>9.9999999999999995E-7</v>
      </c>
      <c r="F59" s="1019">
        <f>0.5*(MAX(C59:E59)-MIN(C59:E59))</f>
        <v>0</v>
      </c>
      <c r="G59" s="1025">
        <f>B59*$H$59</f>
        <v>1.2E-4</v>
      </c>
      <c r="H59" s="1016">
        <f>1.2/100</f>
        <v>1.2E-2</v>
      </c>
      <c r="I59" s="1271"/>
      <c r="J59" s="1044">
        <v>0.01</v>
      </c>
      <c r="K59" s="1031">
        <v>9.9999999999999995E-7</v>
      </c>
      <c r="L59" s="1031">
        <v>9.9999999999999995E-7</v>
      </c>
      <c r="M59" s="1031">
        <v>9.9999999999999995E-7</v>
      </c>
      <c r="N59" s="1019">
        <f>0.5*(MAX(K59:M59)-MIN(K59:M59))</f>
        <v>0</v>
      </c>
      <c r="O59" s="1025">
        <f>J59*$P$59</f>
        <v>1.2E-4</v>
      </c>
      <c r="P59" s="1016">
        <f>1.2/100</f>
        <v>1.2E-2</v>
      </c>
      <c r="Q59" s="1271"/>
      <c r="R59" s="1025">
        <v>0.01</v>
      </c>
      <c r="S59" s="1031">
        <v>9.9999999999999995E-7</v>
      </c>
      <c r="T59" s="1031">
        <v>9.9999999999999995E-7</v>
      </c>
      <c r="U59" s="1031">
        <v>9.9999999999999995E-7</v>
      </c>
      <c r="V59" s="1019">
        <f t="shared" ref="V59:V62" si="40">0.5*(MAX(S59:U59)-MIN(S59:U59))</f>
        <v>0</v>
      </c>
      <c r="W59" s="1025">
        <f>R59*$X$59</f>
        <v>1.2E-4</v>
      </c>
      <c r="X59" s="1046">
        <f>1.2/100</f>
        <v>1.2E-2</v>
      </c>
    </row>
    <row r="60" spans="1:24" ht="12.75" customHeight="1" x14ac:dyDescent="0.25">
      <c r="A60" s="1271"/>
      <c r="B60" s="1025">
        <v>0.1</v>
      </c>
      <c r="C60" s="1031">
        <v>9.9999999999999995E-7</v>
      </c>
      <c r="D60" s="1031">
        <v>9.9999999999999995E-7</v>
      </c>
      <c r="E60" s="1031">
        <v>-2E-3</v>
      </c>
      <c r="F60" s="1019">
        <f t="shared" ref="F60:F62" si="41">0.5*(MAX(C60:E60)-MIN(C60:E60))</f>
        <v>1.0005000000000001E-3</v>
      </c>
      <c r="G60" s="1025">
        <f t="shared" ref="G60:G62" si="42">B60*$H$59</f>
        <v>1.2000000000000001E-3</v>
      </c>
      <c r="H60" s="1016"/>
      <c r="I60" s="1271"/>
      <c r="J60" s="1044">
        <v>0.1</v>
      </c>
      <c r="K60" s="1031">
        <v>2E-3</v>
      </c>
      <c r="L60" s="1031">
        <v>2E-3</v>
      </c>
      <c r="M60" s="1031">
        <v>5.0000000000000001E-3</v>
      </c>
      <c r="N60" s="1019">
        <f>0.5*(MAX(K60:M60)-MIN(K60:M60))</f>
        <v>1.5E-3</v>
      </c>
      <c r="O60" s="1025">
        <f t="shared" ref="O60:O62" si="43">J60*$P$59</f>
        <v>1.2000000000000001E-3</v>
      </c>
      <c r="P60" s="1016"/>
      <c r="Q60" s="1271"/>
      <c r="R60" s="1025">
        <v>0.1</v>
      </c>
      <c r="S60" s="1031">
        <v>1E-3</v>
      </c>
      <c r="T60" s="1031">
        <v>-2E-3</v>
      </c>
      <c r="U60" s="1031">
        <v>-3.0000000000000001E-3</v>
      </c>
      <c r="V60" s="1019">
        <f t="shared" si="40"/>
        <v>2E-3</v>
      </c>
      <c r="W60" s="1025">
        <f t="shared" ref="W60:W62" si="44">R60*$X$59</f>
        <v>1.2000000000000001E-3</v>
      </c>
    </row>
    <row r="61" spans="1:24" ht="12.75" customHeight="1" x14ac:dyDescent="0.25">
      <c r="A61" s="1271"/>
      <c r="B61" s="1025">
        <v>1</v>
      </c>
      <c r="C61" s="1031">
        <v>-1E-3</v>
      </c>
      <c r="D61" s="1031">
        <v>-1E-3</v>
      </c>
      <c r="E61" s="1031">
        <v>-8.0000000000000002E-3</v>
      </c>
      <c r="F61" s="1019">
        <f t="shared" si="41"/>
        <v>3.5000000000000001E-3</v>
      </c>
      <c r="G61" s="1025">
        <f t="shared" si="42"/>
        <v>1.2E-2</v>
      </c>
      <c r="H61" s="1016"/>
      <c r="I61" s="1271"/>
      <c r="J61" s="1044">
        <v>1</v>
      </c>
      <c r="K61" s="1031">
        <v>1.2E-2</v>
      </c>
      <c r="L61" s="1031">
        <v>1.2E-2</v>
      </c>
      <c r="M61" s="1031">
        <v>1.7999999999999999E-2</v>
      </c>
      <c r="N61" s="1019">
        <f t="shared" ref="N61:N62" si="45">0.5*(MAX(K61:M61)-MIN(K61:M61))</f>
        <v>2.9999999999999992E-3</v>
      </c>
      <c r="O61" s="1025">
        <f t="shared" si="43"/>
        <v>1.2E-2</v>
      </c>
      <c r="P61" s="1016"/>
      <c r="Q61" s="1271"/>
      <c r="R61" s="1025">
        <v>1</v>
      </c>
      <c r="S61" s="1031">
        <v>2E-3</v>
      </c>
      <c r="T61" s="1031">
        <v>-1E-3</v>
      </c>
      <c r="U61" s="1031">
        <v>-7.0000000000000001E-3</v>
      </c>
      <c r="V61" s="1019">
        <f t="shared" si="40"/>
        <v>4.5000000000000005E-3</v>
      </c>
      <c r="W61" s="1025">
        <f t="shared" si="44"/>
        <v>1.2E-2</v>
      </c>
    </row>
    <row r="62" spans="1:24" ht="12.75" customHeight="1" x14ac:dyDescent="0.25">
      <c r="A62" s="1272"/>
      <c r="B62" s="1025">
        <v>2</v>
      </c>
      <c r="C62" s="1031">
        <v>9.9999999999999995E-7</v>
      </c>
      <c r="D62" s="1031">
        <v>9.9999999999999995E-7</v>
      </c>
      <c r="E62" s="1031">
        <v>-7.0000000000000001E-3</v>
      </c>
      <c r="F62" s="1019">
        <f t="shared" si="41"/>
        <v>3.5005000000000001E-3</v>
      </c>
      <c r="G62" s="1025">
        <f t="shared" si="42"/>
        <v>2.4E-2</v>
      </c>
      <c r="H62" s="1016" t="s">
        <v>79</v>
      </c>
      <c r="I62" s="1272"/>
      <c r="J62" s="1044">
        <v>2</v>
      </c>
      <c r="K62" s="1031">
        <v>9.9999999999999995E-7</v>
      </c>
      <c r="L62" s="1031">
        <v>9.9999999999999995E-7</v>
      </c>
      <c r="M62" s="1031">
        <v>0.113</v>
      </c>
      <c r="N62" s="1019">
        <f t="shared" si="45"/>
        <v>5.6499500000000001E-2</v>
      </c>
      <c r="O62" s="1025">
        <f t="shared" si="43"/>
        <v>2.4E-2</v>
      </c>
      <c r="P62" s="1016"/>
      <c r="Q62" s="1272"/>
      <c r="R62" s="1025">
        <v>2</v>
      </c>
      <c r="S62" s="1031">
        <v>0</v>
      </c>
      <c r="T62" s="1026">
        <v>9.9999999999999995E-7</v>
      </c>
      <c r="U62" s="1026">
        <v>-7.0000000000000001E-3</v>
      </c>
      <c r="V62" s="1019">
        <f t="shared" si="40"/>
        <v>3.5005000000000001E-3</v>
      </c>
      <c r="W62" s="1025">
        <f t="shared" si="44"/>
        <v>2.4E-2</v>
      </c>
    </row>
    <row r="63" spans="1:24" s="432" customFormat="1" ht="15.6" x14ac:dyDescent="0.25">
      <c r="A63" s="1047"/>
      <c r="B63" s="1048"/>
      <c r="C63" s="1049"/>
      <c r="E63" s="1049"/>
      <c r="F63" s="1049"/>
      <c r="G63" s="1049"/>
      <c r="H63" s="1037"/>
      <c r="I63" s="1050"/>
      <c r="J63" s="1051"/>
      <c r="K63" s="1049"/>
      <c r="M63" s="1049"/>
      <c r="N63" s="1049"/>
      <c r="O63" s="1049"/>
      <c r="P63" s="1037"/>
      <c r="Q63" s="1050"/>
      <c r="R63" s="1048"/>
      <c r="S63" s="1049"/>
      <c r="U63" s="1036"/>
      <c r="V63" s="1036"/>
      <c r="W63" s="1038"/>
      <c r="X63" s="1039"/>
    </row>
    <row r="64" spans="1:24" ht="30" customHeight="1" x14ac:dyDescent="0.25">
      <c r="A64" s="1270">
        <v>7</v>
      </c>
      <c r="B64" s="1273" t="str">
        <f>A172</f>
        <v>Electrical Safety Analyzer, Merek : Fluke, Model : ESA 615, SN : 3699030</v>
      </c>
      <c r="C64" s="1273"/>
      <c r="D64" s="1273"/>
      <c r="E64" s="1273"/>
      <c r="F64" s="1273"/>
      <c r="G64" s="1273"/>
      <c r="H64" s="1011"/>
      <c r="I64" s="1270">
        <v>8</v>
      </c>
      <c r="J64" s="1277" t="str">
        <f>A173</f>
        <v>Electrical Safety Analyzer, Merek : Fluke, Model : ESA 615, SN : 4670010</v>
      </c>
      <c r="K64" s="1277"/>
      <c r="L64" s="1277"/>
      <c r="M64" s="1277"/>
      <c r="N64" s="1277"/>
      <c r="O64" s="1277"/>
      <c r="P64" s="1011"/>
      <c r="Q64" s="1270">
        <v>9</v>
      </c>
      <c r="R64" s="1277" t="str">
        <f>A174</f>
        <v>Electrical Safety Analyzer, Merek : Fluke, Model : ESA 615, SN : 4669058</v>
      </c>
      <c r="S64" s="1277"/>
      <c r="T64" s="1277"/>
      <c r="U64" s="1277"/>
      <c r="V64" s="1277"/>
      <c r="W64" s="1277"/>
    </row>
    <row r="65" spans="1:26" ht="15" customHeight="1" x14ac:dyDescent="0.3">
      <c r="A65" s="1271"/>
      <c r="B65" s="1275" t="s">
        <v>240</v>
      </c>
      <c r="C65" s="1275"/>
      <c r="D65" s="1275"/>
      <c r="E65" s="1275"/>
      <c r="F65" s="1041"/>
      <c r="G65" s="1041"/>
      <c r="H65" s="1013"/>
      <c r="I65" s="1271"/>
      <c r="J65" s="1278" t="s">
        <v>240</v>
      </c>
      <c r="K65" s="1279"/>
      <c r="L65" s="1279"/>
      <c r="M65" s="1280"/>
      <c r="N65" s="1042"/>
      <c r="O65" s="1042"/>
      <c r="P65" s="1013"/>
      <c r="Q65" s="1271"/>
      <c r="R65" s="1275" t="s">
        <v>240</v>
      </c>
      <c r="S65" s="1275"/>
      <c r="T65" s="1275"/>
      <c r="U65" s="1275"/>
      <c r="V65" s="1042"/>
      <c r="W65" s="1042"/>
    </row>
    <row r="66" spans="1:26" ht="12.75" customHeight="1" x14ac:dyDescent="0.25">
      <c r="A66" s="1271"/>
      <c r="B66" s="1267" t="s">
        <v>241</v>
      </c>
      <c r="C66" s="1268"/>
      <c r="D66" s="1268"/>
      <c r="E66" s="1269"/>
      <c r="F66" s="1015" t="s">
        <v>242</v>
      </c>
      <c r="G66" s="1015" t="s">
        <v>137</v>
      </c>
      <c r="H66" s="1016"/>
      <c r="I66" s="1271"/>
      <c r="J66" s="1267" t="s">
        <v>241</v>
      </c>
      <c r="K66" s="1268"/>
      <c r="L66" s="1268"/>
      <c r="M66" s="1269"/>
      <c r="N66" s="1015" t="s">
        <v>242</v>
      </c>
      <c r="O66" s="1015" t="s">
        <v>137</v>
      </c>
      <c r="P66" s="1016"/>
      <c r="Q66" s="1271"/>
      <c r="R66" s="1267" t="s">
        <v>241</v>
      </c>
      <c r="S66" s="1268"/>
      <c r="T66" s="1268"/>
      <c r="U66" s="1269"/>
      <c r="V66" s="1015" t="s">
        <v>242</v>
      </c>
      <c r="W66" s="1015" t="s">
        <v>137</v>
      </c>
    </row>
    <row r="67" spans="1:26" ht="15" customHeight="1" x14ac:dyDescent="0.25">
      <c r="A67" s="1271"/>
      <c r="B67" s="1014" t="s">
        <v>243</v>
      </c>
      <c r="C67" s="1015">
        <v>2019</v>
      </c>
      <c r="D67" s="1015">
        <v>2020</v>
      </c>
      <c r="E67" s="1015">
        <v>2022</v>
      </c>
      <c r="F67" s="1015"/>
      <c r="G67" s="1015"/>
      <c r="H67" s="1016"/>
      <c r="I67" s="1271"/>
      <c r="J67" s="1014" t="s">
        <v>243</v>
      </c>
      <c r="K67" s="1015">
        <v>2019</v>
      </c>
      <c r="L67" s="1015">
        <v>2020</v>
      </c>
      <c r="M67" s="1015">
        <v>2022</v>
      </c>
      <c r="N67" s="1015"/>
      <c r="O67" s="1015"/>
      <c r="P67" s="1016"/>
      <c r="Q67" s="1271"/>
      <c r="R67" s="1014" t="s">
        <v>243</v>
      </c>
      <c r="S67" s="1015">
        <v>2019</v>
      </c>
      <c r="T67" s="1015">
        <v>2020</v>
      </c>
      <c r="U67" s="1015">
        <v>2022</v>
      </c>
      <c r="V67" s="1015"/>
      <c r="W67" s="1015"/>
    </row>
    <row r="68" spans="1:26" ht="12.75" customHeight="1" x14ac:dyDescent="0.25">
      <c r="A68" s="1271"/>
      <c r="B68" s="1017">
        <v>150</v>
      </c>
      <c r="C68" s="1018">
        <v>0.21</v>
      </c>
      <c r="D68" s="1018">
        <v>0.21</v>
      </c>
      <c r="E68" s="1018">
        <v>0.36</v>
      </c>
      <c r="F68" s="1019">
        <f t="shared" ref="F68:F73" si="46">0.5*(MAX(C68:E68)-MIN(C68:E68))</f>
        <v>7.4999999999999997E-2</v>
      </c>
      <c r="G68" s="1023">
        <f>B68*$H$68</f>
        <v>1.8</v>
      </c>
      <c r="H68" s="1016">
        <f>1.2/100</f>
        <v>1.2E-2</v>
      </c>
      <c r="I68" s="1271"/>
      <c r="J68" s="1017">
        <v>150</v>
      </c>
      <c r="K68" s="1020">
        <v>9.9999999999999995E-7</v>
      </c>
      <c r="L68" s="1018">
        <v>-0.17</v>
      </c>
      <c r="M68" s="1018">
        <v>-0.08</v>
      </c>
      <c r="N68" s="1019">
        <f>0.5*(MAX(K68:M68)-MIN(K68:M68))</f>
        <v>8.5000500000000007E-2</v>
      </c>
      <c r="O68" s="1018">
        <f>J68*$P$68</f>
        <v>1.8</v>
      </c>
      <c r="P68" s="1016">
        <f>1.2/100</f>
        <v>1.2E-2</v>
      </c>
      <c r="Q68" s="1271"/>
      <c r="R68" s="1017">
        <v>150</v>
      </c>
      <c r="S68" s="1020">
        <v>9.9999999999999995E-7</v>
      </c>
      <c r="T68" s="1018">
        <v>-0.24</v>
      </c>
      <c r="U68" s="1018">
        <v>-0.17</v>
      </c>
      <c r="V68" s="1019">
        <f t="shared" ref="V68:V73" si="47">0.5*(MAX(S68:U68)-MIN(S68:U68))</f>
        <v>0.1200005</v>
      </c>
      <c r="W68" s="1018">
        <f>R68*$X$68</f>
        <v>1.8</v>
      </c>
      <c r="X68" s="1010">
        <f>1.2/100</f>
        <v>1.2E-2</v>
      </c>
    </row>
    <row r="69" spans="1:26" ht="12.75" customHeight="1" x14ac:dyDescent="0.25">
      <c r="A69" s="1271"/>
      <c r="B69" s="1017">
        <v>180</v>
      </c>
      <c r="C69" s="1024">
        <v>0.33</v>
      </c>
      <c r="D69" s="1024">
        <v>0.33</v>
      </c>
      <c r="E69" s="1024">
        <v>0.46</v>
      </c>
      <c r="F69" s="1019">
        <f t="shared" si="46"/>
        <v>6.5000000000000002E-2</v>
      </c>
      <c r="G69" s="1023">
        <f t="shared" ref="G69:G73" si="48">B69*$H$68</f>
        <v>2.16</v>
      </c>
      <c r="H69" s="1016"/>
      <c r="I69" s="1271"/>
      <c r="J69" s="1017">
        <v>180</v>
      </c>
      <c r="K69" s="1020">
        <v>9.9999999999999995E-7</v>
      </c>
      <c r="L69" s="1024">
        <v>-0.22</v>
      </c>
      <c r="M69" s="1024">
        <v>-0.2</v>
      </c>
      <c r="N69" s="1019">
        <f t="shared" ref="N69:N73" si="49">0.5*(MAX(K69:M69)-MIN(K69:M69))</f>
        <v>0.1100005</v>
      </c>
      <c r="O69" s="1018">
        <f t="shared" ref="O69:O73" si="50">J69*$P$68</f>
        <v>2.16</v>
      </c>
      <c r="P69" s="1016"/>
      <c r="Q69" s="1271"/>
      <c r="R69" s="1017">
        <v>180</v>
      </c>
      <c r="S69" s="1020">
        <v>9.9999999999999995E-7</v>
      </c>
      <c r="T69" s="1024">
        <v>-0.14000000000000001</v>
      </c>
      <c r="U69" s="1024">
        <v>-0.39</v>
      </c>
      <c r="V69" s="1019">
        <f t="shared" si="47"/>
        <v>0.19500049999999999</v>
      </c>
      <c r="W69" s="1018">
        <f t="shared" ref="W69:W72" si="51">R69*$X$68</f>
        <v>2.16</v>
      </c>
    </row>
    <row r="70" spans="1:26" ht="12.75" customHeight="1" x14ac:dyDescent="0.25">
      <c r="A70" s="1271"/>
      <c r="B70" s="1017">
        <v>200</v>
      </c>
      <c r="C70" s="1024">
        <v>0.34</v>
      </c>
      <c r="D70" s="1024">
        <v>0.34</v>
      </c>
      <c r="E70" s="1024">
        <v>0.52</v>
      </c>
      <c r="F70" s="1019">
        <f t="shared" si="46"/>
        <v>0.09</v>
      </c>
      <c r="G70" s="1023">
        <f t="shared" si="48"/>
        <v>2.4</v>
      </c>
      <c r="H70" s="1016"/>
      <c r="I70" s="1271"/>
      <c r="J70" s="1017">
        <v>200</v>
      </c>
      <c r="K70" s="1020">
        <v>9.9999999999999995E-7</v>
      </c>
      <c r="L70" s="1052">
        <v>-0.33</v>
      </c>
      <c r="M70" s="1052">
        <v>-0.25</v>
      </c>
      <c r="N70" s="1019">
        <f t="shared" si="49"/>
        <v>0.16500049999999999</v>
      </c>
      <c r="O70" s="1018">
        <f t="shared" si="50"/>
        <v>2.4</v>
      </c>
      <c r="P70" s="1016"/>
      <c r="Q70" s="1271"/>
      <c r="R70" s="1017">
        <v>200</v>
      </c>
      <c r="S70" s="1020">
        <v>9.9999999999999995E-7</v>
      </c>
      <c r="T70" s="1024">
        <v>-0.33</v>
      </c>
      <c r="U70" s="1024">
        <v>-0.23</v>
      </c>
      <c r="V70" s="1019">
        <f t="shared" si="47"/>
        <v>0.16500049999999999</v>
      </c>
      <c r="W70" s="1018">
        <f t="shared" si="51"/>
        <v>2.4</v>
      </c>
    </row>
    <row r="71" spans="1:26" ht="12.75" customHeight="1" x14ac:dyDescent="0.25">
      <c r="A71" s="1271"/>
      <c r="B71" s="1017">
        <v>220</v>
      </c>
      <c r="C71" s="1024">
        <v>0.37</v>
      </c>
      <c r="D71" s="1024">
        <v>0.37</v>
      </c>
      <c r="E71" s="1024">
        <v>0.57999999999999996</v>
      </c>
      <c r="F71" s="1019">
        <f t="shared" si="46"/>
        <v>0.10499999999999998</v>
      </c>
      <c r="G71" s="1023">
        <f t="shared" si="48"/>
        <v>2.64</v>
      </c>
      <c r="H71" s="1016"/>
      <c r="I71" s="1271"/>
      <c r="J71" s="1017">
        <v>220</v>
      </c>
      <c r="K71" s="1020">
        <v>9.9999999999999995E-7</v>
      </c>
      <c r="L71" s="1024">
        <v>-0.39</v>
      </c>
      <c r="M71" s="1024">
        <v>-0.28999999999999998</v>
      </c>
      <c r="N71" s="1019">
        <f t="shared" si="49"/>
        <v>0.19500049999999999</v>
      </c>
      <c r="O71" s="1018">
        <f t="shared" si="50"/>
        <v>2.64</v>
      </c>
      <c r="P71" s="1016"/>
      <c r="Q71" s="1271"/>
      <c r="R71" s="1017">
        <v>220</v>
      </c>
      <c r="S71" s="1020">
        <v>9.9999999999999995E-7</v>
      </c>
      <c r="T71" s="1024">
        <v>-0.45</v>
      </c>
      <c r="U71" s="1024">
        <v>-0.16</v>
      </c>
      <c r="V71" s="1019">
        <f t="shared" si="47"/>
        <v>0.22500049999999999</v>
      </c>
      <c r="W71" s="1018">
        <f t="shared" si="51"/>
        <v>2.64</v>
      </c>
    </row>
    <row r="72" spans="1:26" ht="12.75" customHeight="1" x14ac:dyDescent="0.25">
      <c r="A72" s="1271"/>
      <c r="B72" s="1017">
        <v>230</v>
      </c>
      <c r="C72" s="1024">
        <v>0.47</v>
      </c>
      <c r="D72" s="1024">
        <v>0.47</v>
      </c>
      <c r="E72" s="1024">
        <v>0.47</v>
      </c>
      <c r="F72" s="1019">
        <f t="shared" si="46"/>
        <v>0</v>
      </c>
      <c r="G72" s="1023">
        <f t="shared" si="48"/>
        <v>2.7600000000000002</v>
      </c>
      <c r="H72" s="1016"/>
      <c r="I72" s="1271"/>
      <c r="J72" s="1017">
        <v>230</v>
      </c>
      <c r="K72" s="1020">
        <v>9.9999999999999995E-7</v>
      </c>
      <c r="L72" s="1053">
        <v>-0.39</v>
      </c>
      <c r="M72" s="1053">
        <v>-0.34</v>
      </c>
      <c r="N72" s="1019">
        <f t="shared" si="49"/>
        <v>0.19500049999999999</v>
      </c>
      <c r="O72" s="1018">
        <f t="shared" si="50"/>
        <v>2.7600000000000002</v>
      </c>
      <c r="P72" s="1016"/>
      <c r="Q72" s="1271"/>
      <c r="R72" s="1017">
        <v>230</v>
      </c>
      <c r="S72" s="1020">
        <v>9.9999999999999995E-7</v>
      </c>
      <c r="T72" s="1024">
        <v>-0.54</v>
      </c>
      <c r="U72" s="1024">
        <v>-0.15</v>
      </c>
      <c r="V72" s="1019">
        <f t="shared" si="47"/>
        <v>0.27000050000000003</v>
      </c>
      <c r="W72" s="1018">
        <f t="shared" si="51"/>
        <v>2.7600000000000002</v>
      </c>
    </row>
    <row r="73" spans="1:26" ht="12.75" customHeight="1" x14ac:dyDescent="0.25">
      <c r="A73" s="1271"/>
      <c r="B73" s="1017">
        <v>250</v>
      </c>
      <c r="C73" s="1024">
        <v>9.9999999999999995E-7</v>
      </c>
      <c r="D73" s="1024">
        <v>9.9999999999999995E-7</v>
      </c>
      <c r="E73" s="1024">
        <v>9.9999999999999995E-7</v>
      </c>
      <c r="F73" s="1019">
        <f t="shared" si="46"/>
        <v>0</v>
      </c>
      <c r="G73" s="1023">
        <f t="shared" si="48"/>
        <v>3</v>
      </c>
      <c r="H73" s="1016"/>
      <c r="I73" s="1271"/>
      <c r="J73" s="1017">
        <v>250</v>
      </c>
      <c r="K73" s="1020">
        <v>9.9999999999999995E-7</v>
      </c>
      <c r="L73" s="1024">
        <v>9.9999999999999995E-7</v>
      </c>
      <c r="M73" s="1024">
        <v>9.9999999999999995E-7</v>
      </c>
      <c r="N73" s="1019">
        <f t="shared" si="49"/>
        <v>0</v>
      </c>
      <c r="O73" s="1018">
        <f t="shared" si="50"/>
        <v>3</v>
      </c>
      <c r="P73" s="1016"/>
      <c r="Q73" s="1271"/>
      <c r="R73" s="1017">
        <v>250</v>
      </c>
      <c r="S73" s="1020">
        <v>9.9999999999999995E-7</v>
      </c>
      <c r="T73" s="1024">
        <v>9.9999999999999995E-7</v>
      </c>
      <c r="U73" s="1024">
        <v>9.9999999999999995E-7</v>
      </c>
      <c r="V73" s="1019">
        <f t="shared" si="47"/>
        <v>0</v>
      </c>
      <c r="W73" s="1024" t="s">
        <v>129</v>
      </c>
    </row>
    <row r="74" spans="1:26" ht="12.75" customHeight="1" x14ac:dyDescent="0.25">
      <c r="A74" s="1271"/>
      <c r="B74" s="1246" t="s">
        <v>244</v>
      </c>
      <c r="C74" s="1247"/>
      <c r="D74" s="1247"/>
      <c r="E74" s="1248"/>
      <c r="F74" s="1015" t="s">
        <v>242</v>
      </c>
      <c r="G74" s="1015" t="s">
        <v>137</v>
      </c>
      <c r="H74" s="1016"/>
      <c r="I74" s="1271"/>
      <c r="J74" s="1246" t="s">
        <v>244</v>
      </c>
      <c r="K74" s="1247"/>
      <c r="L74" s="1247"/>
      <c r="M74" s="1248"/>
      <c r="N74" s="1015" t="s">
        <v>242</v>
      </c>
      <c r="O74" s="1015" t="s">
        <v>137</v>
      </c>
      <c r="P74" s="1016"/>
      <c r="Q74" s="1271"/>
      <c r="R74" s="1246" t="s">
        <v>244</v>
      </c>
      <c r="S74" s="1247"/>
      <c r="T74" s="1247"/>
      <c r="U74" s="1248"/>
      <c r="V74" s="1015" t="s">
        <v>242</v>
      </c>
      <c r="W74" s="1015" t="s">
        <v>137</v>
      </c>
      <c r="Z74" s="430"/>
    </row>
    <row r="75" spans="1:26" ht="15" customHeight="1" x14ac:dyDescent="0.25">
      <c r="A75" s="1271"/>
      <c r="B75" s="1014" t="s">
        <v>245</v>
      </c>
      <c r="C75" s="1015">
        <f>C67</f>
        <v>2019</v>
      </c>
      <c r="D75" s="1015">
        <f>D67</f>
        <v>2020</v>
      </c>
      <c r="E75" s="1015">
        <f>E67</f>
        <v>2022</v>
      </c>
      <c r="F75" s="1015"/>
      <c r="G75" s="1015"/>
      <c r="H75" s="1016"/>
      <c r="I75" s="1271"/>
      <c r="J75" s="1014" t="s">
        <v>245</v>
      </c>
      <c r="K75" s="1015">
        <f>K67</f>
        <v>2019</v>
      </c>
      <c r="L75" s="1015">
        <f>L67</f>
        <v>2020</v>
      </c>
      <c r="M75" s="1015">
        <f>M67</f>
        <v>2022</v>
      </c>
      <c r="N75" s="1015"/>
      <c r="O75" s="1015"/>
      <c r="P75" s="1016"/>
      <c r="Q75" s="1271"/>
      <c r="R75" s="1014" t="s">
        <v>245</v>
      </c>
      <c r="S75" s="1015">
        <f>S67</f>
        <v>2019</v>
      </c>
      <c r="T75" s="1015">
        <f>T67</f>
        <v>2020</v>
      </c>
      <c r="U75" s="1015">
        <f>U67</f>
        <v>2022</v>
      </c>
      <c r="V75" s="1015"/>
      <c r="W75" s="1015"/>
    </row>
    <row r="76" spans="1:26" ht="12.75" customHeight="1" x14ac:dyDescent="0.25">
      <c r="A76" s="1271"/>
      <c r="B76" s="1030">
        <v>9.9999999999999995E-7</v>
      </c>
      <c r="C76" s="1054">
        <v>9.9999999999999995E-7</v>
      </c>
      <c r="D76" s="1054">
        <v>9.9999999999999995E-7</v>
      </c>
      <c r="E76" s="1054">
        <v>9.9999999999999995E-7</v>
      </c>
      <c r="F76" s="1019">
        <f t="shared" ref="F76:F81" si="52">0.5*(MAX(C76:E76)-MIN(C76:E76))</f>
        <v>0</v>
      </c>
      <c r="G76" s="1029">
        <f>B76*$H$76</f>
        <v>5.8999999999999999E-9</v>
      </c>
      <c r="H76" s="1016">
        <f>0.59/100</f>
        <v>5.8999999999999999E-3</v>
      </c>
      <c r="I76" s="1271"/>
      <c r="J76" s="1030">
        <v>9.9999999999999995E-7</v>
      </c>
      <c r="K76" s="1021">
        <v>9.9999999999999995E-7</v>
      </c>
      <c r="L76" s="1026">
        <v>9.9999999999999995E-7</v>
      </c>
      <c r="M76" s="1026">
        <v>9.9999999999999995E-7</v>
      </c>
      <c r="N76" s="1019">
        <f t="shared" ref="N76:N81" si="53">0.5*(MAX(K76:M76)-MIN(K76:M76))</f>
        <v>0</v>
      </c>
      <c r="O76" s="1028">
        <f>J76*$P$76</f>
        <v>5.8999999999999999E-9</v>
      </c>
      <c r="P76" s="1016">
        <f>0.59/100</f>
        <v>5.8999999999999999E-3</v>
      </c>
      <c r="Q76" s="1271"/>
      <c r="R76" s="1030">
        <v>9.9999999999999995E-7</v>
      </c>
      <c r="S76" s="1021">
        <v>9.9999999999999995E-7</v>
      </c>
      <c r="T76" s="1026">
        <v>9.9999999999999995E-7</v>
      </c>
      <c r="U76" s="1026">
        <v>9.9999999999999995E-7</v>
      </c>
      <c r="V76" s="1019">
        <f t="shared" ref="V76:V81" si="54">0.5*(MAX(S76:U76)-MIN(S76:U76))</f>
        <v>0</v>
      </c>
      <c r="W76" s="1028">
        <f>R76*$X$76</f>
        <v>5.8999999999999999E-9</v>
      </c>
      <c r="X76" s="1010">
        <f>0.59/100</f>
        <v>5.8999999999999999E-3</v>
      </c>
    </row>
    <row r="77" spans="1:26" ht="12.75" customHeight="1" x14ac:dyDescent="0.25">
      <c r="A77" s="1271"/>
      <c r="B77" s="1025">
        <v>50</v>
      </c>
      <c r="C77" s="1024">
        <v>1.7</v>
      </c>
      <c r="D77" s="1024">
        <v>1.7</v>
      </c>
      <c r="E77" s="1024">
        <v>1.9</v>
      </c>
      <c r="F77" s="1019">
        <f t="shared" si="52"/>
        <v>9.9999999999999978E-2</v>
      </c>
      <c r="G77" s="1029">
        <f t="shared" ref="G77:G81" si="55">B77*$H$76</f>
        <v>0.29499999999999998</v>
      </c>
      <c r="H77" s="1016"/>
      <c r="I77" s="1271"/>
      <c r="J77" s="1025">
        <v>50</v>
      </c>
      <c r="K77" s="1021">
        <v>9.9999999999999995E-7</v>
      </c>
      <c r="L77" s="1024">
        <v>1.7</v>
      </c>
      <c r="M77" s="1024">
        <v>9.1999999999999993</v>
      </c>
      <c r="N77" s="1019">
        <f t="shared" si="53"/>
        <v>4.5999995</v>
      </c>
      <c r="O77" s="1028">
        <f t="shared" ref="O77:O81" si="56">J77*$P$76</f>
        <v>0.29499999999999998</v>
      </c>
      <c r="P77" s="1016"/>
      <c r="Q77" s="1271"/>
      <c r="R77" s="1025">
        <v>50</v>
      </c>
      <c r="S77" s="1021">
        <v>9.9999999999999995E-7</v>
      </c>
      <c r="T77" s="1024">
        <v>2.1</v>
      </c>
      <c r="U77" s="1024">
        <v>5</v>
      </c>
      <c r="V77" s="1019">
        <f t="shared" si="54"/>
        <v>2.4999994999999999</v>
      </c>
      <c r="W77" s="1028">
        <f t="shared" ref="W77:W81" si="57">R77*$X$76</f>
        <v>0.29499999999999998</v>
      </c>
    </row>
    <row r="78" spans="1:26" ht="12.75" customHeight="1" x14ac:dyDescent="0.25">
      <c r="A78" s="1271"/>
      <c r="B78" s="1025">
        <v>100</v>
      </c>
      <c r="C78" s="1024">
        <v>1.7</v>
      </c>
      <c r="D78" s="1024">
        <v>1.7</v>
      </c>
      <c r="E78" s="1024">
        <v>1.7</v>
      </c>
      <c r="F78" s="1019">
        <f t="shared" si="52"/>
        <v>0</v>
      </c>
      <c r="G78" s="1029">
        <f t="shared" si="55"/>
        <v>0.59</v>
      </c>
      <c r="H78" s="1016"/>
      <c r="I78" s="1271"/>
      <c r="J78" s="1025">
        <v>100</v>
      </c>
      <c r="K78" s="1021">
        <v>9.9999999999999995E-7</v>
      </c>
      <c r="L78" s="1024">
        <v>3.4</v>
      </c>
      <c r="M78" s="1024">
        <v>7.7</v>
      </c>
      <c r="N78" s="1019">
        <f t="shared" si="53"/>
        <v>3.8499995</v>
      </c>
      <c r="O78" s="1028">
        <f t="shared" si="56"/>
        <v>0.59</v>
      </c>
      <c r="P78" s="1016"/>
      <c r="Q78" s="1271"/>
      <c r="R78" s="1025">
        <v>100</v>
      </c>
      <c r="S78" s="1021">
        <v>9.9999999999999995E-7</v>
      </c>
      <c r="T78" s="1024">
        <v>3.7</v>
      </c>
      <c r="U78" s="1024">
        <v>0.7</v>
      </c>
      <c r="V78" s="1019">
        <f t="shared" si="54"/>
        <v>1.8499995</v>
      </c>
      <c r="W78" s="1028">
        <f t="shared" si="57"/>
        <v>0.59</v>
      </c>
    </row>
    <row r="79" spans="1:26" ht="12.75" customHeight="1" x14ac:dyDescent="0.25">
      <c r="A79" s="1271"/>
      <c r="B79" s="1025">
        <v>200</v>
      </c>
      <c r="C79" s="1024">
        <v>0.4</v>
      </c>
      <c r="D79" s="1024">
        <v>0.4</v>
      </c>
      <c r="E79" s="1024">
        <v>1.5</v>
      </c>
      <c r="F79" s="1019">
        <f t="shared" si="52"/>
        <v>0.55000000000000004</v>
      </c>
      <c r="G79" s="1029">
        <f t="shared" si="55"/>
        <v>1.18</v>
      </c>
      <c r="H79" s="1016"/>
      <c r="I79" s="1271"/>
      <c r="J79" s="1025">
        <v>500</v>
      </c>
      <c r="K79" s="1021">
        <v>9.9999999999999995E-7</v>
      </c>
      <c r="L79" s="1024">
        <v>7.2</v>
      </c>
      <c r="M79" s="1024">
        <v>-0.2</v>
      </c>
      <c r="N79" s="1019">
        <f t="shared" si="53"/>
        <v>3.7</v>
      </c>
      <c r="O79" s="1028">
        <f t="shared" si="56"/>
        <v>2.9499999999999997</v>
      </c>
      <c r="P79" s="1016"/>
      <c r="Q79" s="1271"/>
      <c r="R79" s="1025">
        <v>500</v>
      </c>
      <c r="S79" s="1021">
        <v>9.9999999999999995E-7</v>
      </c>
      <c r="T79" s="1024">
        <v>8.3000000000000007</v>
      </c>
      <c r="U79" s="1024">
        <v>-31.8</v>
      </c>
      <c r="V79" s="1019">
        <f t="shared" si="54"/>
        <v>20.05</v>
      </c>
      <c r="W79" s="1028">
        <f t="shared" si="57"/>
        <v>2.9499999999999997</v>
      </c>
    </row>
    <row r="80" spans="1:26" ht="12.75" customHeight="1" x14ac:dyDescent="0.25">
      <c r="A80" s="1271"/>
      <c r="B80" s="1025">
        <v>500</v>
      </c>
      <c r="C80" s="1024">
        <v>3</v>
      </c>
      <c r="D80" s="1024">
        <v>3</v>
      </c>
      <c r="E80" s="1024">
        <v>0.9</v>
      </c>
      <c r="F80" s="1019">
        <f t="shared" si="52"/>
        <v>1.05</v>
      </c>
      <c r="G80" s="1029">
        <f t="shared" si="55"/>
        <v>2.9499999999999997</v>
      </c>
      <c r="H80" s="1016"/>
      <c r="I80" s="1271"/>
      <c r="J80" s="1025">
        <v>500</v>
      </c>
      <c r="K80" s="1021">
        <v>9.9999999999999995E-7</v>
      </c>
      <c r="L80" s="1024">
        <v>7.2</v>
      </c>
      <c r="M80" s="1024">
        <v>-25.1</v>
      </c>
      <c r="N80" s="1019">
        <f t="shared" si="53"/>
        <v>16.150000000000002</v>
      </c>
      <c r="O80" s="1028">
        <f t="shared" si="56"/>
        <v>2.9499999999999997</v>
      </c>
      <c r="P80" s="1016"/>
      <c r="Q80" s="1271"/>
      <c r="R80" s="1025">
        <v>500</v>
      </c>
      <c r="S80" s="1021">
        <v>9.9999999999999995E-7</v>
      </c>
      <c r="T80" s="1024">
        <v>8.3000000000000007</v>
      </c>
      <c r="U80" s="1024">
        <v>-31.8</v>
      </c>
      <c r="V80" s="1019">
        <f t="shared" si="54"/>
        <v>20.05</v>
      </c>
      <c r="W80" s="1028">
        <f t="shared" si="57"/>
        <v>2.9499999999999997</v>
      </c>
    </row>
    <row r="81" spans="1:24" ht="12.75" customHeight="1" x14ac:dyDescent="0.25">
      <c r="A81" s="1271"/>
      <c r="B81" s="1025">
        <v>1000</v>
      </c>
      <c r="C81" s="1024">
        <v>5</v>
      </c>
      <c r="D81" s="1024">
        <v>4</v>
      </c>
      <c r="E81" s="1055">
        <v>-1</v>
      </c>
      <c r="F81" s="1019">
        <f t="shared" si="52"/>
        <v>3</v>
      </c>
      <c r="G81" s="1029">
        <f t="shared" si="55"/>
        <v>5.8999999999999995</v>
      </c>
      <c r="H81" s="1016"/>
      <c r="I81" s="1271"/>
      <c r="J81" s="1025">
        <v>1000</v>
      </c>
      <c r="K81" s="1021">
        <v>9.9999999999999995E-7</v>
      </c>
      <c r="L81" s="1024">
        <v>80</v>
      </c>
      <c r="M81" s="1024">
        <v>66</v>
      </c>
      <c r="N81" s="1019">
        <f t="shared" si="53"/>
        <v>39.999999500000001</v>
      </c>
      <c r="O81" s="1028">
        <f t="shared" si="56"/>
        <v>5.8999999999999995</v>
      </c>
      <c r="P81" s="1016"/>
      <c r="Q81" s="1271"/>
      <c r="R81" s="1025">
        <v>1000</v>
      </c>
      <c r="S81" s="1021">
        <v>9.9999999999999995E-7</v>
      </c>
      <c r="T81" s="1024">
        <v>-97</v>
      </c>
      <c r="U81" s="1024">
        <v>-74</v>
      </c>
      <c r="V81" s="1019">
        <f t="shared" si="54"/>
        <v>48.500000499999999</v>
      </c>
      <c r="W81" s="1028">
        <f t="shared" si="57"/>
        <v>5.8999999999999995</v>
      </c>
    </row>
    <row r="82" spans="1:24" ht="12.75" customHeight="1" x14ac:dyDescent="0.25">
      <c r="A82" s="1271"/>
      <c r="B82" s="1246" t="s">
        <v>246</v>
      </c>
      <c r="C82" s="1247"/>
      <c r="D82" s="1247"/>
      <c r="E82" s="1248"/>
      <c r="F82" s="1015" t="s">
        <v>242</v>
      </c>
      <c r="G82" s="1015" t="s">
        <v>137</v>
      </c>
      <c r="H82" s="1016"/>
      <c r="I82" s="1271"/>
      <c r="J82" s="1246" t="s">
        <v>246</v>
      </c>
      <c r="K82" s="1247"/>
      <c r="L82" s="1247"/>
      <c r="M82" s="1248"/>
      <c r="N82" s="1015" t="s">
        <v>242</v>
      </c>
      <c r="O82" s="1015" t="s">
        <v>137</v>
      </c>
      <c r="P82" s="1016"/>
      <c r="Q82" s="1271"/>
      <c r="R82" s="1246" t="str">
        <f>B82</f>
        <v>Main-PE</v>
      </c>
      <c r="S82" s="1247"/>
      <c r="T82" s="1247"/>
      <c r="U82" s="1248"/>
      <c r="V82" s="1015" t="s">
        <v>242</v>
      </c>
      <c r="W82" s="1015" t="s">
        <v>137</v>
      </c>
    </row>
    <row r="83" spans="1:24" ht="15" customHeight="1" x14ac:dyDescent="0.25">
      <c r="A83" s="1271"/>
      <c r="B83" s="1014" t="s">
        <v>247</v>
      </c>
      <c r="C83" s="1015">
        <f>C75</f>
        <v>2019</v>
      </c>
      <c r="D83" s="1015">
        <f>D75</f>
        <v>2020</v>
      </c>
      <c r="E83" s="1015">
        <f>E75</f>
        <v>2022</v>
      </c>
      <c r="F83" s="1015"/>
      <c r="G83" s="1015"/>
      <c r="H83" s="1016"/>
      <c r="I83" s="1271"/>
      <c r="J83" s="1014" t="s">
        <v>247</v>
      </c>
      <c r="K83" s="1015">
        <f>K67</f>
        <v>2019</v>
      </c>
      <c r="L83" s="1015">
        <f>L67</f>
        <v>2020</v>
      </c>
      <c r="M83" s="1015">
        <f>M67</f>
        <v>2022</v>
      </c>
      <c r="N83" s="1015"/>
      <c r="O83" s="1015"/>
      <c r="P83" s="1016"/>
      <c r="Q83" s="1271"/>
      <c r="R83" s="1014" t="s">
        <v>247</v>
      </c>
      <c r="S83" s="1015">
        <f>S67</f>
        <v>2019</v>
      </c>
      <c r="T83" s="1015">
        <f>T67</f>
        <v>2020</v>
      </c>
      <c r="U83" s="1015">
        <f>U67</f>
        <v>2022</v>
      </c>
      <c r="V83" s="1015"/>
      <c r="W83" s="1015"/>
    </row>
    <row r="84" spans="1:24" ht="12.75" customHeight="1" x14ac:dyDescent="0.25">
      <c r="A84" s="1271"/>
      <c r="B84" s="1025">
        <v>10</v>
      </c>
      <c r="C84" s="1021" t="s">
        <v>129</v>
      </c>
      <c r="D84" s="1026">
        <v>9.9999999999999995E-7</v>
      </c>
      <c r="E84" s="1026">
        <v>9.9999999999999995E-7</v>
      </c>
      <c r="F84" s="1019">
        <f t="shared" ref="F84:F87" si="58">0.5*(MAX(C84:E84)-MIN(C84:E84))</f>
        <v>0</v>
      </c>
      <c r="G84" s="1030">
        <f>B84*$H$84</f>
        <v>0.17</v>
      </c>
      <c r="H84" s="1016">
        <f>1.7/100</f>
        <v>1.7000000000000001E-2</v>
      </c>
      <c r="I84" s="1271"/>
      <c r="J84" s="1025">
        <v>10</v>
      </c>
      <c r="K84" s="1021">
        <v>9.9999999999999995E-7</v>
      </c>
      <c r="L84" s="1021">
        <v>9.9999999999999995E-7</v>
      </c>
      <c r="M84" s="1056">
        <v>9.9999999999999995E-7</v>
      </c>
      <c r="N84" s="1019">
        <f t="shared" ref="N84:N87" si="59">0.5*(MAX(K84:M84)-MIN(K84:M84))</f>
        <v>0</v>
      </c>
      <c r="O84" s="1024">
        <f>J84*$P$84</f>
        <v>0.17</v>
      </c>
      <c r="P84" s="1016">
        <f>1.7/100</f>
        <v>1.7000000000000001E-2</v>
      </c>
      <c r="Q84" s="1271"/>
      <c r="R84" s="1025">
        <v>10</v>
      </c>
      <c r="S84" s="1021">
        <v>9.9999999999999995E-7</v>
      </c>
      <c r="T84" s="1026">
        <v>9.9999999999999995E-7</v>
      </c>
      <c r="U84" s="1026">
        <v>9.9999999999999995E-7</v>
      </c>
      <c r="V84" s="1019">
        <f t="shared" ref="V84:V87" si="60">0.5*(MAX(S84:U84)-MIN(S84:U84))</f>
        <v>0</v>
      </c>
      <c r="W84" s="1024">
        <f>R84*$X$84</f>
        <v>0.17</v>
      </c>
      <c r="X84" s="1010">
        <v>1.7000000000000001E-2</v>
      </c>
    </row>
    <row r="85" spans="1:24" ht="12.75" customHeight="1" x14ac:dyDescent="0.25">
      <c r="A85" s="1271"/>
      <c r="B85" s="1025">
        <v>20</v>
      </c>
      <c r="C85" s="1021" t="s">
        <v>129</v>
      </c>
      <c r="D85" s="1021">
        <v>0.1</v>
      </c>
      <c r="E85" s="1021">
        <v>0.1</v>
      </c>
      <c r="F85" s="1019">
        <f t="shared" si="58"/>
        <v>0</v>
      </c>
      <c r="G85" s="1030">
        <f t="shared" ref="G85:G87" si="61">B85*$H$84</f>
        <v>0.34</v>
      </c>
      <c r="H85" s="1016"/>
      <c r="I85" s="1271"/>
      <c r="J85" s="1025">
        <v>20</v>
      </c>
      <c r="K85" s="1021">
        <v>9.9999999999999995E-7</v>
      </c>
      <c r="L85" s="1021">
        <v>9.9999999999999995E-7</v>
      </c>
      <c r="M85" s="1056">
        <v>9.9999999999999995E-7</v>
      </c>
      <c r="N85" s="1019">
        <f t="shared" si="59"/>
        <v>0</v>
      </c>
      <c r="O85" s="1024">
        <f t="shared" ref="O85:O86" si="62">J85*$P$84</f>
        <v>0.34</v>
      </c>
      <c r="P85" s="1016"/>
      <c r="Q85" s="1271"/>
      <c r="R85" s="1025">
        <v>20</v>
      </c>
      <c r="S85" s="1021">
        <v>9.9999999999999995E-7</v>
      </c>
      <c r="T85" s="1026">
        <v>9.9999999999999995E-7</v>
      </c>
      <c r="U85" s="1026">
        <v>9.9999999999999995E-7</v>
      </c>
      <c r="V85" s="1019">
        <f t="shared" si="60"/>
        <v>0</v>
      </c>
      <c r="W85" s="1024">
        <f t="shared" ref="W85:W86" si="63">R85*$X$84</f>
        <v>0.34</v>
      </c>
    </row>
    <row r="86" spans="1:24" ht="12.75" customHeight="1" x14ac:dyDescent="0.25">
      <c r="A86" s="1271"/>
      <c r="B86" s="1025">
        <v>50</v>
      </c>
      <c r="C86" s="1021" t="s">
        <v>129</v>
      </c>
      <c r="D86" s="1021">
        <v>0.4</v>
      </c>
      <c r="E86" s="1021">
        <v>0.5</v>
      </c>
      <c r="F86" s="1019">
        <f t="shared" si="58"/>
        <v>4.9999999999999989E-2</v>
      </c>
      <c r="G86" s="1030">
        <f t="shared" si="61"/>
        <v>0.85000000000000009</v>
      </c>
      <c r="H86" s="1016"/>
      <c r="I86" s="1271"/>
      <c r="J86" s="1025">
        <v>50</v>
      </c>
      <c r="K86" s="1021">
        <v>9.9999999999999995E-7</v>
      </c>
      <c r="L86" s="1021">
        <v>9.9999999999999995E-7</v>
      </c>
      <c r="M86" s="1056">
        <v>0.2</v>
      </c>
      <c r="N86" s="1019">
        <f t="shared" si="59"/>
        <v>9.9999500000000005E-2</v>
      </c>
      <c r="O86" s="1024">
        <f t="shared" si="62"/>
        <v>0.85000000000000009</v>
      </c>
      <c r="P86" s="1016"/>
      <c r="Q86" s="1271"/>
      <c r="R86" s="1025">
        <v>50</v>
      </c>
      <c r="S86" s="1021">
        <v>9.9999999999999995E-7</v>
      </c>
      <c r="T86" s="1026">
        <v>9.9999999999999995E-7</v>
      </c>
      <c r="U86" s="1026">
        <v>0.2</v>
      </c>
      <c r="V86" s="1019">
        <f t="shared" si="60"/>
        <v>9.9999500000000005E-2</v>
      </c>
      <c r="W86" s="1024">
        <f t="shared" si="63"/>
        <v>0.85000000000000009</v>
      </c>
    </row>
    <row r="87" spans="1:24" ht="12.75" customHeight="1" x14ac:dyDescent="0.25">
      <c r="A87" s="1271"/>
      <c r="B87" s="1025">
        <v>100</v>
      </c>
      <c r="C87" s="1021" t="s">
        <v>129</v>
      </c>
      <c r="D87" s="1021">
        <v>1.4</v>
      </c>
      <c r="E87" s="1021">
        <v>0.9</v>
      </c>
      <c r="F87" s="1019">
        <f t="shared" si="58"/>
        <v>0.24999999999999994</v>
      </c>
      <c r="G87" s="1030">
        <f t="shared" si="61"/>
        <v>1.7000000000000002</v>
      </c>
      <c r="H87" s="1016"/>
      <c r="I87" s="1271"/>
      <c r="J87" s="1025">
        <v>100</v>
      </c>
      <c r="K87" s="1021">
        <v>9.9999999999999995E-7</v>
      </c>
      <c r="L87" s="1021">
        <v>9.9999999999999995E-7</v>
      </c>
      <c r="M87" s="1056">
        <v>0.6</v>
      </c>
      <c r="N87" s="1019">
        <f t="shared" si="59"/>
        <v>0.29999949999999997</v>
      </c>
      <c r="O87" s="1024">
        <f>J87*$P$84</f>
        <v>1.7000000000000002</v>
      </c>
      <c r="P87" s="1016"/>
      <c r="Q87" s="1271"/>
      <c r="R87" s="1025">
        <v>100</v>
      </c>
      <c r="S87" s="1021">
        <v>9.9999999999999995E-7</v>
      </c>
      <c r="T87" s="1026">
        <v>9.9999999999999995E-7</v>
      </c>
      <c r="U87" s="1026">
        <v>0.4</v>
      </c>
      <c r="V87" s="1019">
        <f t="shared" si="60"/>
        <v>0.19999950000000002</v>
      </c>
      <c r="W87" s="1024">
        <f>R87*$X$84</f>
        <v>1.7000000000000002</v>
      </c>
    </row>
    <row r="88" spans="1:24" ht="12.75" customHeight="1" x14ac:dyDescent="0.25">
      <c r="A88" s="1271"/>
      <c r="B88" s="1246" t="s">
        <v>248</v>
      </c>
      <c r="C88" s="1247"/>
      <c r="D88" s="1247"/>
      <c r="E88" s="1248"/>
      <c r="F88" s="1015" t="s">
        <v>242</v>
      </c>
      <c r="G88" s="1015" t="s">
        <v>137</v>
      </c>
      <c r="H88" s="1016"/>
      <c r="I88" s="1271"/>
      <c r="J88" s="1246" t="s">
        <v>248</v>
      </c>
      <c r="K88" s="1247"/>
      <c r="L88" s="1247"/>
      <c r="M88" s="1248"/>
      <c r="N88" s="1015" t="s">
        <v>242</v>
      </c>
      <c r="O88" s="1015" t="s">
        <v>137</v>
      </c>
      <c r="P88" s="1016"/>
      <c r="Q88" s="1271"/>
      <c r="R88" s="1246" t="str">
        <f>B88</f>
        <v>Resistance</v>
      </c>
      <c r="S88" s="1247"/>
      <c r="T88" s="1247"/>
      <c r="U88" s="1248"/>
      <c r="V88" s="1015" t="s">
        <v>242</v>
      </c>
      <c r="W88" s="1015" t="s">
        <v>137</v>
      </c>
    </row>
    <row r="89" spans="1:24" ht="15" customHeight="1" x14ac:dyDescent="0.25">
      <c r="A89" s="1271"/>
      <c r="B89" s="1014" t="s">
        <v>249</v>
      </c>
      <c r="C89" s="1015">
        <f>C67</f>
        <v>2019</v>
      </c>
      <c r="D89" s="1015">
        <f>D67</f>
        <v>2020</v>
      </c>
      <c r="E89" s="1015">
        <f>E67</f>
        <v>2022</v>
      </c>
      <c r="F89" s="1015"/>
      <c r="G89" s="1015"/>
      <c r="H89" s="1016"/>
      <c r="I89" s="1271"/>
      <c r="J89" s="1014" t="s">
        <v>249</v>
      </c>
      <c r="K89" s="1015">
        <f>K67</f>
        <v>2019</v>
      </c>
      <c r="L89" s="1015">
        <f>L67</f>
        <v>2020</v>
      </c>
      <c r="M89" s="1015">
        <f>M67</f>
        <v>2022</v>
      </c>
      <c r="N89" s="1015"/>
      <c r="O89" s="1015"/>
      <c r="P89" s="1016"/>
      <c r="Q89" s="1271"/>
      <c r="R89" s="1014" t="s">
        <v>249</v>
      </c>
      <c r="S89" s="1015">
        <f>S67</f>
        <v>2019</v>
      </c>
      <c r="T89" s="1015">
        <f>T67</f>
        <v>2020</v>
      </c>
      <c r="U89" s="1015">
        <f>U67</f>
        <v>2022</v>
      </c>
      <c r="V89" s="1015"/>
      <c r="W89" s="1015"/>
    </row>
    <row r="90" spans="1:24" ht="12.75" customHeight="1" x14ac:dyDescent="0.25">
      <c r="A90" s="1271"/>
      <c r="B90" s="1025">
        <v>0.01</v>
      </c>
      <c r="C90" s="1026">
        <v>9.9999999999999995E-7</v>
      </c>
      <c r="D90" s="1026">
        <v>9.9999999999999995E-7</v>
      </c>
      <c r="E90" s="1026">
        <v>9.9999999999999995E-7</v>
      </c>
      <c r="F90" s="1019">
        <f t="shared" ref="F90:F93" si="64">0.5*(MAX(C90:E90)-MIN(C90:E90))</f>
        <v>0</v>
      </c>
      <c r="G90" s="1025">
        <f>B90*$H$90</f>
        <v>1.2E-4</v>
      </c>
      <c r="H90" s="1016">
        <f>1.2/100</f>
        <v>1.2E-2</v>
      </c>
      <c r="I90" s="1271"/>
      <c r="J90" s="1025">
        <v>0.01</v>
      </c>
      <c r="K90" s="1025">
        <v>9.9999999999999995E-7</v>
      </c>
      <c r="L90" s="1026">
        <v>9.9999999999999995E-7</v>
      </c>
      <c r="M90" s="1026">
        <v>9.9999999999999995E-7</v>
      </c>
      <c r="N90" s="1019">
        <f t="shared" ref="N90:N93" si="65">0.5*(MAX(K90:M90)-MIN(K90:M90))</f>
        <v>0</v>
      </c>
      <c r="O90" s="1057">
        <f>J90*$P$90</f>
        <v>1.2E-4</v>
      </c>
      <c r="P90" s="1016">
        <f>1.2/100</f>
        <v>1.2E-2</v>
      </c>
      <c r="Q90" s="1271"/>
      <c r="R90" s="1025">
        <v>0.01</v>
      </c>
      <c r="S90" s="1025">
        <v>9.9999999999999995E-7</v>
      </c>
      <c r="T90" s="1026">
        <v>9.9999999999999995E-7</v>
      </c>
      <c r="U90" s="1026">
        <v>9.9999999999999995E-7</v>
      </c>
      <c r="V90" s="1019">
        <f t="shared" ref="V90:V93" si="66">0.5*(MAX(S90:U90)-MIN(S90:U90))</f>
        <v>0</v>
      </c>
      <c r="W90" s="1058">
        <f>R90*$X$90</f>
        <v>1.2E-4</v>
      </c>
      <c r="X90" s="1010">
        <f>1.2/100</f>
        <v>1.2E-2</v>
      </c>
    </row>
    <row r="91" spans="1:24" ht="12.75" customHeight="1" x14ac:dyDescent="0.25">
      <c r="A91" s="1271"/>
      <c r="B91" s="1025">
        <v>0.1</v>
      </c>
      <c r="C91" s="1026">
        <v>9.9999999999999995E-7</v>
      </c>
      <c r="D91" s="1026">
        <v>9.9999999999999995E-7</v>
      </c>
      <c r="E91" s="1026">
        <v>2E-3</v>
      </c>
      <c r="F91" s="1019">
        <f t="shared" si="64"/>
        <v>9.9949999999999995E-4</v>
      </c>
      <c r="G91" s="1025">
        <f t="shared" ref="G91:G93" si="67">B91*$H$90</f>
        <v>1.2000000000000001E-3</v>
      </c>
      <c r="H91" s="1016"/>
      <c r="I91" s="1271"/>
      <c r="J91" s="1025">
        <v>0.1</v>
      </c>
      <c r="K91" s="1025">
        <v>9.9999999999999995E-7</v>
      </c>
      <c r="L91" s="1026">
        <v>-2E-3</v>
      </c>
      <c r="M91" s="1026">
        <v>1E-3</v>
      </c>
      <c r="N91" s="1019">
        <f t="shared" si="65"/>
        <v>1.5E-3</v>
      </c>
      <c r="O91" s="1057">
        <f t="shared" ref="O91:O93" si="68">J91*$P$90</f>
        <v>1.2000000000000001E-3</v>
      </c>
      <c r="P91" s="1016"/>
      <c r="Q91" s="1271"/>
      <c r="R91" s="1025">
        <v>0.1</v>
      </c>
      <c r="S91" s="1025">
        <v>9.9999999999999995E-7</v>
      </c>
      <c r="T91" s="1026">
        <v>-3.0000000000000001E-3</v>
      </c>
      <c r="U91" s="1026">
        <v>-1E-3</v>
      </c>
      <c r="V91" s="1019">
        <f t="shared" si="66"/>
        <v>1.5005000000000001E-3</v>
      </c>
      <c r="W91" s="1058">
        <f t="shared" ref="W91:W93" si="69">R91*$X$90</f>
        <v>1.2000000000000001E-3</v>
      </c>
    </row>
    <row r="92" spans="1:24" ht="12.75" customHeight="1" x14ac:dyDescent="0.25">
      <c r="A92" s="1271"/>
      <c r="B92" s="1025">
        <v>1</v>
      </c>
      <c r="C92" s="1026">
        <v>-2.3E-3</v>
      </c>
      <c r="D92" s="1026">
        <v>-2.3E-3</v>
      </c>
      <c r="E92" s="1026">
        <v>2E-3</v>
      </c>
      <c r="F92" s="1019">
        <f t="shared" si="64"/>
        <v>2.15E-3</v>
      </c>
      <c r="G92" s="1025">
        <f t="shared" si="67"/>
        <v>1.2E-2</v>
      </c>
      <c r="H92" s="1016"/>
      <c r="I92" s="1271"/>
      <c r="J92" s="1025">
        <v>1</v>
      </c>
      <c r="K92" s="1025">
        <v>9.9999999999999995E-7</v>
      </c>
      <c r="L92" s="1026">
        <v>-1E-3</v>
      </c>
      <c r="M92" s="1026">
        <v>9.9999999999999995E-7</v>
      </c>
      <c r="N92" s="1019">
        <f t="shared" si="65"/>
        <v>5.0049999999999997E-4</v>
      </c>
      <c r="O92" s="1057">
        <f t="shared" si="68"/>
        <v>1.2E-2</v>
      </c>
      <c r="P92" s="1016"/>
      <c r="Q92" s="1271"/>
      <c r="R92" s="1025">
        <v>1</v>
      </c>
      <c r="S92" s="1025">
        <v>9.9999999999999995E-7</v>
      </c>
      <c r="T92" s="1026">
        <v>-1E-3</v>
      </c>
      <c r="U92" s="1026">
        <v>5.0000000000000001E-3</v>
      </c>
      <c r="V92" s="1019">
        <f t="shared" si="66"/>
        <v>3.0000000000000001E-3</v>
      </c>
      <c r="W92" s="1058">
        <f t="shared" si="69"/>
        <v>1.2E-2</v>
      </c>
    </row>
    <row r="93" spans="1:24" ht="12.75" customHeight="1" x14ac:dyDescent="0.25">
      <c r="A93" s="1272"/>
      <c r="B93" s="1025">
        <v>2</v>
      </c>
      <c r="C93" s="1026">
        <v>9.9999999999999995E-7</v>
      </c>
      <c r="D93" s="1026">
        <v>9.9999999999999995E-7</v>
      </c>
      <c r="E93" s="1026">
        <v>-1E-3</v>
      </c>
      <c r="F93" s="1019">
        <f t="shared" si="64"/>
        <v>5.0049999999999997E-4</v>
      </c>
      <c r="G93" s="1025">
        <f t="shared" si="67"/>
        <v>2.4E-2</v>
      </c>
      <c r="H93" s="1016"/>
      <c r="I93" s="1272"/>
      <c r="J93" s="1025">
        <v>2</v>
      </c>
      <c r="K93" s="1025">
        <v>9.9999999999999995E-7</v>
      </c>
      <c r="L93" s="1026">
        <v>-6.0000000000000001E-3</v>
      </c>
      <c r="M93" s="1026">
        <v>9.9999999999999995E-7</v>
      </c>
      <c r="N93" s="1019">
        <f t="shared" si="65"/>
        <v>3.0005000000000001E-3</v>
      </c>
      <c r="O93" s="1057">
        <f t="shared" si="68"/>
        <v>2.4E-2</v>
      </c>
      <c r="P93" s="1016"/>
      <c r="Q93" s="1272"/>
      <c r="R93" s="1025">
        <v>2</v>
      </c>
      <c r="S93" s="1025">
        <v>9.9999999999999995E-7</v>
      </c>
      <c r="T93" s="1026">
        <v>-6.0000000000000001E-3</v>
      </c>
      <c r="U93" s="1026">
        <v>5.0000000000000001E-3</v>
      </c>
      <c r="V93" s="1019">
        <f t="shared" si="66"/>
        <v>5.4999999999999997E-3</v>
      </c>
      <c r="W93" s="1058">
        <f t="shared" si="69"/>
        <v>2.4E-2</v>
      </c>
    </row>
    <row r="94" spans="1:24" s="432" customFormat="1" ht="15.6" x14ac:dyDescent="0.25">
      <c r="A94" s="1047"/>
      <c r="B94" s="1048"/>
      <c r="C94" s="1049"/>
      <c r="E94" s="1049"/>
      <c r="F94" s="1049"/>
      <c r="G94" s="1049"/>
      <c r="H94" s="1037"/>
      <c r="I94" s="1050"/>
      <c r="J94" s="1051"/>
      <c r="K94" s="1049"/>
      <c r="M94" s="1049"/>
      <c r="N94" s="1049"/>
      <c r="O94" s="1049"/>
      <c r="P94" s="1037"/>
      <c r="Q94" s="1050"/>
      <c r="R94" s="1048"/>
      <c r="S94" s="1049"/>
      <c r="U94" s="1036"/>
      <c r="V94" s="1036"/>
      <c r="W94" s="1038"/>
      <c r="X94" s="1039"/>
    </row>
    <row r="95" spans="1:24" ht="30" customHeight="1" x14ac:dyDescent="0.25">
      <c r="A95" s="1270">
        <v>10</v>
      </c>
      <c r="B95" s="1273" t="str">
        <f>A175</f>
        <v>Electrical Safety Analyzer, Merek : Fluke, Model : ESA 615, SN : --</v>
      </c>
      <c r="C95" s="1273"/>
      <c r="D95" s="1273"/>
      <c r="E95" s="1273"/>
      <c r="F95" s="1273"/>
      <c r="G95" s="1273"/>
      <c r="H95" s="1011"/>
      <c r="I95" s="1270">
        <v>11</v>
      </c>
      <c r="J95" s="1274" t="str">
        <f>A176</f>
        <v>Electrical Safety Analyzer 11</v>
      </c>
      <c r="K95" s="1274"/>
      <c r="L95" s="1274"/>
      <c r="M95" s="1274"/>
      <c r="N95" s="1274"/>
      <c r="O95" s="1274"/>
      <c r="P95" s="1011"/>
      <c r="Q95" s="1270">
        <v>12</v>
      </c>
      <c r="R95" s="1274" t="str">
        <f>A177</f>
        <v>Electrical Safety Analyzer 12</v>
      </c>
      <c r="S95" s="1274"/>
      <c r="T95" s="1274"/>
      <c r="U95" s="1274"/>
      <c r="V95" s="1274"/>
      <c r="W95" s="1274"/>
    </row>
    <row r="96" spans="1:24" ht="15" customHeight="1" x14ac:dyDescent="0.3">
      <c r="A96" s="1271"/>
      <c r="B96" s="1275" t="s">
        <v>240</v>
      </c>
      <c r="C96" s="1275"/>
      <c r="D96" s="1275"/>
      <c r="E96" s="1275"/>
      <c r="F96" s="1041"/>
      <c r="G96" s="1041"/>
      <c r="H96" s="1013"/>
      <c r="I96" s="1271"/>
      <c r="J96" s="1276" t="s">
        <v>240</v>
      </c>
      <c r="K96" s="1276"/>
      <c r="L96" s="1276"/>
      <c r="M96" s="1276"/>
      <c r="N96" s="1042"/>
      <c r="O96" s="1042"/>
      <c r="P96" s="1013"/>
      <c r="Q96" s="1271"/>
      <c r="R96" s="1275" t="s">
        <v>240</v>
      </c>
      <c r="S96" s="1275"/>
      <c r="T96" s="1275"/>
      <c r="U96" s="1275"/>
      <c r="V96" s="1042"/>
      <c r="W96" s="1042"/>
    </row>
    <row r="97" spans="1:23" ht="12.75" customHeight="1" x14ac:dyDescent="0.25">
      <c r="A97" s="1271"/>
      <c r="B97" s="1267" t="s">
        <v>241</v>
      </c>
      <c r="C97" s="1268"/>
      <c r="D97" s="1268"/>
      <c r="E97" s="1269"/>
      <c r="F97" s="1015" t="s">
        <v>242</v>
      </c>
      <c r="G97" s="1015" t="s">
        <v>137</v>
      </c>
      <c r="H97" s="1016"/>
      <c r="I97" s="1271"/>
      <c r="J97" s="1264" t="s">
        <v>241</v>
      </c>
      <c r="K97" s="1265"/>
      <c r="L97" s="1265"/>
      <c r="M97" s="1266"/>
      <c r="N97" s="1015" t="s">
        <v>242</v>
      </c>
      <c r="O97" s="1015" t="s">
        <v>137</v>
      </c>
      <c r="P97" s="1016"/>
      <c r="Q97" s="1271"/>
      <c r="R97" s="1267" t="s">
        <v>241</v>
      </c>
      <c r="S97" s="1268"/>
      <c r="T97" s="1268"/>
      <c r="U97" s="1269"/>
      <c r="V97" s="1015" t="s">
        <v>242</v>
      </c>
      <c r="W97" s="1015" t="s">
        <v>137</v>
      </c>
    </row>
    <row r="98" spans="1:23" ht="15" customHeight="1" x14ac:dyDescent="0.25">
      <c r="A98" s="1271"/>
      <c r="B98" s="1014" t="s">
        <v>243</v>
      </c>
      <c r="C98" s="1015">
        <v>2019</v>
      </c>
      <c r="D98" s="1015">
        <v>2019</v>
      </c>
      <c r="E98" s="1015">
        <v>2020</v>
      </c>
      <c r="F98" s="1015"/>
      <c r="G98" s="1015"/>
      <c r="H98" s="1016"/>
      <c r="I98" s="1271"/>
      <c r="J98" s="1014" t="s">
        <v>243</v>
      </c>
      <c r="K98" s="1015">
        <v>2019</v>
      </c>
      <c r="L98" s="1015">
        <v>2019</v>
      </c>
      <c r="M98" s="1015">
        <v>2020</v>
      </c>
      <c r="N98" s="1015"/>
      <c r="O98" s="1015"/>
      <c r="P98" s="1016"/>
      <c r="Q98" s="1271"/>
      <c r="R98" s="1014" t="s">
        <v>243</v>
      </c>
      <c r="S98" s="1015">
        <v>2019</v>
      </c>
      <c r="T98" s="1015">
        <v>2019</v>
      </c>
      <c r="U98" s="1015">
        <v>2020</v>
      </c>
      <c r="V98" s="1015"/>
      <c r="W98" s="1015"/>
    </row>
    <row r="99" spans="1:23" ht="12.75" customHeight="1" x14ac:dyDescent="0.25">
      <c r="A99" s="1271"/>
      <c r="B99" s="1017">
        <v>150</v>
      </c>
      <c r="C99" s="1018">
        <v>0.21</v>
      </c>
      <c r="D99" s="1018">
        <v>0.21</v>
      </c>
      <c r="E99" s="1018">
        <v>0.21</v>
      </c>
      <c r="F99" s="1019">
        <f t="shared" ref="F99:F104" si="70">0.5*(MAX(C99:E99)-MIN(C99:E99))</f>
        <v>0</v>
      </c>
      <c r="G99" s="1023">
        <v>1.2</v>
      </c>
      <c r="H99" s="1016"/>
      <c r="I99" s="1271"/>
      <c r="J99" s="1017">
        <v>150</v>
      </c>
      <c r="K99" s="1020">
        <v>9.9999999999999995E-7</v>
      </c>
      <c r="L99" s="1020">
        <v>9.9999999999999995E-7</v>
      </c>
      <c r="M99" s="1018">
        <v>-0.17</v>
      </c>
      <c r="N99" s="1019">
        <f>0.5*(MAX(K99:M99)-MIN(K99:M99))</f>
        <v>8.5000500000000007E-2</v>
      </c>
      <c r="O99" s="1018">
        <v>1.2</v>
      </c>
      <c r="P99" s="1016"/>
      <c r="Q99" s="1271"/>
      <c r="R99" s="1017">
        <v>150</v>
      </c>
      <c r="S99" s="1020">
        <v>9.9999999999999995E-7</v>
      </c>
      <c r="T99" s="1020">
        <v>9.9999999999999995E-7</v>
      </c>
      <c r="U99" s="1018">
        <v>-0.24</v>
      </c>
      <c r="V99" s="1019">
        <f t="shared" ref="V99:V104" si="71">0.5*(MAX(S99:U99)-MIN(S99:U99))</f>
        <v>0.1200005</v>
      </c>
      <c r="W99" s="1018">
        <v>1.2</v>
      </c>
    </row>
    <row r="100" spans="1:23" ht="12.75" customHeight="1" x14ac:dyDescent="0.25">
      <c r="A100" s="1271"/>
      <c r="B100" s="1017">
        <v>180</v>
      </c>
      <c r="C100" s="1024">
        <v>0.33</v>
      </c>
      <c r="D100" s="1024">
        <v>0.33</v>
      </c>
      <c r="E100" s="1024">
        <v>0.33</v>
      </c>
      <c r="F100" s="1019">
        <f t="shared" si="70"/>
        <v>0</v>
      </c>
      <c r="G100" s="1023">
        <v>1.2</v>
      </c>
      <c r="H100" s="1016"/>
      <c r="I100" s="1271"/>
      <c r="J100" s="1017">
        <v>180</v>
      </c>
      <c r="K100" s="1020">
        <v>9.9999999999999995E-7</v>
      </c>
      <c r="L100" s="1020">
        <v>9.9999999999999995E-7</v>
      </c>
      <c r="M100" s="1024">
        <v>-0.22</v>
      </c>
      <c r="N100" s="1019">
        <f t="shared" ref="N100:N104" si="72">0.5*(MAX(K100:M100)-MIN(K100:M100))</f>
        <v>0.1100005</v>
      </c>
      <c r="O100" s="1018">
        <v>1.2</v>
      </c>
      <c r="P100" s="1016"/>
      <c r="Q100" s="1271"/>
      <c r="R100" s="1017">
        <v>180</v>
      </c>
      <c r="S100" s="1020">
        <v>9.9999999999999995E-7</v>
      </c>
      <c r="T100" s="1020">
        <v>9.9999999999999995E-7</v>
      </c>
      <c r="U100" s="1024">
        <v>-0.14000000000000001</v>
      </c>
      <c r="V100" s="1019">
        <f t="shared" si="71"/>
        <v>7.0000500000000007E-2</v>
      </c>
      <c r="W100" s="1018">
        <v>1.2</v>
      </c>
    </row>
    <row r="101" spans="1:23" ht="12.75" customHeight="1" x14ac:dyDescent="0.25">
      <c r="A101" s="1271"/>
      <c r="B101" s="1017">
        <v>200</v>
      </c>
      <c r="C101" s="1024">
        <v>0.34</v>
      </c>
      <c r="D101" s="1024">
        <v>0.34</v>
      </c>
      <c r="E101" s="1024">
        <v>0.34</v>
      </c>
      <c r="F101" s="1019">
        <f t="shared" si="70"/>
        <v>0</v>
      </c>
      <c r="G101" s="1023">
        <v>1.2</v>
      </c>
      <c r="H101" s="1016"/>
      <c r="I101" s="1271"/>
      <c r="J101" s="1017">
        <v>200</v>
      </c>
      <c r="K101" s="1020">
        <v>9.9999999999999995E-7</v>
      </c>
      <c r="L101" s="1020">
        <v>9.9999999999999995E-7</v>
      </c>
      <c r="M101" s="1024">
        <v>-0.33</v>
      </c>
      <c r="N101" s="1019">
        <f t="shared" si="72"/>
        <v>0.16500049999999999</v>
      </c>
      <c r="O101" s="1018">
        <v>1.2</v>
      </c>
      <c r="P101" s="1016"/>
      <c r="Q101" s="1271"/>
      <c r="R101" s="1017">
        <v>200</v>
      </c>
      <c r="S101" s="1020">
        <v>9.9999999999999995E-7</v>
      </c>
      <c r="T101" s="1020">
        <v>9.9999999999999995E-7</v>
      </c>
      <c r="U101" s="1024">
        <v>-0.33</v>
      </c>
      <c r="V101" s="1019">
        <f t="shared" si="71"/>
        <v>0.16500049999999999</v>
      </c>
      <c r="W101" s="1018">
        <v>1.2</v>
      </c>
    </row>
    <row r="102" spans="1:23" ht="12.75" customHeight="1" x14ac:dyDescent="0.25">
      <c r="A102" s="1271"/>
      <c r="B102" s="1017">
        <v>220</v>
      </c>
      <c r="C102" s="1024">
        <v>0.37</v>
      </c>
      <c r="D102" s="1024">
        <v>0.37</v>
      </c>
      <c r="E102" s="1024">
        <v>0.37</v>
      </c>
      <c r="F102" s="1019">
        <f t="shared" si="70"/>
        <v>0</v>
      </c>
      <c r="G102" s="1023">
        <v>1.2</v>
      </c>
      <c r="H102" s="1016"/>
      <c r="I102" s="1271"/>
      <c r="J102" s="1017">
        <v>220</v>
      </c>
      <c r="K102" s="1020">
        <v>9.9999999999999995E-7</v>
      </c>
      <c r="L102" s="1020">
        <v>9.9999999999999995E-7</v>
      </c>
      <c r="M102" s="1024">
        <v>-0.39</v>
      </c>
      <c r="N102" s="1019">
        <f t="shared" si="72"/>
        <v>0.19500049999999999</v>
      </c>
      <c r="O102" s="1018">
        <v>1.2</v>
      </c>
      <c r="P102" s="1016"/>
      <c r="Q102" s="1271"/>
      <c r="R102" s="1017">
        <v>220</v>
      </c>
      <c r="S102" s="1020">
        <v>9.9999999999999995E-7</v>
      </c>
      <c r="T102" s="1020">
        <v>9.9999999999999995E-7</v>
      </c>
      <c r="U102" s="1024">
        <v>-0.45</v>
      </c>
      <c r="V102" s="1019">
        <f t="shared" si="71"/>
        <v>0.22500049999999999</v>
      </c>
      <c r="W102" s="1018">
        <v>1.2</v>
      </c>
    </row>
    <row r="103" spans="1:23" ht="12.75" customHeight="1" x14ac:dyDescent="0.25">
      <c r="A103" s="1271"/>
      <c r="B103" s="1017">
        <v>230</v>
      </c>
      <c r="C103" s="1024">
        <v>0.47</v>
      </c>
      <c r="D103" s="1024">
        <v>0.47</v>
      </c>
      <c r="E103" s="1024">
        <v>0.47</v>
      </c>
      <c r="F103" s="1019">
        <f t="shared" si="70"/>
        <v>0</v>
      </c>
      <c r="G103" s="1023">
        <v>1.2</v>
      </c>
      <c r="H103" s="1016"/>
      <c r="I103" s="1271"/>
      <c r="J103" s="1017">
        <v>230</v>
      </c>
      <c r="K103" s="1020">
        <v>9.9999999999999995E-7</v>
      </c>
      <c r="L103" s="1020">
        <v>9.9999999999999995E-7</v>
      </c>
      <c r="M103" s="1024">
        <v>-0.39</v>
      </c>
      <c r="N103" s="1019">
        <f t="shared" si="72"/>
        <v>0.19500049999999999</v>
      </c>
      <c r="O103" s="1018">
        <v>1.2</v>
      </c>
      <c r="P103" s="1016"/>
      <c r="Q103" s="1271"/>
      <c r="R103" s="1017">
        <v>230</v>
      </c>
      <c r="S103" s="1020">
        <v>9.9999999999999995E-7</v>
      </c>
      <c r="T103" s="1020">
        <v>9.9999999999999995E-7</v>
      </c>
      <c r="U103" s="1024">
        <v>-0.54</v>
      </c>
      <c r="V103" s="1019">
        <f t="shared" si="71"/>
        <v>0.27000050000000003</v>
      </c>
      <c r="W103" s="1018">
        <v>1.2</v>
      </c>
    </row>
    <row r="104" spans="1:23" ht="12.75" customHeight="1" x14ac:dyDescent="0.25">
      <c r="A104" s="1271"/>
      <c r="B104" s="1017">
        <v>250</v>
      </c>
      <c r="C104" s="1024">
        <v>9.9999999999999995E-7</v>
      </c>
      <c r="D104" s="1024">
        <v>9.9999999999999995E-7</v>
      </c>
      <c r="E104" s="1026">
        <v>9.9999999999999995E-7</v>
      </c>
      <c r="F104" s="1019">
        <f t="shared" si="70"/>
        <v>0</v>
      </c>
      <c r="G104" s="1023">
        <v>1.2</v>
      </c>
      <c r="H104" s="1016"/>
      <c r="I104" s="1271"/>
      <c r="J104" s="1017">
        <v>250</v>
      </c>
      <c r="K104" s="1020">
        <v>9.9999999999999995E-7</v>
      </c>
      <c r="L104" s="1020">
        <v>9.9999999999999995E-7</v>
      </c>
      <c r="M104" s="1026">
        <v>9.9999999999999995E-7</v>
      </c>
      <c r="N104" s="1019">
        <f t="shared" si="72"/>
        <v>0</v>
      </c>
      <c r="O104" s="1018">
        <v>1.2</v>
      </c>
      <c r="P104" s="1016"/>
      <c r="Q104" s="1271"/>
      <c r="R104" s="1017">
        <v>250</v>
      </c>
      <c r="S104" s="1020">
        <v>9.9999999999999995E-7</v>
      </c>
      <c r="T104" s="1020">
        <v>9.9999999999999995E-7</v>
      </c>
      <c r="U104" s="1026">
        <v>9.9999999999999995E-7</v>
      </c>
      <c r="V104" s="1019">
        <f t="shared" si="71"/>
        <v>0</v>
      </c>
      <c r="W104" s="1018">
        <v>1.2</v>
      </c>
    </row>
    <row r="105" spans="1:23" ht="12.75" customHeight="1" x14ac:dyDescent="0.25">
      <c r="A105" s="1271"/>
      <c r="B105" s="1246" t="s">
        <v>244</v>
      </c>
      <c r="C105" s="1247"/>
      <c r="D105" s="1247"/>
      <c r="E105" s="1248"/>
      <c r="F105" s="1015" t="s">
        <v>242</v>
      </c>
      <c r="G105" s="1015" t="s">
        <v>137</v>
      </c>
      <c r="H105" s="1016"/>
      <c r="I105" s="1271"/>
      <c r="J105" s="1246" t="s">
        <v>244</v>
      </c>
      <c r="K105" s="1247"/>
      <c r="L105" s="1247"/>
      <c r="M105" s="1248"/>
      <c r="N105" s="1015" t="s">
        <v>242</v>
      </c>
      <c r="O105" s="1015" t="s">
        <v>137</v>
      </c>
      <c r="P105" s="1016"/>
      <c r="Q105" s="1271"/>
      <c r="R105" s="1246" t="s">
        <v>244</v>
      </c>
      <c r="S105" s="1247"/>
      <c r="T105" s="1247"/>
      <c r="U105" s="1248"/>
      <c r="V105" s="1015" t="s">
        <v>242</v>
      </c>
      <c r="W105" s="1015" t="s">
        <v>137</v>
      </c>
    </row>
    <row r="106" spans="1:23" ht="15" customHeight="1" x14ac:dyDescent="0.25">
      <c r="A106" s="1271"/>
      <c r="B106" s="1014" t="s">
        <v>245</v>
      </c>
      <c r="C106" s="1015">
        <f>C98</f>
        <v>2019</v>
      </c>
      <c r="D106" s="1015">
        <f>D98</f>
        <v>2019</v>
      </c>
      <c r="E106" s="1015">
        <f>E98</f>
        <v>2020</v>
      </c>
      <c r="F106" s="1015"/>
      <c r="G106" s="1015"/>
      <c r="H106" s="1016"/>
      <c r="I106" s="1271"/>
      <c r="J106" s="1014" t="s">
        <v>245</v>
      </c>
      <c r="K106" s="1015">
        <f>K98</f>
        <v>2019</v>
      </c>
      <c r="L106" s="1015">
        <f>L98</f>
        <v>2019</v>
      </c>
      <c r="M106" s="1015">
        <f>M98</f>
        <v>2020</v>
      </c>
      <c r="N106" s="1015"/>
      <c r="O106" s="1015"/>
      <c r="P106" s="1016"/>
      <c r="Q106" s="1271"/>
      <c r="R106" s="1014" t="s">
        <v>245</v>
      </c>
      <c r="S106" s="1015">
        <f>S98</f>
        <v>2019</v>
      </c>
      <c r="T106" s="1015">
        <f>T98</f>
        <v>2019</v>
      </c>
      <c r="U106" s="1015">
        <f>U98</f>
        <v>2020</v>
      </c>
      <c r="V106" s="1015"/>
      <c r="W106" s="1015"/>
    </row>
    <row r="107" spans="1:23" ht="12.75" customHeight="1" x14ac:dyDescent="0.25">
      <c r="A107" s="1271"/>
      <c r="B107" s="1021">
        <v>9.9999999999999995E-7</v>
      </c>
      <c r="C107" s="1018">
        <v>9.9999999999999995E-7</v>
      </c>
      <c r="D107" s="1018">
        <v>9.9999999999999995E-7</v>
      </c>
      <c r="E107" s="1024">
        <v>9.9999999999999995E-7</v>
      </c>
      <c r="F107" s="1019">
        <f t="shared" ref="F107:F112" si="73">0.5*(MAX(C107:E107)-MIN(C107:E107))</f>
        <v>0</v>
      </c>
      <c r="G107" s="1029">
        <v>0.59</v>
      </c>
      <c r="H107" s="1016"/>
      <c r="I107" s="1271"/>
      <c r="J107" s="1030">
        <v>9.9999999999999995E-7</v>
      </c>
      <c r="K107" s="1021">
        <v>9.9999999999999995E-7</v>
      </c>
      <c r="L107" s="1021">
        <v>9.9999999999999995E-7</v>
      </c>
      <c r="M107" s="1026">
        <v>9.9999999999999995E-7</v>
      </c>
      <c r="N107" s="1019">
        <f t="shared" ref="N107:N112" si="74">0.5*(MAX(K107:M107)-MIN(K107:M107))</f>
        <v>0</v>
      </c>
      <c r="O107" s="1028">
        <v>0.59</v>
      </c>
      <c r="P107" s="1016"/>
      <c r="Q107" s="1271"/>
      <c r="R107" s="1030">
        <v>9.9999999999999995E-7</v>
      </c>
      <c r="S107" s="1021">
        <v>9.9999999999999995E-7</v>
      </c>
      <c r="T107" s="1021">
        <v>9.9999999999999995E-7</v>
      </c>
      <c r="U107" s="1026">
        <v>9.9999999999999995E-7</v>
      </c>
      <c r="V107" s="1019">
        <f t="shared" ref="V107:V112" si="75">0.5*(MAX(S107:U107)-MIN(S107:U107))</f>
        <v>0</v>
      </c>
      <c r="W107" s="1028">
        <v>0.59</v>
      </c>
    </row>
    <row r="108" spans="1:23" ht="12.75" customHeight="1" x14ac:dyDescent="0.25">
      <c r="A108" s="1271"/>
      <c r="B108" s="1025">
        <v>50</v>
      </c>
      <c r="C108" s="1024">
        <v>1.7</v>
      </c>
      <c r="D108" s="1024">
        <v>1.7</v>
      </c>
      <c r="E108" s="1024">
        <v>1.7</v>
      </c>
      <c r="F108" s="1019">
        <f t="shared" si="73"/>
        <v>0</v>
      </c>
      <c r="G108" s="1029">
        <v>0.59</v>
      </c>
      <c r="H108" s="1016"/>
      <c r="I108" s="1271"/>
      <c r="J108" s="1025">
        <v>50</v>
      </c>
      <c r="K108" s="1021">
        <v>9.9999999999999995E-7</v>
      </c>
      <c r="L108" s="1021">
        <v>9.9999999999999995E-7</v>
      </c>
      <c r="M108" s="1024">
        <v>1.7</v>
      </c>
      <c r="N108" s="1019">
        <f t="shared" si="74"/>
        <v>0.84999950000000002</v>
      </c>
      <c r="O108" s="1028">
        <v>0.59</v>
      </c>
      <c r="P108" s="1016"/>
      <c r="Q108" s="1271"/>
      <c r="R108" s="1025">
        <v>50</v>
      </c>
      <c r="S108" s="1021">
        <v>9.9999999999999995E-7</v>
      </c>
      <c r="T108" s="1021">
        <v>9.9999999999999995E-7</v>
      </c>
      <c r="U108" s="1024">
        <v>2.1</v>
      </c>
      <c r="V108" s="1019">
        <f t="shared" si="75"/>
        <v>1.0499995</v>
      </c>
      <c r="W108" s="1024">
        <v>0.59</v>
      </c>
    </row>
    <row r="109" spans="1:23" ht="12.75" customHeight="1" x14ac:dyDescent="0.25">
      <c r="A109" s="1271"/>
      <c r="B109" s="1025">
        <v>100</v>
      </c>
      <c r="C109" s="1024">
        <v>1.7</v>
      </c>
      <c r="D109" s="1024">
        <v>1.7</v>
      </c>
      <c r="E109" s="1024">
        <v>1.7</v>
      </c>
      <c r="F109" s="1019">
        <f t="shared" si="73"/>
        <v>0</v>
      </c>
      <c r="G109" s="1029">
        <v>0.59</v>
      </c>
      <c r="H109" s="1016"/>
      <c r="I109" s="1271"/>
      <c r="J109" s="1025">
        <v>100</v>
      </c>
      <c r="K109" s="1021">
        <v>9.9999999999999995E-7</v>
      </c>
      <c r="L109" s="1021">
        <v>9.9999999999999995E-7</v>
      </c>
      <c r="M109" s="1024">
        <v>3.4</v>
      </c>
      <c r="N109" s="1019">
        <f t="shared" si="74"/>
        <v>1.6999994999999999</v>
      </c>
      <c r="O109" s="1028">
        <v>0.59</v>
      </c>
      <c r="P109" s="1016"/>
      <c r="Q109" s="1271"/>
      <c r="R109" s="1025">
        <v>100</v>
      </c>
      <c r="S109" s="1021">
        <v>9.9999999999999995E-7</v>
      </c>
      <c r="T109" s="1021">
        <v>9.9999999999999995E-7</v>
      </c>
      <c r="U109" s="1024">
        <v>3.7</v>
      </c>
      <c r="V109" s="1019">
        <f t="shared" si="75"/>
        <v>1.8499995</v>
      </c>
      <c r="W109" s="1024">
        <v>0.59</v>
      </c>
    </row>
    <row r="110" spans="1:23" ht="12.75" customHeight="1" x14ac:dyDescent="0.25">
      <c r="A110" s="1271"/>
      <c r="B110" s="1025">
        <v>200</v>
      </c>
      <c r="C110" s="1024">
        <v>0.4</v>
      </c>
      <c r="D110" s="1024">
        <v>0.4</v>
      </c>
      <c r="E110" s="1024">
        <v>0.4</v>
      </c>
      <c r="F110" s="1019">
        <f t="shared" si="73"/>
        <v>0</v>
      </c>
      <c r="G110" s="1029">
        <v>0.59</v>
      </c>
      <c r="H110" s="1016"/>
      <c r="I110" s="1271"/>
      <c r="J110" s="1025">
        <v>500</v>
      </c>
      <c r="K110" s="1021">
        <v>9.9999999999999995E-7</v>
      </c>
      <c r="L110" s="1021">
        <v>9.9999999999999995E-7</v>
      </c>
      <c r="M110" s="1024">
        <v>7.2</v>
      </c>
      <c r="N110" s="1019">
        <f t="shared" si="74"/>
        <v>3.5999995</v>
      </c>
      <c r="O110" s="1028">
        <v>0.59</v>
      </c>
      <c r="P110" s="1016"/>
      <c r="Q110" s="1271"/>
      <c r="R110" s="1025">
        <v>500</v>
      </c>
      <c r="S110" s="1021">
        <v>9.9999999999999995E-7</v>
      </c>
      <c r="T110" s="1021">
        <v>9.9999999999999995E-7</v>
      </c>
      <c r="U110" s="1024">
        <v>8.3000000000000007</v>
      </c>
      <c r="V110" s="1019">
        <f t="shared" si="75"/>
        <v>4.1499995000000007</v>
      </c>
      <c r="W110" s="1024">
        <v>0.59</v>
      </c>
    </row>
    <row r="111" spans="1:23" ht="12.75" customHeight="1" x14ac:dyDescent="0.25">
      <c r="A111" s="1271"/>
      <c r="B111" s="1025">
        <v>500</v>
      </c>
      <c r="C111" s="1024">
        <v>3</v>
      </c>
      <c r="D111" s="1024">
        <v>3</v>
      </c>
      <c r="E111" s="1024">
        <v>3</v>
      </c>
      <c r="F111" s="1019">
        <f t="shared" si="73"/>
        <v>0</v>
      </c>
      <c r="G111" s="1029">
        <v>0.59</v>
      </c>
      <c r="H111" s="1016"/>
      <c r="I111" s="1271"/>
      <c r="J111" s="1025">
        <v>500</v>
      </c>
      <c r="K111" s="1021">
        <v>9.9999999999999995E-7</v>
      </c>
      <c r="L111" s="1021">
        <v>9.9999999999999995E-7</v>
      </c>
      <c r="M111" s="1024">
        <v>7.2</v>
      </c>
      <c r="N111" s="1019">
        <f t="shared" si="74"/>
        <v>3.5999995</v>
      </c>
      <c r="O111" s="1028">
        <v>0.59</v>
      </c>
      <c r="P111" s="1016"/>
      <c r="Q111" s="1271"/>
      <c r="R111" s="1025">
        <v>500</v>
      </c>
      <c r="S111" s="1021">
        <v>9.9999999999999995E-7</v>
      </c>
      <c r="T111" s="1021">
        <v>9.9999999999999995E-7</v>
      </c>
      <c r="U111" s="1024">
        <v>8.3000000000000007</v>
      </c>
      <c r="V111" s="1019">
        <f t="shared" si="75"/>
        <v>4.1499995000000007</v>
      </c>
      <c r="W111" s="1024">
        <v>0.59</v>
      </c>
    </row>
    <row r="112" spans="1:23" ht="12.75" customHeight="1" x14ac:dyDescent="0.25">
      <c r="A112" s="1271"/>
      <c r="B112" s="1025">
        <v>1000</v>
      </c>
      <c r="C112" s="1024">
        <v>5</v>
      </c>
      <c r="D112" s="1024">
        <v>5</v>
      </c>
      <c r="E112" s="1024">
        <v>4</v>
      </c>
      <c r="F112" s="1019">
        <f t="shared" si="73"/>
        <v>0.5</v>
      </c>
      <c r="G112" s="1029">
        <v>0.59</v>
      </c>
      <c r="H112" s="1016"/>
      <c r="I112" s="1271"/>
      <c r="J112" s="1025">
        <v>1000</v>
      </c>
      <c r="K112" s="1021">
        <v>9.9999999999999995E-7</v>
      </c>
      <c r="L112" s="1021">
        <v>9.9999999999999995E-7</v>
      </c>
      <c r="M112" s="1024">
        <v>80</v>
      </c>
      <c r="N112" s="1019">
        <f t="shared" si="74"/>
        <v>39.999999500000001</v>
      </c>
      <c r="O112" s="1028">
        <v>0.59</v>
      </c>
      <c r="P112" s="1016"/>
      <c r="Q112" s="1271"/>
      <c r="R112" s="1025">
        <v>1000</v>
      </c>
      <c r="S112" s="1021">
        <v>9.9999999999999995E-7</v>
      </c>
      <c r="T112" s="1021">
        <v>9.9999999999999995E-7</v>
      </c>
      <c r="U112" s="1024">
        <v>-97</v>
      </c>
      <c r="V112" s="1019">
        <f t="shared" si="75"/>
        <v>48.500000499999999</v>
      </c>
      <c r="W112" s="1024">
        <v>0.59</v>
      </c>
    </row>
    <row r="113" spans="1:24" ht="12.75" customHeight="1" x14ac:dyDescent="0.25">
      <c r="A113" s="1271"/>
      <c r="B113" s="1246" t="s">
        <v>246</v>
      </c>
      <c r="C113" s="1247"/>
      <c r="D113" s="1247"/>
      <c r="E113" s="1248"/>
      <c r="F113" s="1015" t="s">
        <v>242</v>
      </c>
      <c r="G113" s="1015" t="s">
        <v>137</v>
      </c>
      <c r="H113" s="1016"/>
      <c r="I113" s="1271"/>
      <c r="J113" s="1246" t="s">
        <v>246</v>
      </c>
      <c r="K113" s="1247"/>
      <c r="L113" s="1247"/>
      <c r="M113" s="1248"/>
      <c r="N113" s="1015" t="s">
        <v>242</v>
      </c>
      <c r="O113" s="1015" t="s">
        <v>137</v>
      </c>
      <c r="P113" s="1016"/>
      <c r="Q113" s="1271"/>
      <c r="R113" s="1246" t="s">
        <v>246</v>
      </c>
      <c r="S113" s="1247"/>
      <c r="T113" s="1247"/>
      <c r="U113" s="1248"/>
      <c r="V113" s="1015" t="s">
        <v>242</v>
      </c>
      <c r="W113" s="1015" t="s">
        <v>137</v>
      </c>
    </row>
    <row r="114" spans="1:24" ht="15" customHeight="1" x14ac:dyDescent="0.25">
      <c r="A114" s="1271"/>
      <c r="B114" s="1014" t="s">
        <v>247</v>
      </c>
      <c r="C114" s="1015">
        <v>2020</v>
      </c>
      <c r="D114" s="1015">
        <v>2021</v>
      </c>
      <c r="E114" s="1015">
        <v>2018</v>
      </c>
      <c r="F114" s="1015"/>
      <c r="G114" s="1015"/>
      <c r="H114" s="1016"/>
      <c r="I114" s="1271"/>
      <c r="J114" s="1014" t="s">
        <v>247</v>
      </c>
      <c r="K114" s="1015">
        <f>K98</f>
        <v>2019</v>
      </c>
      <c r="L114" s="1015">
        <f>L98</f>
        <v>2019</v>
      </c>
      <c r="M114" s="1015">
        <f>M98</f>
        <v>2020</v>
      </c>
      <c r="N114" s="1015"/>
      <c r="O114" s="1015"/>
      <c r="P114" s="1016"/>
      <c r="Q114" s="1271"/>
      <c r="R114" s="1014" t="s">
        <v>247</v>
      </c>
      <c r="S114" s="1015">
        <f>S98</f>
        <v>2019</v>
      </c>
      <c r="T114" s="1015">
        <f>T98</f>
        <v>2019</v>
      </c>
      <c r="U114" s="1015">
        <f>U98</f>
        <v>2020</v>
      </c>
      <c r="V114" s="1015"/>
      <c r="W114" s="1015"/>
    </row>
    <row r="115" spans="1:24" ht="12.75" customHeight="1" x14ac:dyDescent="0.25">
      <c r="A115" s="1271"/>
      <c r="B115" s="1025">
        <v>10</v>
      </c>
      <c r="C115" s="1021" t="s">
        <v>129</v>
      </c>
      <c r="D115" s="1021" t="s">
        <v>129</v>
      </c>
      <c r="E115" s="1026">
        <v>9.9999999999999995E-7</v>
      </c>
      <c r="F115" s="1019">
        <f t="shared" ref="F115:F118" si="76">0.5*(MAX(C115:E115)-MIN(C115:E115))</f>
        <v>0</v>
      </c>
      <c r="G115" s="1030">
        <v>1.7</v>
      </c>
      <c r="H115" s="1016"/>
      <c r="I115" s="1271"/>
      <c r="J115" s="1025">
        <v>10</v>
      </c>
      <c r="K115" s="1021">
        <v>9.9999999999999995E-7</v>
      </c>
      <c r="L115" s="1021">
        <v>9.9999999999999995E-7</v>
      </c>
      <c r="M115" s="1021">
        <v>9.9999999999999995E-7</v>
      </c>
      <c r="N115" s="1019">
        <f t="shared" ref="N115:N118" si="77">0.5*(MAX(K115:M115)-MIN(K115:M115))</f>
        <v>0</v>
      </c>
      <c r="O115" s="1024">
        <v>0</v>
      </c>
      <c r="P115" s="1016"/>
      <c r="Q115" s="1271"/>
      <c r="R115" s="1025">
        <v>10</v>
      </c>
      <c r="S115" s="1021">
        <v>9.9999999999999995E-7</v>
      </c>
      <c r="T115" s="1021">
        <v>9.9999999999999995E-7</v>
      </c>
      <c r="U115" s="1021">
        <v>9.9999999999999995E-7</v>
      </c>
      <c r="V115" s="1019">
        <f t="shared" ref="V115:V118" si="78">0.5*(MAX(S115:U115)-MIN(S115:U115))</f>
        <v>0</v>
      </c>
      <c r="W115" s="1024">
        <v>0</v>
      </c>
    </row>
    <row r="116" spans="1:24" ht="12.75" customHeight="1" x14ac:dyDescent="0.25">
      <c r="A116" s="1271"/>
      <c r="B116" s="1025">
        <v>20</v>
      </c>
      <c r="C116" s="1021" t="s">
        <v>129</v>
      </c>
      <c r="D116" s="1021" t="s">
        <v>129</v>
      </c>
      <c r="E116" s="1021">
        <v>0.1</v>
      </c>
      <c r="F116" s="1019">
        <f t="shared" si="76"/>
        <v>0</v>
      </c>
      <c r="G116" s="1030">
        <v>1.7</v>
      </c>
      <c r="H116" s="1016"/>
      <c r="I116" s="1271"/>
      <c r="J116" s="1025">
        <v>20</v>
      </c>
      <c r="K116" s="1021">
        <v>9.9999999999999995E-7</v>
      </c>
      <c r="L116" s="1021">
        <v>9.9999999999999995E-7</v>
      </c>
      <c r="M116" s="1021">
        <v>9.9999999999999995E-7</v>
      </c>
      <c r="N116" s="1019">
        <f t="shared" si="77"/>
        <v>0</v>
      </c>
      <c r="O116" s="1024">
        <v>0</v>
      </c>
      <c r="P116" s="1016"/>
      <c r="Q116" s="1271"/>
      <c r="R116" s="1025">
        <v>20</v>
      </c>
      <c r="S116" s="1021">
        <v>9.9999999999999995E-7</v>
      </c>
      <c r="T116" s="1021">
        <v>9.9999999999999995E-7</v>
      </c>
      <c r="U116" s="1021">
        <v>9.9999999999999995E-7</v>
      </c>
      <c r="V116" s="1019">
        <f t="shared" si="78"/>
        <v>0</v>
      </c>
      <c r="W116" s="1024">
        <v>0</v>
      </c>
    </row>
    <row r="117" spans="1:24" ht="12.75" customHeight="1" x14ac:dyDescent="0.25">
      <c r="A117" s="1271"/>
      <c r="B117" s="1025">
        <v>50</v>
      </c>
      <c r="C117" s="1021" t="s">
        <v>129</v>
      </c>
      <c r="D117" s="1021" t="s">
        <v>129</v>
      </c>
      <c r="E117" s="1021">
        <v>0.4</v>
      </c>
      <c r="F117" s="1019">
        <f t="shared" si="76"/>
        <v>0</v>
      </c>
      <c r="G117" s="1030">
        <v>1.7</v>
      </c>
      <c r="H117" s="1016"/>
      <c r="I117" s="1271"/>
      <c r="J117" s="1025">
        <v>50</v>
      </c>
      <c r="K117" s="1021">
        <v>9.9999999999999995E-7</v>
      </c>
      <c r="L117" s="1021">
        <v>9.9999999999999995E-7</v>
      </c>
      <c r="M117" s="1021">
        <v>9.9999999999999995E-7</v>
      </c>
      <c r="N117" s="1019">
        <f t="shared" si="77"/>
        <v>0</v>
      </c>
      <c r="O117" s="1024">
        <v>0</v>
      </c>
      <c r="P117" s="1016"/>
      <c r="Q117" s="1271"/>
      <c r="R117" s="1025">
        <v>50</v>
      </c>
      <c r="S117" s="1021">
        <v>9.9999999999999995E-7</v>
      </c>
      <c r="T117" s="1021">
        <v>9.9999999999999995E-7</v>
      </c>
      <c r="U117" s="1021">
        <v>9.9999999999999995E-7</v>
      </c>
      <c r="V117" s="1019">
        <f t="shared" si="78"/>
        <v>0</v>
      </c>
      <c r="W117" s="1024">
        <v>0</v>
      </c>
    </row>
    <row r="118" spans="1:24" ht="12.75" customHeight="1" x14ac:dyDescent="0.25">
      <c r="A118" s="1271"/>
      <c r="B118" s="1025">
        <v>100</v>
      </c>
      <c r="C118" s="1021" t="s">
        <v>129</v>
      </c>
      <c r="D118" s="1021" t="s">
        <v>129</v>
      </c>
      <c r="E118" s="1021">
        <v>1.4</v>
      </c>
      <c r="F118" s="1019">
        <f t="shared" si="76"/>
        <v>0</v>
      </c>
      <c r="G118" s="1030">
        <v>1.7</v>
      </c>
      <c r="H118" s="1016"/>
      <c r="I118" s="1271"/>
      <c r="J118" s="1025">
        <v>100</v>
      </c>
      <c r="K118" s="1021">
        <v>9.9999999999999995E-7</v>
      </c>
      <c r="L118" s="1021">
        <v>9.9999999999999995E-7</v>
      </c>
      <c r="M118" s="1021">
        <v>9.9999999999999995E-7</v>
      </c>
      <c r="N118" s="1019">
        <f t="shared" si="77"/>
        <v>0</v>
      </c>
      <c r="O118" s="1024">
        <v>0</v>
      </c>
      <c r="P118" s="1016"/>
      <c r="Q118" s="1271"/>
      <c r="R118" s="1025">
        <v>100</v>
      </c>
      <c r="S118" s="1021">
        <v>9.9999999999999995E-7</v>
      </c>
      <c r="T118" s="1021">
        <v>9.9999999999999995E-7</v>
      </c>
      <c r="U118" s="1021">
        <v>9.9999999999999995E-7</v>
      </c>
      <c r="V118" s="1019">
        <f t="shared" si="78"/>
        <v>0</v>
      </c>
      <c r="W118" s="1024">
        <v>0</v>
      </c>
    </row>
    <row r="119" spans="1:24" ht="12.75" customHeight="1" x14ac:dyDescent="0.25">
      <c r="A119" s="1271"/>
      <c r="B119" s="1246" t="s">
        <v>248</v>
      </c>
      <c r="C119" s="1247"/>
      <c r="D119" s="1247"/>
      <c r="E119" s="1248"/>
      <c r="F119" s="1015" t="s">
        <v>242</v>
      </c>
      <c r="G119" s="1015" t="s">
        <v>137</v>
      </c>
      <c r="H119" s="1016"/>
      <c r="I119" s="1271"/>
      <c r="J119" s="1246" t="s">
        <v>248</v>
      </c>
      <c r="K119" s="1247"/>
      <c r="L119" s="1247"/>
      <c r="M119" s="1248"/>
      <c r="N119" s="1015" t="s">
        <v>242</v>
      </c>
      <c r="O119" s="1015" t="s">
        <v>137</v>
      </c>
      <c r="P119" s="1016"/>
      <c r="Q119" s="1271"/>
      <c r="R119" s="1246" t="str">
        <f>B119</f>
        <v>Resistance</v>
      </c>
      <c r="S119" s="1247"/>
      <c r="T119" s="1247"/>
      <c r="U119" s="1248"/>
      <c r="V119" s="1015" t="s">
        <v>242</v>
      </c>
      <c r="W119" s="1015" t="s">
        <v>137</v>
      </c>
    </row>
    <row r="120" spans="1:24" ht="15" customHeight="1" x14ac:dyDescent="0.25">
      <c r="A120" s="1271"/>
      <c r="B120" s="1014" t="s">
        <v>249</v>
      </c>
      <c r="C120" s="1015">
        <f>C98</f>
        <v>2019</v>
      </c>
      <c r="D120" s="1015">
        <f>D98</f>
        <v>2019</v>
      </c>
      <c r="E120" s="1015">
        <f>E98</f>
        <v>2020</v>
      </c>
      <c r="F120" s="1015"/>
      <c r="G120" s="1015"/>
      <c r="H120" s="1016"/>
      <c r="I120" s="1271"/>
      <c r="J120" s="1014" t="s">
        <v>249</v>
      </c>
      <c r="K120" s="1015">
        <f>K98</f>
        <v>2019</v>
      </c>
      <c r="L120" s="1015">
        <f>L98</f>
        <v>2019</v>
      </c>
      <c r="M120" s="1015">
        <f>M98</f>
        <v>2020</v>
      </c>
      <c r="N120" s="1015"/>
      <c r="O120" s="1015"/>
      <c r="P120" s="1016"/>
      <c r="Q120" s="1271"/>
      <c r="R120" s="1014" t="s">
        <v>249</v>
      </c>
      <c r="S120" s="1015">
        <f>S98</f>
        <v>2019</v>
      </c>
      <c r="T120" s="1015">
        <f>T98</f>
        <v>2019</v>
      </c>
      <c r="U120" s="1015">
        <f>U98</f>
        <v>2020</v>
      </c>
      <c r="V120" s="1015"/>
      <c r="W120" s="1015"/>
    </row>
    <row r="121" spans="1:24" ht="12.75" customHeight="1" x14ac:dyDescent="0.25">
      <c r="A121" s="1271"/>
      <c r="B121" s="1025">
        <v>0.01</v>
      </c>
      <c r="C121" s="1026">
        <v>9.9999999999999995E-7</v>
      </c>
      <c r="D121" s="1026">
        <v>9.9999999999999995E-7</v>
      </c>
      <c r="E121" s="1026">
        <v>9.9999999999999995E-7</v>
      </c>
      <c r="F121" s="1019">
        <f t="shared" ref="F121:F124" si="79">0.5*(MAX(C121:E121)-MIN(C121:E121))</f>
        <v>0</v>
      </c>
      <c r="G121" s="1025">
        <v>1.2</v>
      </c>
      <c r="H121" s="1016"/>
      <c r="I121" s="1271"/>
      <c r="J121" s="1025">
        <v>0.01</v>
      </c>
      <c r="K121" s="1025">
        <v>9.9999999999999995E-7</v>
      </c>
      <c r="L121" s="1025">
        <v>9.9999999999999995E-7</v>
      </c>
      <c r="M121" s="1026">
        <v>9.9999999999999995E-7</v>
      </c>
      <c r="N121" s="1019">
        <f t="shared" ref="N121:N124" si="80">0.5*(MAX(K121:M121)-MIN(K121:M121))</f>
        <v>0</v>
      </c>
      <c r="O121" s="1056">
        <v>1.2</v>
      </c>
      <c r="P121" s="1016"/>
      <c r="Q121" s="1271"/>
      <c r="R121" s="1025">
        <v>0.01</v>
      </c>
      <c r="S121" s="1025">
        <v>9.9999999999999995E-7</v>
      </c>
      <c r="T121" s="1025">
        <v>9.9999999999999995E-7</v>
      </c>
      <c r="U121" s="1026">
        <v>9.9999999999999995E-7</v>
      </c>
      <c r="V121" s="1019">
        <f t="shared" ref="V121:V124" si="81">0.5*(MAX(S121:U121)-MIN(S121:U121))</f>
        <v>0</v>
      </c>
      <c r="W121" s="1058">
        <v>1.2</v>
      </c>
    </row>
    <row r="122" spans="1:24" ht="12.75" customHeight="1" x14ac:dyDescent="0.25">
      <c r="A122" s="1271"/>
      <c r="B122" s="1025">
        <v>0.1</v>
      </c>
      <c r="C122" s="1026">
        <v>9.9999999999999995E-7</v>
      </c>
      <c r="D122" s="1026">
        <v>9.9999999999999995E-7</v>
      </c>
      <c r="E122" s="1026">
        <v>9.9999999999999995E-7</v>
      </c>
      <c r="F122" s="1019">
        <f t="shared" si="79"/>
        <v>0</v>
      </c>
      <c r="G122" s="1025">
        <v>1.2</v>
      </c>
      <c r="H122" s="1016"/>
      <c r="I122" s="1271"/>
      <c r="J122" s="1025">
        <v>0.1</v>
      </c>
      <c r="K122" s="1031">
        <v>9.9999999999999995E-7</v>
      </c>
      <c r="L122" s="1031">
        <v>9.9999999999999995E-7</v>
      </c>
      <c r="M122" s="1026">
        <v>-2E-3</v>
      </c>
      <c r="N122" s="1019">
        <f t="shared" si="80"/>
        <v>1.0005000000000001E-3</v>
      </c>
      <c r="O122" s="1056">
        <v>1.2</v>
      </c>
      <c r="P122" s="1016"/>
      <c r="Q122" s="1271"/>
      <c r="R122" s="1025">
        <v>0.1</v>
      </c>
      <c r="S122" s="1025">
        <v>9.9999999999999995E-7</v>
      </c>
      <c r="T122" s="1025">
        <v>9.9999999999999995E-7</v>
      </c>
      <c r="U122" s="1026">
        <v>-3.0000000000000001E-3</v>
      </c>
      <c r="V122" s="1019">
        <f t="shared" si="81"/>
        <v>1.5005000000000001E-3</v>
      </c>
      <c r="W122" s="1058">
        <v>1.2</v>
      </c>
    </row>
    <row r="123" spans="1:24" ht="12.75" customHeight="1" x14ac:dyDescent="0.25">
      <c r="A123" s="1271"/>
      <c r="B123" s="1025">
        <v>1</v>
      </c>
      <c r="C123" s="1026">
        <v>-2.3E-3</v>
      </c>
      <c r="D123" s="1026">
        <v>-2.3E-3</v>
      </c>
      <c r="E123" s="1026">
        <v>-2.3E-3</v>
      </c>
      <c r="F123" s="1019">
        <f t="shared" si="79"/>
        <v>0</v>
      </c>
      <c r="G123" s="1025">
        <v>1.2</v>
      </c>
      <c r="H123" s="1016"/>
      <c r="I123" s="1271"/>
      <c r="J123" s="1025">
        <v>1</v>
      </c>
      <c r="K123" s="1031">
        <v>9.9999999999999995E-7</v>
      </c>
      <c r="L123" s="1031">
        <v>9.9999999999999995E-7</v>
      </c>
      <c r="M123" s="1026">
        <v>-1E-3</v>
      </c>
      <c r="N123" s="1019">
        <f t="shared" si="80"/>
        <v>5.0049999999999997E-4</v>
      </c>
      <c r="O123" s="1056">
        <v>1.2</v>
      </c>
      <c r="P123" s="1016"/>
      <c r="Q123" s="1271"/>
      <c r="R123" s="1025">
        <v>1</v>
      </c>
      <c r="S123" s="1025">
        <v>9.9999999999999995E-7</v>
      </c>
      <c r="T123" s="1025">
        <v>9.9999999999999995E-7</v>
      </c>
      <c r="U123" s="1026">
        <v>-1E-3</v>
      </c>
      <c r="V123" s="1019">
        <f t="shared" si="81"/>
        <v>5.0049999999999997E-4</v>
      </c>
      <c r="W123" s="1058">
        <v>1.2</v>
      </c>
    </row>
    <row r="124" spans="1:24" ht="12.75" customHeight="1" x14ac:dyDescent="0.25">
      <c r="A124" s="1272"/>
      <c r="B124" s="1025">
        <v>2</v>
      </c>
      <c r="C124" s="1026">
        <v>0</v>
      </c>
      <c r="D124" s="1026">
        <v>0</v>
      </c>
      <c r="E124" s="1026">
        <v>9.9999999999999995E-7</v>
      </c>
      <c r="F124" s="1019">
        <f t="shared" si="79"/>
        <v>4.9999999999999998E-7</v>
      </c>
      <c r="G124" s="1025">
        <v>1.2</v>
      </c>
      <c r="H124" s="1016"/>
      <c r="I124" s="1272"/>
      <c r="J124" s="1025">
        <v>2</v>
      </c>
      <c r="K124" s="1031">
        <v>9.9999999999999995E-7</v>
      </c>
      <c r="L124" s="1031">
        <v>9.9999999999999995E-7</v>
      </c>
      <c r="M124" s="1026">
        <v>-6.0000000000000001E-3</v>
      </c>
      <c r="N124" s="1019">
        <f t="shared" si="80"/>
        <v>3.0005000000000001E-3</v>
      </c>
      <c r="O124" s="1056">
        <v>1.2</v>
      </c>
      <c r="P124" s="1016"/>
      <c r="Q124" s="1272"/>
      <c r="R124" s="1025">
        <v>2</v>
      </c>
      <c r="S124" s="1025">
        <v>9.9999999999999995E-7</v>
      </c>
      <c r="T124" s="1025">
        <v>9.9999999999999995E-7</v>
      </c>
      <c r="U124" s="1026">
        <v>-6.0000000000000001E-3</v>
      </c>
      <c r="V124" s="1019">
        <f t="shared" si="81"/>
        <v>3.0005000000000001E-3</v>
      </c>
      <c r="W124" s="1058">
        <v>1.2</v>
      </c>
    </row>
    <row r="125" spans="1:24" s="432" customFormat="1" ht="16.2" thickBot="1" x14ac:dyDescent="0.3">
      <c r="A125" s="1047"/>
      <c r="B125" s="1048"/>
      <c r="C125" s="1049"/>
      <c r="E125" s="1049"/>
      <c r="F125" s="1049"/>
      <c r="G125" s="1049"/>
      <c r="H125" s="1037"/>
      <c r="I125" s="1050"/>
      <c r="J125" s="1051"/>
      <c r="K125" s="1049"/>
      <c r="M125" s="1049"/>
      <c r="N125" s="1049"/>
      <c r="O125" s="1049"/>
      <c r="P125" s="1037"/>
      <c r="Q125" s="1050"/>
      <c r="R125" s="1048"/>
      <c r="S125" s="1049"/>
      <c r="U125" s="1036"/>
      <c r="V125" s="1036"/>
      <c r="W125" s="1038"/>
      <c r="X125" s="1039"/>
    </row>
    <row r="126" spans="1:24" ht="16.2" thickBot="1" x14ac:dyDescent="0.3">
      <c r="A126" s="915"/>
      <c r="B126" s="916"/>
      <c r="C126" s="916"/>
      <c r="D126" s="1059"/>
      <c r="E126" s="916"/>
      <c r="F126" s="916"/>
      <c r="G126" s="916"/>
      <c r="H126" s="1060"/>
      <c r="I126" s="916"/>
      <c r="J126" s="916"/>
      <c r="K126" s="916"/>
      <c r="L126" s="1059"/>
      <c r="M126" s="916"/>
      <c r="N126" s="916"/>
      <c r="O126" s="916"/>
      <c r="P126" s="1060"/>
      <c r="Q126" s="916"/>
      <c r="R126" s="916"/>
      <c r="S126" s="916"/>
      <c r="T126" s="1059"/>
      <c r="U126" s="426"/>
      <c r="V126" s="426"/>
      <c r="W126" s="427"/>
    </row>
    <row r="127" spans="1:24" x14ac:dyDescent="0.25">
      <c r="A127" s="428"/>
      <c r="B127" s="429"/>
      <c r="C127" s="429"/>
    </row>
    <row r="128" spans="1:24" ht="15" customHeight="1" x14ac:dyDescent="0.25"/>
    <row r="129" spans="1:19" ht="15.75" customHeight="1" x14ac:dyDescent="0.25"/>
    <row r="131" spans="1:19" ht="16.2" thickBot="1" x14ac:dyDescent="0.3">
      <c r="S131" s="433"/>
    </row>
    <row r="132" spans="1:19" ht="30" customHeight="1" x14ac:dyDescent="0.25">
      <c r="A132" s="1237">
        <f>IF($A$165=$A$166,A2,IF($A$165=$A$167,I2,IF($A$165=$A$168,Q2,IF($A$165=$A$169,A33,IF($A$165=$A$170,I33,IF($A$165=$A$171,Q33,IF($A$165=$A$172,A64,IF($A$165=$A$173,I64,IF($A$165=$A$174,Q64,IF($A$165=$A$175,A95,IF($A$165=$A$176,I95,Q95)))))))))))</f>
        <v>6</v>
      </c>
      <c r="B132" s="1249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3148908</v>
      </c>
      <c r="C132" s="1250"/>
      <c r="D132" s="1250"/>
      <c r="E132" s="1250"/>
      <c r="F132" s="1250"/>
      <c r="G132" s="1251"/>
    </row>
    <row r="133" spans="1:19" ht="15.75" customHeight="1" thickBot="1" x14ac:dyDescent="0.3">
      <c r="A133" s="1238"/>
      <c r="B133" s="1252" t="str">
        <f t="shared" ref="B133:G148" si="82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253"/>
      <c r="D133" s="1253"/>
      <c r="E133" s="1253"/>
      <c r="F133" s="1253"/>
      <c r="G133" s="1254"/>
      <c r="I133" s="432"/>
    </row>
    <row r="134" spans="1:19" ht="15.75" customHeight="1" x14ac:dyDescent="0.25">
      <c r="A134" s="1238"/>
      <c r="B134" s="1232" t="str">
        <f t="shared" si="82"/>
        <v>Setting VAC</v>
      </c>
      <c r="C134" s="1233"/>
      <c r="D134" s="1233"/>
      <c r="E134" s="1234"/>
      <c r="F134" s="1061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062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255" t="s">
        <v>254</v>
      </c>
      <c r="J134" s="1256"/>
      <c r="K134" s="1256"/>
      <c r="L134" s="1257"/>
      <c r="M134" s="431"/>
      <c r="N134" s="1258" t="s">
        <v>53</v>
      </c>
      <c r="O134" s="1261" t="s">
        <v>255</v>
      </c>
      <c r="P134" s="1240" t="s">
        <v>169</v>
      </c>
    </row>
    <row r="135" spans="1:19" x14ac:dyDescent="0.25">
      <c r="A135" s="1238"/>
      <c r="B135" s="1063" t="str">
        <f t="shared" si="82"/>
        <v>( V )</v>
      </c>
      <c r="C135" s="1061">
        <f t="shared" si="82"/>
        <v>2018</v>
      </c>
      <c r="D135" s="1061">
        <f t="shared" si="82"/>
        <v>2019</v>
      </c>
      <c r="E135" s="1061">
        <f t="shared" si="82"/>
        <v>2022</v>
      </c>
      <c r="F135" s="1061"/>
      <c r="G135" s="1062"/>
      <c r="I135" s="1064">
        <f>N137</f>
        <v>219</v>
      </c>
      <c r="J135" s="1065"/>
      <c r="K135" s="1066">
        <f>(FORECAST(I135,E136:E141,B136:B141))</f>
        <v>7.3733087277353671E-2</v>
      </c>
      <c r="L135" s="1067"/>
      <c r="M135" s="432"/>
      <c r="N135" s="1259"/>
      <c r="O135" s="1262"/>
      <c r="P135" s="1241"/>
    </row>
    <row r="136" spans="1:19" ht="16.5" customHeight="1" thickBot="1" x14ac:dyDescent="0.3">
      <c r="A136" s="1238"/>
      <c r="B136" s="1063">
        <f t="shared" si="82"/>
        <v>150</v>
      </c>
      <c r="C136" s="1068">
        <f t="shared" si="82"/>
        <v>0.03</v>
      </c>
      <c r="D136" s="1068">
        <f t="shared" si="82"/>
        <v>-0.15</v>
      </c>
      <c r="E136" s="1068">
        <f t="shared" si="82"/>
        <v>0.15</v>
      </c>
      <c r="F136" s="1061">
        <f t="shared" si="82"/>
        <v>0.15</v>
      </c>
      <c r="G136" s="1062">
        <f t="shared" si="82"/>
        <v>1.8</v>
      </c>
      <c r="I136" s="1243" t="s">
        <v>256</v>
      </c>
      <c r="J136" s="1244"/>
      <c r="K136" s="1244"/>
      <c r="L136" s="1245"/>
      <c r="M136" s="432"/>
      <c r="N136" s="1260"/>
      <c r="O136" s="1263"/>
      <c r="P136" s="1242"/>
    </row>
    <row r="137" spans="1:19" ht="15.75" customHeight="1" x14ac:dyDescent="0.25">
      <c r="A137" s="1238"/>
      <c r="B137" s="1063">
        <f t="shared" si="82"/>
        <v>180</v>
      </c>
      <c r="C137" s="1068">
        <f t="shared" si="82"/>
        <v>0</v>
      </c>
      <c r="D137" s="1068">
        <f t="shared" si="82"/>
        <v>-0.11</v>
      </c>
      <c r="E137" s="1068">
        <f t="shared" si="82"/>
        <v>0.17</v>
      </c>
      <c r="F137" s="1061">
        <f t="shared" si="82"/>
        <v>0.14000000000000001</v>
      </c>
      <c r="G137" s="1062">
        <f t="shared" si="82"/>
        <v>2.16</v>
      </c>
      <c r="I137" s="1064" t="str">
        <f>N138</f>
        <v>-</v>
      </c>
      <c r="J137" s="1065"/>
      <c r="K137" s="1069" t="e">
        <f>(FORECAST(I137,E152:E155,B152:B155))</f>
        <v>#VALUE!</v>
      </c>
      <c r="L137" s="1067"/>
      <c r="M137" s="432"/>
      <c r="N137" s="1070">
        <f>ID!E17</f>
        <v>219</v>
      </c>
      <c r="O137" s="1071">
        <f>N137+K135</f>
        <v>219.07373308727736</v>
      </c>
      <c r="P137" s="1072">
        <f>IF(N137="-","-",O137)</f>
        <v>219.07373308727736</v>
      </c>
    </row>
    <row r="138" spans="1:19" ht="15.75" customHeight="1" x14ac:dyDescent="0.25">
      <c r="A138" s="1238"/>
      <c r="B138" s="1063">
        <f t="shared" si="82"/>
        <v>200</v>
      </c>
      <c r="C138" s="1068">
        <f t="shared" si="82"/>
        <v>0.05</v>
      </c>
      <c r="D138" s="1068">
        <f t="shared" si="82"/>
        <v>-0.1</v>
      </c>
      <c r="E138" s="1068">
        <f t="shared" si="82"/>
        <v>0.1</v>
      </c>
      <c r="F138" s="1061">
        <f t="shared" si="82"/>
        <v>0.1</v>
      </c>
      <c r="G138" s="1062">
        <f t="shared" si="82"/>
        <v>2.4</v>
      </c>
      <c r="I138" s="1243" t="s">
        <v>257</v>
      </c>
      <c r="J138" s="1244"/>
      <c r="K138" s="1244"/>
      <c r="L138" s="1245"/>
      <c r="M138" s="432"/>
      <c r="N138" s="1073" t="str">
        <f>ID!H25</f>
        <v>-</v>
      </c>
      <c r="O138" s="1074" t="e">
        <f>N138+K137</f>
        <v>#VALUE!</v>
      </c>
      <c r="P138" s="1075" t="str">
        <f>IF(N138="OL","OL",IF(N138="NC","NC",IF(N138="OR","OR",IF(N138="-","-",O138))))</f>
        <v>-</v>
      </c>
    </row>
    <row r="139" spans="1:19" x14ac:dyDescent="0.25">
      <c r="A139" s="1238"/>
      <c r="B139" s="1063">
        <f t="shared" si="82"/>
        <v>220</v>
      </c>
      <c r="C139" s="1068">
        <f t="shared" si="82"/>
        <v>0.05</v>
      </c>
      <c r="D139" s="1068">
        <f t="shared" si="82"/>
        <v>-0.13</v>
      </c>
      <c r="E139" s="1068">
        <f t="shared" si="82"/>
        <v>7.0000000000000007E-2</v>
      </c>
      <c r="F139" s="1061">
        <f t="shared" si="82"/>
        <v>0.1</v>
      </c>
      <c r="G139" s="1062">
        <f t="shared" si="82"/>
        <v>2.64</v>
      </c>
      <c r="I139" s="1076">
        <f>N139</f>
        <v>0.1</v>
      </c>
      <c r="J139" s="1065"/>
      <c r="K139" s="1077">
        <f>(FORECAST(I139,E158:E161,B158:B161))</f>
        <v>-2.1369971933682466E-3</v>
      </c>
      <c r="L139" s="1078"/>
      <c r="M139" s="432"/>
      <c r="N139" s="1073">
        <f>ID!H26</f>
        <v>0.1</v>
      </c>
      <c r="O139" s="1079">
        <f>N139+K139</f>
        <v>9.7863002806631766E-2</v>
      </c>
      <c r="P139" s="1075">
        <f>IF(N139="OL","OL",IF(N139="NC","NC",IF(N139="-","-",O139)))</f>
        <v>9.7863002806631766E-2</v>
      </c>
    </row>
    <row r="140" spans="1:19" x14ac:dyDescent="0.25">
      <c r="A140" s="1238"/>
      <c r="B140" s="1063">
        <f t="shared" si="82"/>
        <v>230</v>
      </c>
      <c r="C140" s="1068">
        <f t="shared" si="82"/>
        <v>-0.05</v>
      </c>
      <c r="D140" s="1068">
        <f t="shared" si="82"/>
        <v>-0.15</v>
      </c>
      <c r="E140" s="1068">
        <f t="shared" si="82"/>
        <v>0.08</v>
      </c>
      <c r="F140" s="1061">
        <f t="shared" si="82"/>
        <v>0.11499999999999999</v>
      </c>
      <c r="G140" s="1062">
        <f t="shared" si="82"/>
        <v>2.7600000000000002</v>
      </c>
      <c r="I140" s="1243" t="s">
        <v>258</v>
      </c>
      <c r="J140" s="1244"/>
      <c r="K140" s="1244"/>
      <c r="L140" s="1245"/>
      <c r="M140" s="432"/>
      <c r="N140" s="1073">
        <f>ID!H27</f>
        <v>12</v>
      </c>
      <c r="O140" s="1080">
        <f>N140+K141</f>
        <v>26.62906803325836</v>
      </c>
      <c r="P140" s="1081">
        <f>IF(N140="-","-",O140)</f>
        <v>26.62906803325836</v>
      </c>
    </row>
    <row r="141" spans="1:19" ht="12.75" customHeight="1" thickBot="1" x14ac:dyDescent="0.3">
      <c r="A141" s="1238"/>
      <c r="B141" s="1063">
        <f t="shared" si="82"/>
        <v>250</v>
      </c>
      <c r="C141" s="1068">
        <f t="shared" si="82"/>
        <v>9.9999999999999995E-7</v>
      </c>
      <c r="D141" s="1068">
        <f t="shared" si="82"/>
        <v>9.9999999999999995E-7</v>
      </c>
      <c r="E141" s="1068">
        <f t="shared" si="82"/>
        <v>9.9999999999999995E-7</v>
      </c>
      <c r="F141" s="1061">
        <f t="shared" si="82"/>
        <v>0</v>
      </c>
      <c r="G141" s="1062">
        <f t="shared" si="82"/>
        <v>3</v>
      </c>
      <c r="I141" s="1082">
        <f>N140</f>
        <v>12</v>
      </c>
      <c r="J141" s="1065"/>
      <c r="K141" s="1083">
        <f>(FORECAST(I141,E144:E149,B144:B149))</f>
        <v>14.62906803325836</v>
      </c>
      <c r="L141" s="1067"/>
      <c r="M141" s="432"/>
      <c r="N141" s="1073">
        <v>0</v>
      </c>
      <c r="O141" s="1079">
        <f>N141+K143</f>
        <v>14.903585966959195</v>
      </c>
      <c r="P141" s="1081">
        <f>IF(N141="-","-",O141)</f>
        <v>14.903585966959195</v>
      </c>
    </row>
    <row r="142" spans="1:19" ht="13.8" thickBot="1" x14ac:dyDescent="0.3">
      <c r="A142" s="1238"/>
      <c r="B142" s="1232" t="str">
        <f t="shared" si="82"/>
        <v>Current Leakage</v>
      </c>
      <c r="C142" s="1233"/>
      <c r="D142" s="1233"/>
      <c r="E142" s="1234"/>
      <c r="F142" s="1061" t="str">
        <f t="shared" si="82"/>
        <v>Driff</v>
      </c>
      <c r="G142" s="1062" t="str">
        <f t="shared" si="82"/>
        <v>U95</v>
      </c>
      <c r="I142" s="1243" t="s">
        <v>258</v>
      </c>
      <c r="J142" s="1244"/>
      <c r="K142" s="1244"/>
      <c r="L142" s="1245"/>
      <c r="M142" s="1084" t="s">
        <v>259</v>
      </c>
      <c r="N142" s="1085">
        <f>ID!S27</f>
        <v>12</v>
      </c>
      <c r="O142" s="1086">
        <f>N142+K145</f>
        <v>26.62906803325836</v>
      </c>
      <c r="P142" s="1081">
        <f>IF(N142="-","-",O142)</f>
        <v>26.62906803325836</v>
      </c>
    </row>
    <row r="143" spans="1:19" ht="12.75" customHeight="1" x14ac:dyDescent="0.25">
      <c r="A143" s="1238"/>
      <c r="B143" s="1063" t="str">
        <f t="shared" si="82"/>
        <v>( uA )</v>
      </c>
      <c r="C143" s="1061">
        <f t="shared" si="82"/>
        <v>2018</v>
      </c>
      <c r="D143" s="1061">
        <f t="shared" si="82"/>
        <v>2019</v>
      </c>
      <c r="E143" s="1061">
        <f t="shared" si="82"/>
        <v>2022</v>
      </c>
      <c r="F143" s="1061"/>
      <c r="G143" s="1062"/>
      <c r="I143" s="1082">
        <f>N141</f>
        <v>0</v>
      </c>
      <c r="J143" s="1065"/>
      <c r="K143" s="1083">
        <f>(FORECAST(I143,E144:E149,B144:B149))</f>
        <v>14.903585966959195</v>
      </c>
      <c r="L143" s="1067"/>
      <c r="M143" s="1227" t="s">
        <v>260</v>
      </c>
      <c r="N143" s="1087">
        <f>P137</f>
        <v>219.07373308727736</v>
      </c>
      <c r="O143" s="1088">
        <f>(FORECAST(N143,G136:G141,B136:B141))</f>
        <v>2.6288847970473284</v>
      </c>
      <c r="P143" s="1089" t="s">
        <v>21</v>
      </c>
    </row>
    <row r="144" spans="1:19" ht="15" thickBot="1" x14ac:dyDescent="0.35">
      <c r="A144" s="1238"/>
      <c r="B144" s="1090">
        <f t="shared" si="82"/>
        <v>9.9999999999999995E-7</v>
      </c>
      <c r="C144" s="1091">
        <f t="shared" si="82"/>
        <v>9.9999999999999995E-7</v>
      </c>
      <c r="D144" s="1091">
        <f t="shared" si="82"/>
        <v>9.9999999999999995E-7</v>
      </c>
      <c r="E144" s="1091">
        <f t="shared" si="82"/>
        <v>9.9999999999999995E-7</v>
      </c>
      <c r="F144" s="1061">
        <f t="shared" si="82"/>
        <v>0</v>
      </c>
      <c r="G144" s="1062">
        <f t="shared" si="82"/>
        <v>5.8999999999999999E-9</v>
      </c>
      <c r="I144" s="1229" t="s">
        <v>258</v>
      </c>
      <c r="J144" s="1230"/>
      <c r="K144" s="1230"/>
      <c r="L144" s="1231"/>
      <c r="M144" s="1228"/>
      <c r="N144" s="1092" t="str">
        <f>P144&amp;FIXED(N143,1)&amp;P145&amp;FIXED(O143,1)&amp;P146&amp;P143</f>
        <v>( 219.1 ± 2.6 ) Volt</v>
      </c>
      <c r="O144" s="1093"/>
      <c r="P144" s="1094" t="s">
        <v>261</v>
      </c>
    </row>
    <row r="145" spans="1:17" x14ac:dyDescent="0.25">
      <c r="A145" s="1238"/>
      <c r="B145" s="1063">
        <f t="shared" si="82"/>
        <v>50</v>
      </c>
      <c r="C145" s="1091">
        <f t="shared" si="82"/>
        <v>2.1</v>
      </c>
      <c r="D145" s="1091">
        <f t="shared" si="82"/>
        <v>2.6</v>
      </c>
      <c r="E145" s="1091">
        <f t="shared" si="82"/>
        <v>19.100000000000001</v>
      </c>
      <c r="F145" s="1061">
        <f t="shared" si="82"/>
        <v>8.5</v>
      </c>
      <c r="G145" s="1062">
        <f t="shared" si="82"/>
        <v>0.29499999999999998</v>
      </c>
      <c r="I145" s="1095">
        <f>N142</f>
        <v>12</v>
      </c>
      <c r="J145" s="1096"/>
      <c r="K145" s="1097">
        <f>FORECAST(I145,E144:E149,B144:B149)</f>
        <v>14.62906803325836</v>
      </c>
      <c r="L145" s="1097"/>
      <c r="M145" s="432"/>
      <c r="N145" s="434"/>
      <c r="O145" s="435"/>
      <c r="P145" s="917" t="s">
        <v>262</v>
      </c>
    </row>
    <row r="146" spans="1:17" ht="13.8" thickBot="1" x14ac:dyDescent="0.3">
      <c r="A146" s="1238"/>
      <c r="B146" s="1063">
        <f t="shared" si="82"/>
        <v>100</v>
      </c>
      <c r="C146" s="1091">
        <f t="shared" si="82"/>
        <v>2.2999999999999998</v>
      </c>
      <c r="D146" s="1091">
        <f t="shared" si="82"/>
        <v>2.6</v>
      </c>
      <c r="E146" s="1091">
        <f t="shared" si="82"/>
        <v>18.399999999999999</v>
      </c>
      <c r="F146" s="1061">
        <f t="shared" si="82"/>
        <v>8.0499999999999989</v>
      </c>
      <c r="G146" s="1062">
        <f t="shared" si="82"/>
        <v>0.59</v>
      </c>
      <c r="I146" s="1098"/>
      <c r="M146" s="432"/>
      <c r="N146" s="918"/>
      <c r="O146" s="918"/>
      <c r="P146" s="919" t="s">
        <v>263</v>
      </c>
    </row>
    <row r="147" spans="1:17" ht="13.8" thickBot="1" x14ac:dyDescent="0.3">
      <c r="A147" s="1238"/>
      <c r="B147" s="1063">
        <f t="shared" si="82"/>
        <v>200</v>
      </c>
      <c r="C147" s="1091">
        <f t="shared" si="82"/>
        <v>0.2</v>
      </c>
      <c r="D147" s="1091">
        <f t="shared" si="82"/>
        <v>3.1</v>
      </c>
      <c r="E147" s="1091">
        <f t="shared" si="82"/>
        <v>14.4</v>
      </c>
      <c r="F147" s="1061">
        <f t="shared" si="82"/>
        <v>7.1000000000000005</v>
      </c>
      <c r="G147" s="1062">
        <f t="shared" si="82"/>
        <v>1.18</v>
      </c>
      <c r="H147" s="1099"/>
      <c r="I147" s="1100"/>
      <c r="J147" s="920"/>
      <c r="K147" s="920"/>
      <c r="L147" s="921"/>
      <c r="M147" s="441"/>
      <c r="N147" s="922">
        <f>MAX(N140:N145)</f>
        <v>219.07373308727736</v>
      </c>
      <c r="O147" s="922">
        <f>MAX(P140:P142)</f>
        <v>26.62906803325836</v>
      </c>
      <c r="P147" s="923">
        <f>IF(N147=0,"-",IF(N147=N147,O147,))</f>
        <v>26.62906803325836</v>
      </c>
    </row>
    <row r="148" spans="1:17" x14ac:dyDescent="0.25">
      <c r="A148" s="1238"/>
      <c r="B148" s="1063">
        <f t="shared" si="82"/>
        <v>500</v>
      </c>
      <c r="C148" s="1091">
        <f t="shared" si="82"/>
        <v>2.8</v>
      </c>
      <c r="D148" s="1091">
        <f t="shared" si="82"/>
        <v>3.9</v>
      </c>
      <c r="E148" s="1091">
        <f t="shared" si="82"/>
        <v>6.2</v>
      </c>
      <c r="F148" s="1061">
        <f t="shared" si="82"/>
        <v>1.7000000000000002</v>
      </c>
      <c r="G148" s="1062">
        <f t="shared" si="82"/>
        <v>2.9499999999999997</v>
      </c>
      <c r="I148" s="924"/>
      <c r="J148" s="924"/>
      <c r="K148" s="924"/>
      <c r="L148" s="431"/>
      <c r="M148" s="431"/>
      <c r="N148" s="431"/>
      <c r="O148" s="431"/>
    </row>
    <row r="149" spans="1:17" x14ac:dyDescent="0.25">
      <c r="A149" s="1238"/>
      <c r="B149" s="1063">
        <f t="shared" ref="B149:G161" si="83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091">
        <f t="shared" si="83"/>
        <v>13</v>
      </c>
      <c r="D149" s="1091">
        <f t="shared" si="83"/>
        <v>5.0000000000000001E-3</v>
      </c>
      <c r="E149" s="1091">
        <f t="shared" si="83"/>
        <v>-11</v>
      </c>
      <c r="F149" s="1061">
        <f t="shared" si="83"/>
        <v>12</v>
      </c>
      <c r="G149" s="1062">
        <f t="shared" si="83"/>
        <v>5.8999999999999995</v>
      </c>
      <c r="H149" s="1101"/>
      <c r="I149" s="436"/>
      <c r="J149" s="436"/>
      <c r="K149" s="925"/>
      <c r="L149" s="432"/>
      <c r="M149" s="432"/>
      <c r="N149" s="432"/>
      <c r="O149" s="432"/>
    </row>
    <row r="150" spans="1:17" ht="12.75" customHeight="1" x14ac:dyDescent="0.25">
      <c r="A150" s="1238"/>
      <c r="B150" s="1232" t="str">
        <f t="shared" si="83"/>
        <v>Main-PE</v>
      </c>
      <c r="C150" s="1233"/>
      <c r="D150" s="1233"/>
      <c r="E150" s="1234"/>
      <c r="F150" s="1061" t="str">
        <f t="shared" si="83"/>
        <v>Driff</v>
      </c>
      <c r="G150" s="1062" t="str">
        <f t="shared" si="83"/>
        <v>U95</v>
      </c>
      <c r="L150" s="307"/>
      <c r="M150" s="307"/>
      <c r="N150" s="307"/>
      <c r="O150" s="307"/>
      <c r="P150" s="1102"/>
    </row>
    <row r="151" spans="1:17" x14ac:dyDescent="0.25">
      <c r="A151" s="1238"/>
      <c r="B151" s="1063" t="str">
        <f t="shared" si="83"/>
        <v>( MΩ )</v>
      </c>
      <c r="C151" s="1061">
        <f t="shared" si="83"/>
        <v>2018</v>
      </c>
      <c r="D151" s="1061">
        <f t="shared" si="83"/>
        <v>2019</v>
      </c>
      <c r="E151" s="1061">
        <f t="shared" si="83"/>
        <v>2022</v>
      </c>
      <c r="F151" s="1061"/>
      <c r="G151" s="1062"/>
      <c r="H151" s="1101"/>
      <c r="I151" s="436"/>
      <c r="J151" s="436"/>
      <c r="K151" s="925"/>
      <c r="L151" s="436"/>
      <c r="M151" s="436"/>
      <c r="N151" s="436"/>
      <c r="O151" s="925"/>
      <c r="P151" s="1103"/>
    </row>
    <row r="152" spans="1:17" ht="12.75" customHeight="1" x14ac:dyDescent="0.25">
      <c r="A152" s="1238"/>
      <c r="B152" s="1063">
        <f t="shared" si="83"/>
        <v>9.9999999999999995E-7</v>
      </c>
      <c r="C152" s="1061">
        <f t="shared" si="83"/>
        <v>9.9999999999999995E-7</v>
      </c>
      <c r="D152" s="1091">
        <f t="shared" si="83"/>
        <v>0.1</v>
      </c>
      <c r="E152" s="1091">
        <f t="shared" si="83"/>
        <v>0.1</v>
      </c>
      <c r="F152" s="1061">
        <f t="shared" si="83"/>
        <v>4.9999500000000002E-2</v>
      </c>
      <c r="G152" s="1062">
        <f t="shared" si="83"/>
        <v>1.7E-8</v>
      </c>
      <c r="L152" s="432"/>
      <c r="M152" s="436"/>
      <c r="N152" s="432"/>
      <c r="O152" s="925"/>
      <c r="P152" s="1104"/>
    </row>
    <row r="153" spans="1:17" x14ac:dyDescent="0.25">
      <c r="A153" s="1238"/>
      <c r="B153" s="1063">
        <f t="shared" si="83"/>
        <v>20</v>
      </c>
      <c r="C153" s="1061">
        <f t="shared" si="83"/>
        <v>0.1</v>
      </c>
      <c r="D153" s="1061">
        <f t="shared" si="83"/>
        <v>0.1</v>
      </c>
      <c r="E153" s="1061">
        <f t="shared" si="83"/>
        <v>0.1</v>
      </c>
      <c r="F153" s="1061">
        <f t="shared" si="83"/>
        <v>0</v>
      </c>
      <c r="G153" s="1062">
        <f t="shared" si="83"/>
        <v>0.34</v>
      </c>
      <c r="H153" s="1101"/>
      <c r="I153" s="436"/>
      <c r="J153" s="436"/>
      <c r="K153" s="925"/>
      <c r="L153" s="436"/>
      <c r="M153" s="436"/>
      <c r="N153" s="436"/>
      <c r="O153" s="925"/>
      <c r="P153" s="1103"/>
    </row>
    <row r="154" spans="1:17" x14ac:dyDescent="0.25">
      <c r="A154" s="1238"/>
      <c r="B154" s="1063">
        <f t="shared" si="83"/>
        <v>50</v>
      </c>
      <c r="C154" s="1061">
        <f t="shared" si="83"/>
        <v>0.3</v>
      </c>
      <c r="D154" s="1061">
        <f t="shared" si="83"/>
        <v>0.3</v>
      </c>
      <c r="E154" s="1061">
        <f t="shared" si="83"/>
        <v>0.3</v>
      </c>
      <c r="F154" s="1061">
        <f t="shared" si="83"/>
        <v>0</v>
      </c>
      <c r="G154" s="1062">
        <f t="shared" si="83"/>
        <v>0.85000000000000009</v>
      </c>
      <c r="L154" s="432"/>
      <c r="M154" s="432"/>
      <c r="N154" s="432"/>
      <c r="O154" s="432"/>
    </row>
    <row r="155" spans="1:17" ht="12.75" customHeight="1" x14ac:dyDescent="0.25">
      <c r="A155" s="1238"/>
      <c r="B155" s="1063">
        <f t="shared" si="83"/>
        <v>100</v>
      </c>
      <c r="C155" s="1061">
        <f t="shared" si="83"/>
        <v>0.9</v>
      </c>
      <c r="D155" s="1061">
        <f t="shared" si="83"/>
        <v>0.6</v>
      </c>
      <c r="E155" s="1061">
        <f t="shared" si="83"/>
        <v>0.6</v>
      </c>
      <c r="F155" s="1061">
        <f t="shared" si="83"/>
        <v>0.15000000000000002</v>
      </c>
      <c r="G155" s="1062">
        <f t="shared" si="83"/>
        <v>1.7000000000000002</v>
      </c>
      <c r="H155" s="1105"/>
      <c r="I155" s="926"/>
      <c r="J155" s="926"/>
      <c r="K155" s="927"/>
      <c r="L155" s="432"/>
      <c r="M155" s="432"/>
      <c r="N155" s="432"/>
      <c r="O155" s="432"/>
    </row>
    <row r="156" spans="1:17" x14ac:dyDescent="0.25">
      <c r="A156" s="1238"/>
      <c r="B156" s="1232" t="str">
        <f t="shared" si="83"/>
        <v>Resistance</v>
      </c>
      <c r="C156" s="1233"/>
      <c r="D156" s="1233"/>
      <c r="E156" s="1234"/>
      <c r="F156" s="1061" t="str">
        <f t="shared" si="83"/>
        <v>Driff</v>
      </c>
      <c r="G156" s="1062" t="str">
        <f t="shared" si="83"/>
        <v>U95</v>
      </c>
      <c r="L156" s="1235"/>
      <c r="M156" s="1235"/>
      <c r="O156" s="432"/>
    </row>
    <row r="157" spans="1:17" x14ac:dyDescent="0.25">
      <c r="A157" s="1238"/>
      <c r="B157" s="1063" t="str">
        <f t="shared" si="83"/>
        <v>( Ω )</v>
      </c>
      <c r="C157" s="1061">
        <f t="shared" si="83"/>
        <v>2018</v>
      </c>
      <c r="D157" s="1061">
        <f t="shared" si="83"/>
        <v>2019</v>
      </c>
      <c r="E157" s="1061">
        <f t="shared" si="83"/>
        <v>2022</v>
      </c>
      <c r="F157" s="1061"/>
      <c r="G157" s="1062"/>
      <c r="H157" s="1105"/>
      <c r="I157" s="926"/>
      <c r="J157" s="926"/>
      <c r="K157" s="927"/>
      <c r="L157" s="928"/>
      <c r="M157" s="432"/>
      <c r="N157" s="432"/>
      <c r="O157" s="432"/>
      <c r="Q157" s="432"/>
    </row>
    <row r="158" spans="1:17" x14ac:dyDescent="0.25">
      <c r="A158" s="1238"/>
      <c r="B158" s="1063">
        <f t="shared" si="83"/>
        <v>0.01</v>
      </c>
      <c r="C158" s="1091">
        <f t="shared" si="83"/>
        <v>9.9999999999999995E-7</v>
      </c>
      <c r="D158" s="1091">
        <f t="shared" si="83"/>
        <v>9.9999999999999995E-7</v>
      </c>
      <c r="E158" s="1091">
        <f t="shared" si="83"/>
        <v>9.9999999999999995E-7</v>
      </c>
      <c r="F158" s="1061">
        <f t="shared" si="83"/>
        <v>0</v>
      </c>
      <c r="G158" s="1062">
        <f t="shared" si="83"/>
        <v>1.2E-4</v>
      </c>
      <c r="I158" s="432"/>
      <c r="J158" s="437"/>
      <c r="K158" s="437"/>
      <c r="L158" s="437"/>
      <c r="M158" s="438"/>
      <c r="N158" s="432"/>
      <c r="O158" s="432"/>
      <c r="P158" s="1039"/>
      <c r="Q158" s="432"/>
    </row>
    <row r="159" spans="1:17" x14ac:dyDescent="0.25">
      <c r="A159" s="1238"/>
      <c r="B159" s="1063">
        <f t="shared" si="83"/>
        <v>0.1</v>
      </c>
      <c r="C159" s="1091">
        <f t="shared" si="83"/>
        <v>1E-3</v>
      </c>
      <c r="D159" s="1091">
        <f t="shared" si="83"/>
        <v>-2E-3</v>
      </c>
      <c r="E159" s="1091">
        <f t="shared" si="83"/>
        <v>-3.0000000000000001E-3</v>
      </c>
      <c r="F159" s="1068">
        <f t="shared" si="83"/>
        <v>2E-3</v>
      </c>
      <c r="G159" s="1062">
        <f t="shared" si="83"/>
        <v>1.2000000000000001E-3</v>
      </c>
      <c r="I159" s="432"/>
      <c r="J159" s="438"/>
      <c r="K159" s="437"/>
      <c r="L159" s="438"/>
      <c r="M159" s="438"/>
      <c r="N159" s="432"/>
      <c r="O159" s="432"/>
      <c r="P159" s="1039"/>
      <c r="Q159" s="432"/>
    </row>
    <row r="160" spans="1:17" ht="15.75" customHeight="1" x14ac:dyDescent="0.25">
      <c r="A160" s="1238"/>
      <c r="B160" s="1063">
        <f t="shared" si="83"/>
        <v>1</v>
      </c>
      <c r="C160" s="1091">
        <f t="shared" si="83"/>
        <v>2E-3</v>
      </c>
      <c r="D160" s="1091">
        <f t="shared" si="83"/>
        <v>-1E-3</v>
      </c>
      <c r="E160" s="1091">
        <f t="shared" si="83"/>
        <v>-7.0000000000000001E-3</v>
      </c>
      <c r="F160" s="1068">
        <f t="shared" si="83"/>
        <v>4.5000000000000005E-3</v>
      </c>
      <c r="G160" s="1062">
        <f t="shared" si="83"/>
        <v>1.2E-2</v>
      </c>
      <c r="I160" s="432"/>
      <c r="J160" s="437"/>
      <c r="K160" s="437"/>
      <c r="L160" s="437"/>
      <c r="M160" s="438"/>
      <c r="N160" s="432"/>
      <c r="O160" s="432"/>
      <c r="P160" s="1039"/>
      <c r="Q160" s="432"/>
    </row>
    <row r="161" spans="1:38" ht="13.8" thickBot="1" x14ac:dyDescent="0.3">
      <c r="A161" s="1239"/>
      <c r="B161" s="1106">
        <f t="shared" si="83"/>
        <v>2</v>
      </c>
      <c r="C161" s="1107">
        <f t="shared" si="83"/>
        <v>0</v>
      </c>
      <c r="D161" s="1107">
        <f t="shared" si="83"/>
        <v>9.9999999999999995E-7</v>
      </c>
      <c r="E161" s="1107">
        <f t="shared" si="83"/>
        <v>-7.0000000000000001E-3</v>
      </c>
      <c r="F161" s="1108">
        <f t="shared" si="83"/>
        <v>3.5005000000000001E-3</v>
      </c>
      <c r="G161" s="1109">
        <f t="shared" si="83"/>
        <v>2.4E-2</v>
      </c>
      <c r="I161" s="432"/>
      <c r="J161" s="1236"/>
      <c r="K161" s="1236"/>
      <c r="L161" s="1236"/>
      <c r="M161" s="1236"/>
      <c r="N161" s="432"/>
      <c r="O161" s="432"/>
      <c r="P161" s="1039"/>
      <c r="Q161" s="432"/>
    </row>
    <row r="162" spans="1:38" x14ac:dyDescent="0.25">
      <c r="I162" s="432"/>
      <c r="J162" s="437"/>
      <c r="K162" s="437"/>
      <c r="L162" s="437"/>
      <c r="M162" s="438"/>
      <c r="N162" s="432"/>
      <c r="O162" s="432"/>
      <c r="P162" s="1039"/>
      <c r="Q162" s="432"/>
    </row>
    <row r="163" spans="1:38" x14ac:dyDescent="0.25">
      <c r="I163" s="432"/>
      <c r="J163" s="438"/>
      <c r="K163" s="437"/>
      <c r="L163" s="438"/>
      <c r="M163" s="438"/>
      <c r="N163" s="432"/>
      <c r="O163" s="432"/>
      <c r="P163" s="1039"/>
      <c r="Q163" s="432"/>
    </row>
    <row r="164" spans="1:38" ht="13.8" thickBot="1" x14ac:dyDescent="0.3">
      <c r="I164" s="432"/>
      <c r="J164" s="437"/>
      <c r="K164" s="437"/>
      <c r="L164" s="437"/>
      <c r="M164" s="438"/>
      <c r="N164" s="432"/>
      <c r="O164" s="432"/>
      <c r="P164" s="1039"/>
      <c r="Q164" s="432"/>
    </row>
    <row r="165" spans="1:38" ht="15" customHeight="1" x14ac:dyDescent="0.3">
      <c r="A165" s="1218" t="str">
        <f>ID!B52</f>
        <v>Electrical Safety Analyzer, Merek : Fluke, Model : ESA 615, SN : 3148908</v>
      </c>
      <c r="B165" s="1219"/>
      <c r="C165" s="1219"/>
      <c r="D165" s="1219"/>
      <c r="E165" s="1219"/>
      <c r="F165" s="1219"/>
      <c r="G165" s="1219"/>
      <c r="H165" s="1219"/>
      <c r="I165" s="1219"/>
      <c r="J165" s="1219"/>
      <c r="K165" s="1219"/>
      <c r="L165" s="1220"/>
      <c r="N165" s="1221">
        <f>A178</f>
        <v>6</v>
      </c>
      <c r="O165" s="1222"/>
      <c r="P165" s="1222"/>
      <c r="Q165" s="1222"/>
      <c r="R165" s="1222"/>
      <c r="S165" s="1222"/>
      <c r="T165" s="1222"/>
      <c r="U165" s="1222"/>
      <c r="V165" s="1222"/>
      <c r="W165" s="1222"/>
      <c r="X165" s="1222"/>
      <c r="Y165" s="1223"/>
    </row>
    <row r="166" spans="1:38" ht="14.4" x14ac:dyDescent="0.3">
      <c r="A166" s="1110" t="s">
        <v>264</v>
      </c>
      <c r="B166" s="1111"/>
      <c r="C166" s="1112"/>
      <c r="D166" s="1113"/>
      <c r="E166" s="1113"/>
      <c r="F166" s="1113"/>
      <c r="G166" s="1113"/>
      <c r="H166" s="1114"/>
      <c r="I166" s="1115">
        <f>C5</f>
        <v>2019</v>
      </c>
      <c r="J166" s="1115">
        <f t="shared" ref="J166:K166" si="84">D5</f>
        <v>2019</v>
      </c>
      <c r="K166" s="1115">
        <f t="shared" si="84"/>
        <v>2020</v>
      </c>
      <c r="L166" s="1116">
        <v>1</v>
      </c>
      <c r="N166" s="1117">
        <v>1</v>
      </c>
      <c r="O166" s="1118" t="s">
        <v>265</v>
      </c>
      <c r="P166" s="1119"/>
      <c r="Q166" s="1120"/>
      <c r="R166" s="1120"/>
      <c r="S166" s="1120"/>
      <c r="T166" s="1120"/>
      <c r="U166" s="1120"/>
      <c r="V166" s="1120"/>
      <c r="W166" s="1120"/>
      <c r="X166" s="1119"/>
      <c r="Y166" s="1121"/>
    </row>
    <row r="167" spans="1:38" ht="14.4" x14ac:dyDescent="0.3">
      <c r="A167" s="1110" t="s">
        <v>266</v>
      </c>
      <c r="B167" s="1111"/>
      <c r="C167" s="1112"/>
      <c r="D167" s="1113"/>
      <c r="E167" s="1113"/>
      <c r="F167" s="1113"/>
      <c r="G167" s="1113"/>
      <c r="H167" s="1114"/>
      <c r="I167" s="1115">
        <f>K5</f>
        <v>2017</v>
      </c>
      <c r="J167" s="1115">
        <f t="shared" ref="J167:K167" si="85">L5</f>
        <v>2017</v>
      </c>
      <c r="K167" s="1115">
        <f t="shared" si="85"/>
        <v>2019</v>
      </c>
      <c r="L167" s="1116">
        <v>2</v>
      </c>
      <c r="N167" s="1117">
        <v>2</v>
      </c>
      <c r="O167" s="1118" t="s">
        <v>265</v>
      </c>
      <c r="P167" s="1119"/>
      <c r="Q167" s="1120"/>
      <c r="R167" s="1120"/>
      <c r="S167" s="1120"/>
      <c r="T167" s="1120"/>
      <c r="U167" s="1120"/>
      <c r="V167" s="1120"/>
      <c r="W167" s="1120"/>
      <c r="X167" s="1119"/>
      <c r="Y167" s="1121"/>
      <c r="AL167" s="442"/>
    </row>
    <row r="168" spans="1:38" ht="14.4" x14ac:dyDescent="0.3">
      <c r="A168" s="1110" t="s">
        <v>267</v>
      </c>
      <c r="B168" s="1111"/>
      <c r="C168" s="1112"/>
      <c r="D168" s="1113"/>
      <c r="E168" s="1113"/>
      <c r="F168" s="1113"/>
      <c r="G168" s="1113"/>
      <c r="H168" s="1114"/>
      <c r="I168" s="1115">
        <f>S5</f>
        <v>2018</v>
      </c>
      <c r="J168" s="1115">
        <f t="shared" ref="J168:K168" si="86">T5</f>
        <v>2021</v>
      </c>
      <c r="K168" s="1115">
        <f t="shared" si="86"/>
        <v>2022</v>
      </c>
      <c r="L168" s="1116">
        <v>3</v>
      </c>
      <c r="N168" s="1117">
        <v>3</v>
      </c>
      <c r="O168" s="1118" t="s">
        <v>265</v>
      </c>
      <c r="P168" s="1119"/>
      <c r="Q168" s="1120"/>
      <c r="R168" s="1120"/>
      <c r="S168" s="1120"/>
      <c r="T168" s="1120"/>
      <c r="U168" s="1120"/>
      <c r="V168" s="1120"/>
      <c r="W168" s="1120"/>
      <c r="X168" s="1119"/>
      <c r="Y168" s="1121"/>
      <c r="AL168" s="442"/>
    </row>
    <row r="169" spans="1:38" ht="14.4" x14ac:dyDescent="0.3">
      <c r="A169" s="1110" t="s">
        <v>268</v>
      </c>
      <c r="B169" s="1111"/>
      <c r="C169" s="1112"/>
      <c r="D169" s="1113"/>
      <c r="E169" s="1113"/>
      <c r="F169" s="1113"/>
      <c r="G169" s="1113"/>
      <c r="H169" s="1114"/>
      <c r="I169" s="1115">
        <f>C36</f>
        <v>2019</v>
      </c>
      <c r="J169" s="1115">
        <f t="shared" ref="J169:K169" si="87">D36</f>
        <v>2019</v>
      </c>
      <c r="K169" s="1115">
        <f t="shared" si="87"/>
        <v>2021</v>
      </c>
      <c r="L169" s="1116">
        <v>4</v>
      </c>
      <c r="N169" s="1117">
        <v>4</v>
      </c>
      <c r="O169" s="1118" t="s">
        <v>265</v>
      </c>
      <c r="P169" s="1119"/>
      <c r="Q169" s="1120"/>
      <c r="R169" s="1120"/>
      <c r="S169" s="1120"/>
      <c r="T169" s="1120"/>
      <c r="U169" s="1120"/>
      <c r="V169" s="1120"/>
      <c r="W169" s="1120"/>
      <c r="X169" s="1119"/>
      <c r="Y169" s="1121"/>
      <c r="AL169" s="442"/>
    </row>
    <row r="170" spans="1:38" ht="14.4" x14ac:dyDescent="0.3">
      <c r="A170" s="1110" t="s">
        <v>269</v>
      </c>
      <c r="B170" s="1112"/>
      <c r="C170" s="1112"/>
      <c r="D170" s="1113"/>
      <c r="E170" s="1113"/>
      <c r="F170" s="1113"/>
      <c r="G170" s="1113"/>
      <c r="H170" s="1114"/>
      <c r="I170" s="1115">
        <f>K36</f>
        <v>2019</v>
      </c>
      <c r="J170" s="1115">
        <f t="shared" ref="J170:K170" si="88">L36</f>
        <v>2019</v>
      </c>
      <c r="K170" s="1115">
        <f t="shared" si="88"/>
        <v>2021</v>
      </c>
      <c r="L170" s="1116">
        <v>5</v>
      </c>
      <c r="N170" s="1117">
        <v>5</v>
      </c>
      <c r="O170" s="1118" t="s">
        <v>265</v>
      </c>
      <c r="P170" s="1119"/>
      <c r="Q170" s="1120"/>
      <c r="R170" s="1120"/>
      <c r="S170" s="1120"/>
      <c r="T170" s="1120"/>
      <c r="U170" s="1120"/>
      <c r="V170" s="1120"/>
      <c r="W170" s="1120"/>
      <c r="X170" s="1119"/>
      <c r="Y170" s="1121"/>
      <c r="AL170" s="442"/>
    </row>
    <row r="171" spans="1:38" ht="14.4" x14ac:dyDescent="0.3">
      <c r="A171" s="1110" t="s">
        <v>270</v>
      </c>
      <c r="B171" s="1112"/>
      <c r="C171" s="1112"/>
      <c r="D171" s="1113"/>
      <c r="E171" s="1113"/>
      <c r="F171" s="1113"/>
      <c r="G171" s="1113"/>
      <c r="H171" s="1114"/>
      <c r="I171" s="1115">
        <f>S36</f>
        <v>2018</v>
      </c>
      <c r="J171" s="1115">
        <f t="shared" ref="J171:K171" si="89">T36</f>
        <v>2019</v>
      </c>
      <c r="K171" s="1115">
        <f t="shared" si="89"/>
        <v>2022</v>
      </c>
      <c r="L171" s="1116">
        <v>6</v>
      </c>
      <c r="N171" s="1117">
        <v>6</v>
      </c>
      <c r="O171" s="1118" t="s">
        <v>265</v>
      </c>
      <c r="P171" s="1119"/>
      <c r="Q171" s="1120"/>
      <c r="R171" s="1120"/>
      <c r="S171" s="1120"/>
      <c r="T171" s="1120"/>
      <c r="U171" s="1120"/>
      <c r="V171" s="1120"/>
      <c r="W171" s="1120"/>
      <c r="X171" s="1119"/>
      <c r="Y171" s="1121"/>
      <c r="AL171" s="442"/>
    </row>
    <row r="172" spans="1:38" ht="14.4" x14ac:dyDescent="0.3">
      <c r="A172" s="1110" t="s">
        <v>271</v>
      </c>
      <c r="B172" s="1112"/>
      <c r="C172" s="1112"/>
      <c r="D172" s="1113"/>
      <c r="E172" s="1113"/>
      <c r="F172" s="1113"/>
      <c r="G172" s="1113"/>
      <c r="H172" s="1114"/>
      <c r="I172" s="1115">
        <f>C67</f>
        <v>2019</v>
      </c>
      <c r="J172" s="1115">
        <f t="shared" ref="J172:K172" si="90">D67</f>
        <v>2020</v>
      </c>
      <c r="K172" s="1115">
        <f t="shared" si="90"/>
        <v>2022</v>
      </c>
      <c r="L172" s="1116">
        <v>7</v>
      </c>
      <c r="N172" s="1117">
        <v>7</v>
      </c>
      <c r="O172" s="1118" t="s">
        <v>265</v>
      </c>
      <c r="P172" s="1119"/>
      <c r="Q172" s="1120"/>
      <c r="R172" s="1120"/>
      <c r="S172" s="1120"/>
      <c r="T172" s="1120"/>
      <c r="U172" s="1120"/>
      <c r="V172" s="1120"/>
      <c r="W172" s="1120"/>
      <c r="X172" s="1119"/>
      <c r="Y172" s="1121"/>
      <c r="AL172" s="442"/>
    </row>
    <row r="173" spans="1:38" ht="14.4" x14ac:dyDescent="0.3">
      <c r="A173" s="1110" t="s">
        <v>273</v>
      </c>
      <c r="B173" s="1112"/>
      <c r="C173" s="1112"/>
      <c r="D173" s="1113"/>
      <c r="E173" s="1113"/>
      <c r="F173" s="1113"/>
      <c r="G173" s="1113"/>
      <c r="H173" s="1114"/>
      <c r="I173" s="1122">
        <f>K67</f>
        <v>2019</v>
      </c>
      <c r="J173" s="1122">
        <f t="shared" ref="J173:K173" si="91">L67</f>
        <v>2020</v>
      </c>
      <c r="K173" s="1122">
        <f t="shared" si="91"/>
        <v>2022</v>
      </c>
      <c r="L173" s="1116">
        <v>8</v>
      </c>
      <c r="N173" s="1117">
        <v>8</v>
      </c>
      <c r="O173" s="1118" t="s">
        <v>265</v>
      </c>
      <c r="P173" s="1119"/>
      <c r="Q173" s="1120"/>
      <c r="R173" s="1120"/>
      <c r="S173" s="1120"/>
      <c r="T173" s="1120"/>
      <c r="U173" s="1120"/>
      <c r="V173" s="1120"/>
      <c r="W173" s="1120"/>
      <c r="X173" s="1119"/>
      <c r="Y173" s="1121"/>
      <c r="AL173" s="442"/>
    </row>
    <row r="174" spans="1:38" ht="14.4" x14ac:dyDescent="0.3">
      <c r="A174" s="1110" t="s">
        <v>272</v>
      </c>
      <c r="B174" s="1112"/>
      <c r="C174" s="1112"/>
      <c r="D174" s="1113"/>
      <c r="E174" s="1113"/>
      <c r="F174" s="1113"/>
      <c r="G174" s="1113"/>
      <c r="H174" s="1114"/>
      <c r="I174" s="1122">
        <f>S67</f>
        <v>2019</v>
      </c>
      <c r="J174" s="1122">
        <f t="shared" ref="J174:K174" si="92">T67</f>
        <v>2020</v>
      </c>
      <c r="K174" s="1122">
        <f t="shared" si="92"/>
        <v>2022</v>
      </c>
      <c r="L174" s="1116">
        <v>9</v>
      </c>
      <c r="N174" s="1117">
        <v>9</v>
      </c>
      <c r="O174" s="1118" t="s">
        <v>265</v>
      </c>
      <c r="P174" s="1119"/>
      <c r="Q174" s="1120"/>
      <c r="R174" s="1120"/>
      <c r="S174" s="1120"/>
      <c r="T174" s="1120"/>
      <c r="U174" s="1120"/>
      <c r="V174" s="1120"/>
      <c r="W174" s="1120"/>
      <c r="X174" s="1119"/>
      <c r="Y174" s="1121"/>
      <c r="AL174" s="442"/>
    </row>
    <row r="175" spans="1:38" ht="14.4" x14ac:dyDescent="0.3">
      <c r="A175" s="1110" t="s">
        <v>274</v>
      </c>
      <c r="B175" s="1112"/>
      <c r="C175" s="1112"/>
      <c r="D175" s="1113"/>
      <c r="E175" s="1113"/>
      <c r="F175" s="1113"/>
      <c r="G175" s="1113"/>
      <c r="H175" s="1114"/>
      <c r="I175" s="1122">
        <f>C98</f>
        <v>2019</v>
      </c>
      <c r="J175" s="1122">
        <f t="shared" ref="J175:K175" si="93">D98</f>
        <v>2019</v>
      </c>
      <c r="K175" s="1122">
        <f t="shared" si="93"/>
        <v>2020</v>
      </c>
      <c r="L175" s="1116">
        <v>10</v>
      </c>
      <c r="M175" s="442"/>
      <c r="N175" s="1117">
        <v>10</v>
      </c>
      <c r="O175" s="1118" t="s">
        <v>265</v>
      </c>
      <c r="P175" s="1119"/>
      <c r="Q175" s="1120"/>
      <c r="R175" s="1120"/>
      <c r="S175" s="1120"/>
      <c r="T175" s="1120"/>
      <c r="U175" s="1120"/>
      <c r="V175" s="1120"/>
      <c r="W175" s="1120"/>
      <c r="X175" s="1119"/>
      <c r="Y175" s="1121"/>
      <c r="AL175" s="442"/>
    </row>
    <row r="176" spans="1:38" ht="14.4" x14ac:dyDescent="0.3">
      <c r="A176" s="1110" t="s">
        <v>275</v>
      </c>
      <c r="B176" s="1112"/>
      <c r="C176" s="1112"/>
      <c r="D176" s="1113"/>
      <c r="E176" s="1113"/>
      <c r="F176" s="1113"/>
      <c r="G176" s="1113"/>
      <c r="H176" s="1114"/>
      <c r="I176" s="1122">
        <f>K98</f>
        <v>2019</v>
      </c>
      <c r="J176" s="1122">
        <f t="shared" ref="J176:K176" si="94">L98</f>
        <v>2019</v>
      </c>
      <c r="K176" s="1122">
        <f t="shared" si="94"/>
        <v>2020</v>
      </c>
      <c r="L176" s="1116">
        <v>11</v>
      </c>
      <c r="N176" s="1117">
        <v>11</v>
      </c>
      <c r="O176" s="1118" t="s">
        <v>265</v>
      </c>
      <c r="P176" s="1119"/>
      <c r="Q176" s="1120"/>
      <c r="R176" s="1120"/>
      <c r="S176" s="1120"/>
      <c r="T176" s="1120"/>
      <c r="U176" s="1120"/>
      <c r="V176" s="1120"/>
      <c r="W176" s="1120"/>
      <c r="X176" s="1119"/>
      <c r="Y176" s="1121"/>
      <c r="AL176" s="442"/>
    </row>
    <row r="177" spans="1:50" ht="14.4" x14ac:dyDescent="0.3">
      <c r="A177" s="1110" t="s">
        <v>276</v>
      </c>
      <c r="B177" s="1112"/>
      <c r="C177" s="1112"/>
      <c r="D177" s="1113"/>
      <c r="E177" s="1113"/>
      <c r="F177" s="1113"/>
      <c r="G177" s="1113"/>
      <c r="H177" s="1114"/>
      <c r="I177" s="1122">
        <f>S98</f>
        <v>2019</v>
      </c>
      <c r="J177" s="1122">
        <f t="shared" ref="J177:K177" si="95">T98</f>
        <v>2019</v>
      </c>
      <c r="K177" s="1122">
        <f t="shared" si="95"/>
        <v>2020</v>
      </c>
      <c r="L177" s="1116">
        <v>12</v>
      </c>
      <c r="N177" s="1117">
        <v>12</v>
      </c>
      <c r="O177" s="1118" t="s">
        <v>265</v>
      </c>
      <c r="P177" s="1119"/>
      <c r="Q177" s="1120"/>
      <c r="R177" s="1120"/>
      <c r="S177" s="1120"/>
      <c r="T177" s="1120"/>
      <c r="U177" s="1120"/>
      <c r="V177" s="1120"/>
      <c r="W177" s="1120"/>
      <c r="X177" s="1119"/>
      <c r="Y177" s="1121"/>
      <c r="AL177" s="442"/>
    </row>
    <row r="178" spans="1:50" ht="15.75" customHeight="1" thickBot="1" x14ac:dyDescent="0.35">
      <c r="A178" s="1224">
        <f>VLOOKUP(A165,A166:L177,12,(FALSE))</f>
        <v>6</v>
      </c>
      <c r="B178" s="1225"/>
      <c r="C178" s="1225"/>
      <c r="D178" s="1225"/>
      <c r="E178" s="1225"/>
      <c r="F178" s="1225"/>
      <c r="G178" s="1225"/>
      <c r="H178" s="1225"/>
      <c r="I178" s="1225"/>
      <c r="J178" s="1225"/>
      <c r="K178" s="1225"/>
      <c r="L178" s="1226"/>
      <c r="O178" s="1123" t="str">
        <f>VLOOKUP(N165,N166:Y177,2,FALSE)</f>
        <v>Hasil pengukuran keselamatan listrik tertelusur ke Satuan Internasional ( SI ) melalui PT. Kaliman</v>
      </c>
      <c r="P178" s="1124"/>
      <c r="Q178" s="1124"/>
      <c r="R178" s="1124"/>
      <c r="S178" s="1124"/>
      <c r="T178" s="1124"/>
      <c r="U178" s="1124"/>
      <c r="V178" s="1124"/>
      <c r="W178" s="1124"/>
      <c r="X178" s="1124"/>
      <c r="Y178" s="1125"/>
      <c r="AL178" s="442"/>
    </row>
    <row r="179" spans="1:50" x14ac:dyDescent="0.25">
      <c r="AL179" s="442"/>
    </row>
    <row r="180" spans="1:50" ht="13.8" x14ac:dyDescent="0.25">
      <c r="A180" s="1126"/>
      <c r="AL180" s="442"/>
    </row>
    <row r="181" spans="1:50" x14ac:dyDescent="0.25">
      <c r="AA181" s="442"/>
      <c r="AB181" s="442"/>
      <c r="AC181" s="442"/>
      <c r="AD181" s="442"/>
      <c r="AE181" s="442"/>
      <c r="AF181" s="442"/>
      <c r="AG181" s="442"/>
      <c r="AH181" s="442"/>
      <c r="AI181" s="442"/>
      <c r="AJ181" s="442"/>
      <c r="AK181" s="442"/>
      <c r="AL181" s="442"/>
      <c r="AM181" s="442"/>
      <c r="AN181" s="442"/>
      <c r="AO181" s="442"/>
      <c r="AP181" s="442"/>
      <c r="AQ181" s="442"/>
      <c r="AR181" s="442"/>
      <c r="AS181" s="442"/>
      <c r="AT181" s="442"/>
      <c r="AU181" s="442"/>
      <c r="AV181" s="442"/>
      <c r="AW181" s="442"/>
      <c r="AX181" s="442"/>
    </row>
    <row r="214" spans="27:31" x14ac:dyDescent="0.25">
      <c r="AA214" s="439"/>
      <c r="AB214" s="432"/>
      <c r="AC214" s="432"/>
      <c r="AD214" s="432"/>
      <c r="AE214" s="432"/>
    </row>
    <row r="215" spans="27:31" x14ac:dyDescent="0.25">
      <c r="AA215" s="439"/>
      <c r="AB215" s="432"/>
      <c r="AC215" s="432"/>
      <c r="AD215" s="432"/>
      <c r="AE215" s="432"/>
    </row>
    <row r="216" spans="27:31" x14ac:dyDescent="0.25">
      <c r="AA216" s="439"/>
      <c r="AB216" s="432"/>
      <c r="AC216" s="432"/>
      <c r="AD216" s="432"/>
      <c r="AE216" s="432"/>
    </row>
    <row r="217" spans="27:31" x14ac:dyDescent="0.25">
      <c r="AA217" s="439"/>
      <c r="AB217" s="432"/>
      <c r="AC217" s="432"/>
      <c r="AD217" s="432"/>
      <c r="AE217" s="432"/>
    </row>
    <row r="218" spans="27:31" x14ac:dyDescent="0.25">
      <c r="AA218" s="439"/>
      <c r="AB218" s="432"/>
      <c r="AC218" s="432"/>
      <c r="AD218" s="432"/>
      <c r="AE218" s="432"/>
    </row>
    <row r="219" spans="27:31" ht="13.8" thickBot="1" x14ac:dyDescent="0.3">
      <c r="AA219" s="440"/>
      <c r="AB219" s="441"/>
      <c r="AC219" s="441"/>
      <c r="AD219" s="441"/>
      <c r="AE219" s="441"/>
    </row>
  </sheetData>
  <mergeCells count="107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B132:G132"/>
    <mergeCell ref="B133:G133"/>
    <mergeCell ref="B134:E134"/>
    <mergeCell ref="I134:L134"/>
    <mergeCell ref="N134:N136"/>
    <mergeCell ref="O134:O136"/>
    <mergeCell ref="A165:L165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8"/>
  <sheetViews>
    <sheetView view="pageBreakPreview" topLeftCell="A46" zoomScaleNormal="100" zoomScaleSheetLayoutView="100" zoomScalePageLayoutView="82" workbookViewId="0">
      <selection activeCell="G30" sqref="G30:G31"/>
    </sheetView>
  </sheetViews>
  <sheetFormatPr defaultColWidth="9.33203125" defaultRowHeight="13.2" x14ac:dyDescent="0.25"/>
  <cols>
    <col min="1" max="1" width="5" style="310" customWidth="1"/>
    <col min="2" max="2" width="4.5546875" style="310" customWidth="1"/>
    <col min="3" max="3" width="20" style="310" customWidth="1"/>
    <col min="4" max="4" width="3" style="310" customWidth="1"/>
    <col min="5" max="7" width="19.33203125" style="310" customWidth="1"/>
    <col min="8" max="9" width="9.5546875" style="310" customWidth="1"/>
    <col min="10" max="11" width="9.44140625" style="310" customWidth="1"/>
    <col min="12" max="12" width="5.33203125" style="310" customWidth="1"/>
    <col min="13" max="13" width="13.44140625" style="310" customWidth="1"/>
    <col min="14" max="14" width="14.6640625" style="310" customWidth="1"/>
    <col min="15" max="16" width="9.33203125" style="310"/>
    <col min="17" max="17" width="11.33203125" style="310" customWidth="1"/>
    <col min="18" max="18" width="10.33203125" style="310" customWidth="1"/>
    <col min="19" max="23" width="9.33203125" style="310"/>
    <col min="24" max="24" width="13" style="310" customWidth="1"/>
    <col min="25" max="25" width="9.33203125" style="310" customWidth="1"/>
    <col min="26" max="16384" width="9.33203125" style="310"/>
  </cols>
  <sheetData>
    <row r="1" spans="1:29" ht="18" x14ac:dyDescent="0.25">
      <c r="A1" s="1494" t="s">
        <v>379</v>
      </c>
      <c r="B1" s="1494"/>
      <c r="C1" s="1494"/>
      <c r="D1" s="1494"/>
      <c r="E1" s="1494"/>
      <c r="F1" s="1494"/>
      <c r="G1" s="1494"/>
      <c r="H1" s="1494"/>
      <c r="I1" s="1494"/>
      <c r="J1" s="1494"/>
      <c r="K1" s="1494"/>
      <c r="L1" s="936"/>
      <c r="M1" s="149"/>
      <c r="N1" s="149"/>
    </row>
    <row r="2" spans="1:29" ht="17.399999999999999" x14ac:dyDescent="0.25">
      <c r="A2" s="1493" t="str">
        <f>ID!H2&amp;" "&amp;ID!I2</f>
        <v>Nomor Sertifikat : 17 / 19 / III - 25 / E - 009.678 DL</v>
      </c>
      <c r="B2" s="1493"/>
      <c r="C2" s="1493"/>
      <c r="D2" s="1493"/>
      <c r="E2" s="1493"/>
      <c r="F2" s="1493"/>
      <c r="G2" s="1493"/>
      <c r="H2" s="1493"/>
      <c r="I2" s="1493"/>
      <c r="J2" s="1493"/>
      <c r="K2" s="1493"/>
      <c r="L2" s="935" t="s">
        <v>79</v>
      </c>
      <c r="M2" s="809"/>
      <c r="N2" s="809"/>
    </row>
    <row r="3" spans="1:29" ht="15.6" x14ac:dyDescent="0.25">
      <c r="A3" s="63"/>
      <c r="B3" s="63"/>
      <c r="C3" s="63"/>
      <c r="E3" s="63"/>
      <c r="F3" s="63"/>
      <c r="G3" s="63"/>
      <c r="H3" s="63"/>
      <c r="I3" s="63"/>
      <c r="J3" s="63"/>
      <c r="K3" s="63"/>
      <c r="L3" s="63"/>
      <c r="M3" s="114"/>
      <c r="N3" s="114"/>
    </row>
    <row r="4" spans="1:29" ht="15.6" x14ac:dyDescent="0.25">
      <c r="A4" s="370" t="s">
        <v>2</v>
      </c>
      <c r="B4" s="370"/>
      <c r="C4" s="785"/>
      <c r="D4" s="810" t="s">
        <v>3</v>
      </c>
      <c r="E4" s="786" t="str">
        <f>ID!E4</f>
        <v>GNATUS</v>
      </c>
      <c r="G4" s="370"/>
      <c r="H4" s="370"/>
      <c r="I4" s="370"/>
      <c r="J4" s="370"/>
      <c r="K4" s="370"/>
      <c r="L4" s="370"/>
      <c r="M4" s="76"/>
      <c r="N4" s="76"/>
    </row>
    <row r="5" spans="1:29" ht="15.6" x14ac:dyDescent="0.25">
      <c r="A5" s="370" t="s">
        <v>4</v>
      </c>
      <c r="B5" s="370"/>
      <c r="C5" s="785"/>
      <c r="D5" s="810" t="s">
        <v>3</v>
      </c>
      <c r="E5" s="786" t="str">
        <f>ID!E5</f>
        <v>SYNCRUS LS</v>
      </c>
      <c r="G5" s="370"/>
      <c r="H5" s="370"/>
      <c r="I5" s="370"/>
      <c r="J5" s="370"/>
      <c r="K5" s="370"/>
      <c r="L5" s="370"/>
      <c r="M5" s="76"/>
      <c r="N5" s="76"/>
    </row>
    <row r="6" spans="1:29" ht="15.6" x14ac:dyDescent="0.25">
      <c r="A6" s="370" t="s">
        <v>5</v>
      </c>
      <c r="B6" s="370"/>
      <c r="C6" s="785"/>
      <c r="D6" s="810" t="s">
        <v>3</v>
      </c>
      <c r="E6" s="786" t="str">
        <f>ID!E6</f>
        <v>081298408556</v>
      </c>
      <c r="G6" s="787"/>
      <c r="H6" s="370"/>
      <c r="I6" s="370"/>
      <c r="J6" s="370"/>
      <c r="K6" s="370"/>
      <c r="L6" s="370"/>
      <c r="M6" s="76"/>
      <c r="N6" s="76"/>
    </row>
    <row r="7" spans="1:29" ht="14.1" customHeight="1" x14ac:dyDescent="0.25">
      <c r="A7" s="370" t="str">
        <f>ID!A7</f>
        <v>Tanggal Penerimaan Alat</v>
      </c>
      <c r="B7" s="370"/>
      <c r="C7" s="785"/>
      <c r="D7" s="810" t="s">
        <v>3</v>
      </c>
      <c r="E7" s="786" t="str">
        <f>ID!E7</f>
        <v>31 Januari 2020</v>
      </c>
      <c r="G7" s="370"/>
      <c r="H7" s="370"/>
      <c r="I7" s="370"/>
      <c r="J7" s="370"/>
      <c r="K7" s="370"/>
      <c r="L7" s="370"/>
      <c r="M7" s="76"/>
      <c r="N7" s="1554" t="str">
        <f>IF(H26="-",Q15,ID!Q25)</f>
        <v>G</v>
      </c>
      <c r="O7" s="1554"/>
      <c r="P7" s="1551" t="s">
        <v>43</v>
      </c>
      <c r="Q7" s="1551" t="s">
        <v>286</v>
      </c>
      <c r="R7" s="1551" t="s">
        <v>54</v>
      </c>
      <c r="S7" s="370"/>
      <c r="T7" s="1546" t="str">
        <f>IF(E16="-",T10,IF(H24="-",T11,IF(OR(H26="-",N7=Q15),T8,IF(OR(Q9&gt;R9,C26=T16),"",IF(H26&gt;J26,T9,"")))))</f>
        <v>Tidak dilakukan pengukuran kelistrikan dikarenakan alat tidak boleh di matikan</v>
      </c>
      <c r="U7" s="1546"/>
      <c r="V7" s="1546"/>
      <c r="W7" s="1546"/>
      <c r="X7" s="1546"/>
      <c r="Y7" s="1546"/>
      <c r="Z7" s="1546"/>
      <c r="AA7" s="1546"/>
      <c r="AB7" s="1546"/>
      <c r="AC7" s="422"/>
    </row>
    <row r="8" spans="1:29" ht="14.1" customHeight="1" x14ac:dyDescent="0.25">
      <c r="A8" s="370" t="s">
        <v>7</v>
      </c>
      <c r="B8" s="370"/>
      <c r="C8" s="785"/>
      <c r="D8" s="810" t="s">
        <v>3</v>
      </c>
      <c r="E8" s="786" t="str">
        <f>ID!E8</f>
        <v>32 Januari 2020</v>
      </c>
      <c r="G8" s="370"/>
      <c r="H8" s="370"/>
      <c r="I8" s="370"/>
      <c r="J8" s="370"/>
      <c r="K8" s="370"/>
      <c r="L8" s="370"/>
      <c r="M8" s="76"/>
      <c r="N8" s="1554"/>
      <c r="O8" s="1554"/>
      <c r="P8" s="1551"/>
      <c r="Q8" s="1551"/>
      <c r="R8" s="1551"/>
      <c r="S8" s="370"/>
      <c r="T8" s="1547" t="s">
        <v>380</v>
      </c>
      <c r="U8" s="1547"/>
      <c r="V8" s="1547"/>
      <c r="W8" s="1547"/>
      <c r="X8" s="1547"/>
      <c r="Y8" s="1547"/>
      <c r="Z8" s="1547"/>
      <c r="AA8" s="1547"/>
      <c r="AB8" s="1547"/>
      <c r="AC8" s="422"/>
    </row>
    <row r="9" spans="1:29" ht="15.6" x14ac:dyDescent="0.25">
      <c r="A9" s="370" t="s">
        <v>8</v>
      </c>
      <c r="B9" s="370"/>
      <c r="C9" s="785"/>
      <c r="D9" s="810" t="s">
        <v>3</v>
      </c>
      <c r="E9" s="786" t="str">
        <f>ID!E9</f>
        <v>LPFK BJB</v>
      </c>
      <c r="G9" s="370"/>
      <c r="H9" s="370"/>
      <c r="I9" s="370"/>
      <c r="J9" s="370"/>
      <c r="K9" s="370"/>
      <c r="L9" s="370"/>
      <c r="M9" s="76"/>
      <c r="N9" s="816" t="s">
        <v>297</v>
      </c>
      <c r="O9" s="945" t="s">
        <v>298</v>
      </c>
      <c r="P9" s="929">
        <f>ID!S27</f>
        <v>12</v>
      </c>
      <c r="Q9" s="946" t="e">
        <f>#REF!</f>
        <v>#REF!</v>
      </c>
      <c r="R9" s="947">
        <v>100</v>
      </c>
      <c r="S9" s="370"/>
      <c r="T9" s="1547" t="s">
        <v>381</v>
      </c>
      <c r="U9" s="1547"/>
      <c r="V9" s="1547"/>
      <c r="W9" s="1547"/>
      <c r="X9" s="1547"/>
      <c r="Y9" s="1547"/>
      <c r="Z9" s="1547"/>
      <c r="AA9" s="1547"/>
      <c r="AB9" s="1547"/>
      <c r="AC9" s="422"/>
    </row>
    <row r="10" spans="1:29" ht="15.6" x14ac:dyDescent="0.25">
      <c r="A10" s="370" t="s">
        <v>9</v>
      </c>
      <c r="B10" s="370"/>
      <c r="C10" s="785"/>
      <c r="D10" s="810" t="s">
        <v>3</v>
      </c>
      <c r="E10" s="786" t="str">
        <f>ID!E10</f>
        <v>LPFK BJB</v>
      </c>
      <c r="G10" s="370"/>
      <c r="H10" s="370"/>
      <c r="I10" s="370"/>
      <c r="J10" s="370"/>
      <c r="K10" s="370"/>
      <c r="L10" s="370"/>
      <c r="M10" s="76"/>
      <c r="N10" s="604"/>
      <c r="O10" s="604"/>
      <c r="P10" s="604"/>
      <c r="Q10" s="604"/>
      <c r="R10" s="604"/>
      <c r="S10" s="370"/>
      <c r="T10" s="950" t="s">
        <v>382</v>
      </c>
      <c r="U10" s="951"/>
      <c r="V10" s="951"/>
      <c r="W10" s="951"/>
      <c r="X10" s="951"/>
      <c r="Y10" s="951"/>
      <c r="Z10" s="951"/>
      <c r="AA10" s="951"/>
      <c r="AB10" s="952"/>
      <c r="AC10" s="883"/>
    </row>
    <row r="11" spans="1:29" ht="15.6" customHeight="1" x14ac:dyDescent="0.25">
      <c r="A11" s="370" t="s">
        <v>10</v>
      </c>
      <c r="B11" s="370"/>
      <c r="C11" s="785"/>
      <c r="D11" s="810" t="s">
        <v>3</v>
      </c>
      <c r="E11" s="788" t="s">
        <v>285</v>
      </c>
      <c r="G11" s="370"/>
      <c r="H11" s="370"/>
      <c r="I11" s="370"/>
      <c r="J11" s="370"/>
      <c r="K11" s="370"/>
      <c r="L11" s="370"/>
      <c r="M11" s="76"/>
      <c r="N11" s="604"/>
      <c r="O11" s="604"/>
      <c r="P11" s="604"/>
      <c r="Q11" s="604"/>
      <c r="R11" s="604"/>
      <c r="S11" s="370"/>
      <c r="T11" s="950" t="s">
        <v>383</v>
      </c>
      <c r="U11" s="951"/>
      <c r="V11" s="951"/>
      <c r="W11" s="951"/>
      <c r="X11" s="951"/>
      <c r="Y11" s="951"/>
      <c r="Z11" s="951"/>
      <c r="AA11" s="951"/>
      <c r="AB11" s="952"/>
      <c r="AC11" s="883"/>
    </row>
    <row r="12" spans="1:29" ht="15.6" customHeight="1" x14ac:dyDescent="0.25">
      <c r="A12" s="370"/>
      <c r="B12" s="370"/>
      <c r="C12" s="370"/>
      <c r="D12" s="811"/>
      <c r="E12" s="370"/>
      <c r="G12" s="370"/>
      <c r="H12" s="370"/>
      <c r="I12" s="370"/>
      <c r="J12" s="370"/>
      <c r="K12" s="370"/>
      <c r="L12" s="370"/>
      <c r="M12" s="76"/>
      <c r="N12" s="604"/>
      <c r="O12" s="604"/>
      <c r="P12" s="604"/>
      <c r="Q12" s="604"/>
      <c r="R12" s="604"/>
      <c r="S12" s="370"/>
      <c r="T12" s="1548" t="s">
        <v>257</v>
      </c>
      <c r="U12" s="1549"/>
      <c r="V12" s="1549"/>
      <c r="W12" s="1549"/>
      <c r="X12" s="1549"/>
      <c r="Y12" s="1549"/>
      <c r="Z12" s="1550"/>
      <c r="AA12" s="604"/>
      <c r="AB12" s="604"/>
      <c r="AC12" s="422"/>
    </row>
    <row r="13" spans="1:29" ht="15.6" x14ac:dyDescent="0.2">
      <c r="A13" s="789" t="s">
        <v>12</v>
      </c>
      <c r="B13" s="789" t="str">
        <f>ID!B13</f>
        <v>Kondisi Ruang</v>
      </c>
      <c r="C13" s="370"/>
      <c r="D13" s="811"/>
      <c r="E13" s="370"/>
      <c r="G13" s="370"/>
      <c r="H13" s="275"/>
      <c r="I13" s="370"/>
      <c r="J13" s="370"/>
      <c r="K13" s="370"/>
      <c r="L13" s="370"/>
      <c r="M13" s="76"/>
      <c r="N13" s="1551" t="s">
        <v>384</v>
      </c>
      <c r="O13" s="1552" t="s">
        <v>54</v>
      </c>
      <c r="P13" s="604"/>
      <c r="Q13" s="816" t="s">
        <v>385</v>
      </c>
      <c r="R13" s="604"/>
      <c r="S13" s="370"/>
      <c r="T13" s="901" t="s">
        <v>386</v>
      </c>
      <c r="U13" s="902"/>
      <c r="V13" s="902"/>
      <c r="W13" s="902"/>
      <c r="X13" s="902"/>
      <c r="Y13" s="903"/>
      <c r="Z13" s="816">
        <v>0.2</v>
      </c>
      <c r="AA13" s="604" t="s">
        <v>387</v>
      </c>
      <c r="AB13" s="904"/>
      <c r="AC13" s="422"/>
    </row>
    <row r="14" spans="1:29" ht="15.6" x14ac:dyDescent="0.2">
      <c r="A14" s="370"/>
      <c r="B14" s="370" t="s">
        <v>16</v>
      </c>
      <c r="C14" s="785"/>
      <c r="D14" s="810" t="s">
        <v>3</v>
      </c>
      <c r="E14" s="812" t="str">
        <f>'DB Thermohygro '!L345</f>
        <v>( 23.2 ± 0.3 ) °C</v>
      </c>
      <c r="G14" s="813"/>
      <c r="H14" s="245"/>
      <c r="I14" s="275"/>
      <c r="J14" s="370"/>
      <c r="K14" s="370"/>
      <c r="L14" s="370"/>
      <c r="M14" s="76"/>
      <c r="N14" s="1551"/>
      <c r="O14" s="1553"/>
      <c r="P14" s="604"/>
      <c r="Q14" s="816" t="s">
        <v>253</v>
      </c>
      <c r="R14" s="604"/>
      <c r="S14" s="370"/>
      <c r="T14" s="905" t="s">
        <v>294</v>
      </c>
      <c r="U14" s="906"/>
      <c r="V14" s="906"/>
      <c r="W14" s="906"/>
      <c r="X14" s="906"/>
      <c r="Y14" s="907"/>
      <c r="Z14" s="816">
        <v>0.3</v>
      </c>
      <c r="AA14" s="604" t="s">
        <v>388</v>
      </c>
      <c r="AB14" s="904"/>
      <c r="AC14" s="422"/>
    </row>
    <row r="15" spans="1:29" ht="15.6" x14ac:dyDescent="0.2">
      <c r="A15" s="370"/>
      <c r="B15" s="370" t="s">
        <v>18</v>
      </c>
      <c r="C15" s="785"/>
      <c r="D15" s="810" t="s">
        <v>3</v>
      </c>
      <c r="E15" s="812" t="str">
        <f>'DB Thermohygro '!L346</f>
        <v>( 56.3 ± 2.6 ) %RH</v>
      </c>
      <c r="G15" s="813"/>
      <c r="H15" s="245"/>
      <c r="I15" s="275"/>
      <c r="J15" s="370"/>
      <c r="K15" s="370"/>
      <c r="L15" s="370"/>
      <c r="M15" s="76"/>
      <c r="N15" s="946">
        <f>IF(OR(P9="",C26=T16,N7=Q15),H26,IF(H26&gt;J26,Q9,H26))</f>
        <v>26.62906803325836</v>
      </c>
      <c r="O15" s="948">
        <f>IF(OR(P9="",C26=T16,N7=Q15),J26,IF(H26&gt;J26,R9,J26))</f>
        <v>500</v>
      </c>
      <c r="P15" s="604"/>
      <c r="Q15" s="816" t="s">
        <v>289</v>
      </c>
      <c r="R15" s="604"/>
      <c r="S15" s="370"/>
      <c r="T15" s="908" t="s">
        <v>296</v>
      </c>
      <c r="U15" s="909"/>
      <c r="V15" s="909"/>
      <c r="W15" s="909"/>
      <c r="X15" s="909"/>
      <c r="Y15" s="907"/>
      <c r="Z15" s="816">
        <v>500</v>
      </c>
      <c r="AA15" s="904"/>
      <c r="AB15" s="904"/>
      <c r="AC15" s="422"/>
    </row>
    <row r="16" spans="1:29" ht="15.6" x14ac:dyDescent="0.2">
      <c r="A16" s="370"/>
      <c r="B16" s="370" t="s">
        <v>20</v>
      </c>
      <c r="C16" s="785"/>
      <c r="D16" s="810" t="s">
        <v>3</v>
      </c>
      <c r="E16" s="814" t="str">
        <f>IFERROR(ESA!N144,"-")</f>
        <v>( 219.1 ± 2.6 ) Volt</v>
      </c>
      <c r="F16" s="580"/>
      <c r="G16" s="370"/>
      <c r="H16" s="370"/>
      <c r="I16" s="370"/>
      <c r="J16" s="370"/>
      <c r="K16" s="370"/>
      <c r="L16" s="370"/>
      <c r="M16" s="76"/>
      <c r="N16" s="370"/>
      <c r="O16" s="370"/>
      <c r="P16" s="370"/>
      <c r="Q16" s="900"/>
      <c r="R16" s="370"/>
      <c r="S16" s="370"/>
      <c r="T16" s="908" t="s">
        <v>389</v>
      </c>
      <c r="U16" s="909"/>
      <c r="V16" s="909"/>
      <c r="W16" s="909"/>
      <c r="X16" s="909"/>
      <c r="Y16" s="907"/>
      <c r="Z16" s="816">
        <v>100</v>
      </c>
      <c r="AA16" s="904"/>
      <c r="AB16" s="904"/>
      <c r="AC16" s="422"/>
    </row>
    <row r="17" spans="1:32" ht="15.6" x14ac:dyDescent="0.25">
      <c r="A17" s="370"/>
      <c r="B17" s="370"/>
      <c r="C17" s="785"/>
      <c r="E17" s="791"/>
      <c r="F17" s="370"/>
      <c r="G17" s="370"/>
      <c r="H17" s="370"/>
      <c r="I17" s="370"/>
      <c r="J17" s="370"/>
      <c r="K17" s="370"/>
      <c r="L17" s="370"/>
      <c r="M17" s="76"/>
      <c r="N17" s="76"/>
    </row>
    <row r="18" spans="1:32" ht="16.2" x14ac:dyDescent="0.25">
      <c r="A18" s="789" t="s">
        <v>390</v>
      </c>
      <c r="B18" s="789" t="str">
        <f>ID!B19</f>
        <v>Pemeriksaan Kondisi Fisik dan Fungsi Alat</v>
      </c>
      <c r="C18" s="370"/>
      <c r="E18" s="370"/>
      <c r="F18" s="370"/>
      <c r="G18" s="370"/>
      <c r="H18" s="815"/>
      <c r="I18" s="370"/>
      <c r="J18" s="370"/>
      <c r="K18" s="370"/>
      <c r="L18" s="370"/>
      <c r="M18" s="76"/>
      <c r="N18" s="76"/>
    </row>
    <row r="19" spans="1:32" ht="16.2" x14ac:dyDescent="0.25">
      <c r="A19" s="789"/>
      <c r="B19" s="370" t="s">
        <v>24</v>
      </c>
      <c r="C19" s="785"/>
      <c r="D19" s="810" t="s">
        <v>3</v>
      </c>
      <c r="E19" s="786" t="str">
        <f>ID!$E$20</f>
        <v>Baik</v>
      </c>
      <c r="G19" s="370"/>
      <c r="H19" s="815"/>
      <c r="I19" s="370"/>
      <c r="J19" s="370"/>
      <c r="K19" s="370"/>
      <c r="L19" s="785"/>
      <c r="M19" s="76"/>
      <c r="N19" s="76"/>
      <c r="Y19" s="817">
        <f>IF(E19="Baik",5,0)</f>
        <v>5</v>
      </c>
    </row>
    <row r="20" spans="1:32" ht="16.2" x14ac:dyDescent="0.25">
      <c r="A20" s="370"/>
      <c r="B20" s="370" t="s">
        <v>26</v>
      </c>
      <c r="C20" s="785"/>
      <c r="D20" s="810" t="s">
        <v>3</v>
      </c>
      <c r="E20" s="786" t="str">
        <f>ID!$E$21</f>
        <v>Baik</v>
      </c>
      <c r="G20" s="370"/>
      <c r="H20" s="815"/>
      <c r="I20" s="370"/>
      <c r="J20" s="370"/>
      <c r="K20" s="370"/>
      <c r="L20" s="785"/>
      <c r="M20" s="828">
        <f>IF(H26="-",0,IF(H26&gt;=J26,0,IF(H26&lt;=J26,1)))</f>
        <v>1</v>
      </c>
      <c r="N20" s="76"/>
      <c r="Y20" s="817">
        <f>IF(E20="Baik",5,0)</f>
        <v>5</v>
      </c>
    </row>
    <row r="21" spans="1:32" ht="16.5" customHeight="1" x14ac:dyDescent="0.25">
      <c r="A21" s="370"/>
      <c r="B21" s="370"/>
      <c r="C21" s="370"/>
      <c r="E21" s="370"/>
      <c r="F21" s="792"/>
      <c r="G21" s="370"/>
      <c r="H21" s="815"/>
      <c r="I21" s="370"/>
      <c r="J21" s="370"/>
      <c r="K21" s="370"/>
      <c r="L21" s="785"/>
      <c r="M21" s="76"/>
      <c r="N21" s="76"/>
      <c r="Y21" s="818">
        <f>SUM(Y19:Y20)</f>
        <v>10</v>
      </c>
    </row>
    <row r="22" spans="1:32" ht="16.5" customHeight="1" x14ac:dyDescent="0.25">
      <c r="A22" s="789" t="s">
        <v>27</v>
      </c>
      <c r="B22" s="789" t="str">
        <f>ID!B23</f>
        <v xml:space="preserve">Pengujian keselamatan listrik </v>
      </c>
      <c r="C22" s="370"/>
      <c r="E22" s="370"/>
      <c r="F22" s="792"/>
      <c r="G22" s="370"/>
      <c r="H22" s="815"/>
      <c r="I22" s="370"/>
      <c r="J22" s="370"/>
      <c r="K22" s="370"/>
      <c r="L22" s="785"/>
      <c r="M22" s="76"/>
    </row>
    <row r="23" spans="1:32" ht="30" customHeight="1" x14ac:dyDescent="0.25">
      <c r="B23" s="819" t="s">
        <v>29</v>
      </c>
      <c r="C23" s="1505" t="s">
        <v>30</v>
      </c>
      <c r="D23" s="1508"/>
      <c r="E23" s="1508"/>
      <c r="F23" s="1508"/>
      <c r="G23" s="1506"/>
      <c r="H23" s="1505" t="s">
        <v>31</v>
      </c>
      <c r="I23" s="1506"/>
      <c r="J23" s="1505" t="s">
        <v>32</v>
      </c>
      <c r="K23" s="1506"/>
      <c r="L23" s="785"/>
      <c r="M23" s="76"/>
      <c r="N23" s="76"/>
      <c r="T23" s="820"/>
      <c r="U23" s="821"/>
    </row>
    <row r="24" spans="1:32" ht="21" customHeight="1" x14ac:dyDescent="0.25">
      <c r="B24" s="794">
        <v>1</v>
      </c>
      <c r="C24" s="1495" t="s">
        <v>33</v>
      </c>
      <c r="D24" s="1496"/>
      <c r="E24" s="1496"/>
      <c r="F24" s="1496"/>
      <c r="G24" s="1497"/>
      <c r="H24" s="1692" t="str">
        <f>ESA!P138</f>
        <v>-</v>
      </c>
      <c r="I24" s="822" t="str">
        <f>IF(H24="-","",IF(H24="OL","","MΩ"))</f>
        <v/>
      </c>
      <c r="J24" s="911">
        <f>ID!J25</f>
        <v>2</v>
      </c>
      <c r="K24" s="186" t="s">
        <v>36</v>
      </c>
      <c r="L24" s="823"/>
      <c r="O24" s="76"/>
      <c r="P24" s="76"/>
      <c r="R24" s="885"/>
      <c r="T24" s="824"/>
      <c r="U24" s="825"/>
      <c r="W24" s="826"/>
      <c r="Y24" s="949">
        <f>IF(OR(H24="-",H24="OL",H24="OR",H24="NC",H24&gt;J24),10,0)</f>
        <v>10</v>
      </c>
      <c r="AA24" s="827"/>
    </row>
    <row r="25" spans="1:32" ht="21" customHeight="1" x14ac:dyDescent="0.25">
      <c r="B25" s="794">
        <v>2</v>
      </c>
      <c r="C25" s="1498" t="str">
        <f>ID!C26</f>
        <v>Resistansi Pembumian Protektif (kabel tidak dapat dilepas)</v>
      </c>
      <c r="D25" s="1499"/>
      <c r="E25" s="1499"/>
      <c r="F25" s="1499"/>
      <c r="G25" s="1500"/>
      <c r="H25" s="1691">
        <f>ESA!P139</f>
        <v>9.7863002806631766E-2</v>
      </c>
      <c r="I25" s="822" t="str">
        <f>IF(H25="-","",IF(H25="OL","","Ω"))</f>
        <v>Ω</v>
      </c>
      <c r="J25" s="910">
        <f>ID!J26</f>
        <v>0.3</v>
      </c>
      <c r="K25" s="186" t="s">
        <v>38</v>
      </c>
      <c r="L25" s="823"/>
      <c r="O25" s="76"/>
      <c r="P25" s="76"/>
      <c r="R25" s="885"/>
      <c r="Y25" s="949">
        <f>IF(OR(H25="-",H25="OL",H25="OR",H25="NC",H25&lt;=J25,E26=T16),10,0)</f>
        <v>10</v>
      </c>
      <c r="AA25" s="827"/>
    </row>
    <row r="26" spans="1:32" ht="21" customHeight="1" x14ac:dyDescent="0.25">
      <c r="B26" s="794">
        <v>3</v>
      </c>
      <c r="C26" s="1501" t="str">
        <f>ID!C27</f>
        <v>Arus bocor peralatan untuk peralatan elektromedik kelas I</v>
      </c>
      <c r="D26" s="1502"/>
      <c r="E26" s="1502"/>
      <c r="F26" s="1502"/>
      <c r="G26" s="1503"/>
      <c r="H26" s="822">
        <f>ESA!P140</f>
        <v>26.62906803325836</v>
      </c>
      <c r="I26" s="822" t="str">
        <f>IF(PENYELIA!H26="-","",IF(PENYELIA!H26="OL","","µA"))</f>
        <v>µA</v>
      </c>
      <c r="J26" s="888">
        <f>ID!J27</f>
        <v>500</v>
      </c>
      <c r="K26" s="186" t="s">
        <v>43</v>
      </c>
      <c r="O26" s="76"/>
      <c r="P26" s="76"/>
      <c r="R26" s="422"/>
      <c r="Y26" s="949">
        <f>IF(N15&lt;=O15,20,0)</f>
        <v>20</v>
      </c>
      <c r="AA26" s="827"/>
    </row>
    <row r="27" spans="1:32" ht="21" hidden="1" customHeight="1" x14ac:dyDescent="0.25">
      <c r="B27" s="794">
        <v>4</v>
      </c>
      <c r="C27" s="1504" t="s">
        <v>47</v>
      </c>
      <c r="D27" s="1504"/>
      <c r="E27" s="1504"/>
      <c r="F27" s="1504"/>
      <c r="G27" s="1504"/>
      <c r="H27" s="829">
        <v>2</v>
      </c>
      <c r="I27" s="822" t="str">
        <f>IF(H27="-","",IF(H27="OL","","µA"))</f>
        <v>µA</v>
      </c>
      <c r="J27" s="888" t="e">
        <f>ID!#REF!</f>
        <v>#REF!</v>
      </c>
      <c r="K27" s="186" t="s">
        <v>43</v>
      </c>
      <c r="L27" s="823" t="e">
        <f>#REF!</f>
        <v>#REF!</v>
      </c>
      <c r="O27" s="76"/>
      <c r="P27" s="76"/>
      <c r="R27" s="885">
        <v>50</v>
      </c>
      <c r="Y27" s="884"/>
    </row>
    <row r="28" spans="1:32" ht="16.2" x14ac:dyDescent="0.25">
      <c r="A28" s="370"/>
      <c r="B28" s="830"/>
      <c r="C28" s="370"/>
      <c r="E28" s="370"/>
      <c r="F28" s="792"/>
      <c r="G28" s="370"/>
      <c r="H28" s="831"/>
      <c r="I28" s="830"/>
      <c r="J28" s="370"/>
      <c r="K28" s="370"/>
      <c r="L28" s="370"/>
      <c r="O28" s="76"/>
      <c r="P28" s="76"/>
      <c r="R28" s="882"/>
      <c r="Y28" s="942">
        <f>IF(OR(H26="-",Y26=20),SUM(Y24:Y26),0)</f>
        <v>40</v>
      </c>
      <c r="AA28" s="827"/>
    </row>
    <row r="29" spans="1:32" ht="15.6" x14ac:dyDescent="0.25">
      <c r="A29" s="801" t="s">
        <v>49</v>
      </c>
      <c r="B29" s="801" t="str">
        <f>ID!B29</f>
        <v>Pengujian Kinerja</v>
      </c>
      <c r="C29" s="370"/>
      <c r="E29" s="370"/>
      <c r="F29" s="370"/>
      <c r="G29" s="370"/>
      <c r="H29" s="370"/>
      <c r="I29" s="370"/>
      <c r="J29" s="370"/>
      <c r="K29" s="370"/>
      <c r="L29" s="370"/>
      <c r="M29" s="76"/>
      <c r="N29" s="76"/>
    </row>
    <row r="30" spans="1:32" ht="15" customHeight="1" x14ac:dyDescent="0.25">
      <c r="B30" s="1521" t="s">
        <v>51</v>
      </c>
      <c r="C30" s="1523" t="s">
        <v>30</v>
      </c>
      <c r="D30" s="1524"/>
      <c r="E30" s="1527" t="s">
        <v>300</v>
      </c>
      <c r="F30" s="1527" t="s">
        <v>53</v>
      </c>
      <c r="G30" s="1521" t="s">
        <v>54</v>
      </c>
      <c r="H30" s="1529" t="s">
        <v>391</v>
      </c>
      <c r="I30" s="1530"/>
      <c r="K30" s="370"/>
      <c r="W30" s="899"/>
      <c r="X30" s="1527" t="s">
        <v>392</v>
      </c>
      <c r="AB30" s="1537" t="s">
        <v>143</v>
      </c>
      <c r="AC30" s="1533" t="s">
        <v>391</v>
      </c>
      <c r="AD30" s="1534"/>
      <c r="AF30" s="1443"/>
    </row>
    <row r="31" spans="1:32" ht="15" customHeight="1" x14ac:dyDescent="0.25">
      <c r="B31" s="1522"/>
      <c r="C31" s="1525"/>
      <c r="D31" s="1526"/>
      <c r="E31" s="1528"/>
      <c r="F31" s="1528"/>
      <c r="G31" s="1522"/>
      <c r="H31" s="1531"/>
      <c r="I31" s="1532"/>
      <c r="K31" s="370"/>
      <c r="W31" s="816">
        <f>SUM(W32+W33)</f>
        <v>2</v>
      </c>
      <c r="X31" s="1528"/>
      <c r="AB31" s="1538"/>
      <c r="AC31" s="1535"/>
      <c r="AD31" s="1536"/>
      <c r="AF31" s="1443"/>
    </row>
    <row r="32" spans="1:32" ht="21" customHeight="1" x14ac:dyDescent="0.25">
      <c r="B32" s="802">
        <v>1</v>
      </c>
      <c r="C32" s="1438" t="s">
        <v>302</v>
      </c>
      <c r="D32" s="1438"/>
      <c r="E32" s="832" t="str">
        <f>LK!D35</f>
        <v>Maks</v>
      </c>
      <c r="F32" s="833">
        <f>IFERROR(ID!L32,"-")</f>
        <v>8</v>
      </c>
      <c r="G32" s="839" t="str">
        <f>IF(F32="-","-",LK!K35)</f>
        <v>≥ 7.5 Klux</v>
      </c>
      <c r="H32" s="834" t="str">
        <f t="shared" ref="H32:H37" si="0">IF(I32="-","","±")</f>
        <v>±</v>
      </c>
      <c r="I32" s="835">
        <f>IFERROR(AD32,"-")</f>
        <v>0.57982691537132647</v>
      </c>
      <c r="K32" s="370"/>
      <c r="W32" s="836">
        <f>IF(X32&gt;=7.5,1,0)</f>
        <v>1</v>
      </c>
      <c r="X32" s="837">
        <f>IFERROR(F32,"-")</f>
        <v>8</v>
      </c>
      <c r="Y32" s="1537">
        <f>IF(W31&gt;=1.5,50,0)</f>
        <v>50</v>
      </c>
      <c r="Z32" s="1520"/>
      <c r="AB32" s="937">
        <f>'Input Data Lux'!D110</f>
        <v>0</v>
      </c>
      <c r="AC32" s="938" t="s">
        <v>393</v>
      </c>
      <c r="AD32" s="939">
        <f>ABS(UNCERT!L14)</f>
        <v>0.57982691537132647</v>
      </c>
      <c r="AF32" s="245"/>
    </row>
    <row r="33" spans="1:32" ht="25.5" customHeight="1" x14ac:dyDescent="0.25">
      <c r="B33" s="1543">
        <v>2</v>
      </c>
      <c r="C33" s="1539" t="s">
        <v>66</v>
      </c>
      <c r="D33" s="1540"/>
      <c r="E33" s="832" t="s">
        <v>67</v>
      </c>
      <c r="F33" s="944">
        <f>IF(ID!E33="OL","&gt;95000",IF(ID!E33="-","-",ID!L33))</f>
        <v>98996.832154345582</v>
      </c>
      <c r="G33" s="839" t="str">
        <f>IF(F33="-","-",LK!K37)</f>
        <v>≥ 40.000 rpm</v>
      </c>
      <c r="H33" s="840" t="str">
        <f t="shared" si="0"/>
        <v>±</v>
      </c>
      <c r="I33" s="841">
        <f>IF(ID!E33="OL",'Input Data Tachometer'!$AJ$23,IF(ID!E33="-","-",AD33))</f>
        <v>1.4753441569535941</v>
      </c>
      <c r="K33" s="370"/>
      <c r="W33" s="817">
        <f>IF(X33="-","0",IF(X33&gt;=40000,1,IF(X33&lt;=40000,0)))</f>
        <v>1</v>
      </c>
      <c r="X33" s="837">
        <f>IFERROR(F33,"-")</f>
        <v>98996.832154345582</v>
      </c>
      <c r="Y33" s="1545"/>
      <c r="Z33" s="1520"/>
      <c r="AB33" s="937">
        <f>'Input Data Tachometer'!AH28</f>
        <v>0</v>
      </c>
      <c r="AC33" s="938" t="s">
        <v>393</v>
      </c>
      <c r="AD33" s="939">
        <f>UNCERT!X26</f>
        <v>1.4753441569535941</v>
      </c>
      <c r="AF33" s="245"/>
    </row>
    <row r="34" spans="1:32" ht="25.5" customHeight="1" x14ac:dyDescent="0.25">
      <c r="B34" s="1544"/>
      <c r="C34" s="1541"/>
      <c r="D34" s="1542"/>
      <c r="E34" s="832" t="str">
        <f>LK!D39</f>
        <v>Low Speed Maks</v>
      </c>
      <c r="F34" s="944">
        <f>IF(ID!E34="OL","&gt;95000",IF(ID!E34="-","-",ID!L34))</f>
        <v>29999.020942907177</v>
      </c>
      <c r="G34" s="839" t="str">
        <f>IF(F34="-","-",LK!K39)</f>
        <v>≥ 20.000 rpm</v>
      </c>
      <c r="H34" s="840" t="str">
        <f t="shared" si="0"/>
        <v>±</v>
      </c>
      <c r="I34" s="835">
        <f>IF(ID!E34="OL",'Input Data Tachometer'!AA23,IF(ID!E34="-","-",AD34))</f>
        <v>0.63315630236251208</v>
      </c>
      <c r="K34" s="370"/>
      <c r="W34" s="817">
        <f>IF(X34="-","1",IF(X34&gt;=20000,1,IF(X34&lt;=20000,0)))</f>
        <v>1</v>
      </c>
      <c r="X34" s="837">
        <f>IFERROR(F34,"-")</f>
        <v>29999.020942907177</v>
      </c>
      <c r="Y34" s="1545"/>
      <c r="Z34" s="1520"/>
      <c r="AB34" s="937">
        <f>'Input Data Tachometer'!Y28</f>
        <v>0</v>
      </c>
      <c r="AC34" s="938" t="s">
        <v>393</v>
      </c>
      <c r="AD34" s="939">
        <f>'Input Data Tachometer'!AA28</f>
        <v>0.63315630236251208</v>
      </c>
      <c r="AF34" s="245"/>
    </row>
    <row r="35" spans="1:32" ht="30" customHeight="1" x14ac:dyDescent="0.25">
      <c r="B35" s="805">
        <v>3</v>
      </c>
      <c r="C35" s="1518" t="s">
        <v>71</v>
      </c>
      <c r="D35" s="1518"/>
      <c r="E35" s="832" t="s">
        <v>63</v>
      </c>
      <c r="F35" s="833">
        <f>IFERROR(ID!L35,"-")</f>
        <v>5.9967018600153557</v>
      </c>
      <c r="G35" s="1693" t="str">
        <f>IF(F35="-","-",LK!K41)</f>
        <v>10 %</v>
      </c>
      <c r="H35" s="840" t="str">
        <f t="shared" si="0"/>
        <v>±</v>
      </c>
      <c r="I35" s="835">
        <f>IFERROR(AD35,"-")</f>
        <v>4.8349445956609483</v>
      </c>
      <c r="K35" s="842"/>
      <c r="R35" s="843"/>
      <c r="S35" s="844"/>
      <c r="W35" s="836">
        <f>IF(AND(X35&lt;=-10,X35&gt;=0),1,IF(AND(X35&gt;=0,X35&lt;=10),1,0))</f>
        <v>1</v>
      </c>
      <c r="X35" s="837">
        <f>IFERROR(F35,"-")</f>
        <v>5.9967018600153557</v>
      </c>
      <c r="Y35" s="1545"/>
      <c r="Z35" s="941"/>
      <c r="AB35" s="937">
        <f>IF(F35="-","-",ID!M35/PENYELIA!F35)*100</f>
        <v>0</v>
      </c>
      <c r="AC35" s="938" t="s">
        <v>393</v>
      </c>
      <c r="AD35" s="939">
        <f>UNCERT!X14</f>
        <v>4.8349445956609483</v>
      </c>
      <c r="AF35" s="245"/>
    </row>
    <row r="36" spans="1:32" ht="30" customHeight="1" x14ac:dyDescent="0.25">
      <c r="B36" s="806">
        <v>4</v>
      </c>
      <c r="C36" s="1518" t="s">
        <v>303</v>
      </c>
      <c r="D36" s="1518"/>
      <c r="E36" s="832" t="str">
        <f>LK!D43</f>
        <v>Maks</v>
      </c>
      <c r="F36" s="1216">
        <f>IFERROR(ID!L36,"-")</f>
        <v>601.9</v>
      </c>
      <c r="G36" s="839" t="str">
        <f>IF(F36="-","-",LK!K43)</f>
        <v>≥ 100 mmHg</v>
      </c>
      <c r="H36" s="840" t="str">
        <f t="shared" si="0"/>
        <v>±</v>
      </c>
      <c r="I36" s="835">
        <f>IFERROR(AD36,"-")</f>
        <v>0.57448515287626611</v>
      </c>
      <c r="K36" s="845" t="str">
        <f>IF(X36="-","X","")</f>
        <v/>
      </c>
      <c r="V36" s="153">
        <f>IFERROR(ABS(F36),"-")</f>
        <v>601.9</v>
      </c>
      <c r="W36" s="817">
        <f>IF(V36="-",0,IF(V36&gt;=100,1,IF(V36&lt;=100,0)))</f>
        <v>1</v>
      </c>
      <c r="X36" s="837">
        <f>F36</f>
        <v>601.9</v>
      </c>
      <c r="Y36" s="1545"/>
      <c r="AB36" s="940">
        <f>IF(F36="-","-",' Input Data Tekanan Hisap'!D139)</f>
        <v>0</v>
      </c>
      <c r="AC36" s="938" t="s">
        <v>393</v>
      </c>
      <c r="AD36" s="939">
        <f>IF(AB36="-","-",UNCERT!L38)</f>
        <v>0.57448515287626611</v>
      </c>
      <c r="AF36" s="245"/>
    </row>
    <row r="37" spans="1:32" ht="30" customHeight="1" x14ac:dyDescent="0.25">
      <c r="B37" s="806">
        <v>5</v>
      </c>
      <c r="C37" s="1518" t="s">
        <v>394</v>
      </c>
      <c r="D37" s="1518"/>
      <c r="E37" s="832" t="str">
        <f>LK!D45</f>
        <v>Maks</v>
      </c>
      <c r="F37" s="1217">
        <f>IFERROR(ID!L37,"-")</f>
        <v>130.56319999999999</v>
      </c>
      <c r="G37" s="839" t="str">
        <f>IF(F37="-","-",LK!K45)</f>
        <v>≥ 100 mmHg</v>
      </c>
      <c r="H37" s="840" t="str">
        <f t="shared" si="0"/>
        <v>±</v>
      </c>
      <c r="I37" s="835">
        <f>IFERROR(AD37,"-")</f>
        <v>0.66913769696021774</v>
      </c>
      <c r="K37" s="845" t="str">
        <f>IF(X37="-","X","")</f>
        <v/>
      </c>
      <c r="V37" s="153">
        <f>IFERROR(ABS(F37),"-")</f>
        <v>130.56319999999999</v>
      </c>
      <c r="W37" s="817">
        <f>IF(V37="-",0,IF(V37&lt;=100,0,IF(V37&gt;=100,1)))</f>
        <v>1</v>
      </c>
      <c r="X37" s="837">
        <f>F37</f>
        <v>130.56319999999999</v>
      </c>
      <c r="Y37" s="1538"/>
      <c r="Z37" s="580"/>
      <c r="AB37" s="940">
        <f>IF(F37="-","-",' Input Data Tekanan Hisap'!K139)</f>
        <v>0.31268250966877575</v>
      </c>
      <c r="AC37" s="938" t="s">
        <v>393</v>
      </c>
      <c r="AD37" s="939">
        <f>IF(AB37="-","-",UNCERT!X38)</f>
        <v>0.66913769696021774</v>
      </c>
      <c r="AF37" s="245"/>
    </row>
    <row r="38" spans="1:32" ht="15.6" x14ac:dyDescent="0.25">
      <c r="A38" s="255"/>
      <c r="B38" s="244"/>
      <c r="C38" s="244"/>
      <c r="E38" s="256"/>
      <c r="F38" s="257"/>
      <c r="G38" s="257"/>
      <c r="H38" s="257"/>
      <c r="I38" s="257"/>
      <c r="J38" s="257"/>
      <c r="K38" s="257"/>
      <c r="L38" s="258"/>
      <c r="M38" s="157"/>
      <c r="N38" s="157"/>
    </row>
    <row r="39" spans="1:32" ht="15.6" x14ac:dyDescent="0.25">
      <c r="A39" s="252" t="s">
        <v>77</v>
      </c>
      <c r="B39" s="252" t="s">
        <v>78</v>
      </c>
      <c r="C39" s="244"/>
      <c r="D39" s="846"/>
      <c r="E39" s="244"/>
      <c r="F39" s="244"/>
      <c r="G39" s="244"/>
      <c r="H39" s="244"/>
      <c r="I39" s="244"/>
      <c r="J39" s="244"/>
      <c r="K39" s="244"/>
      <c r="L39" s="244"/>
      <c r="M39" s="156"/>
      <c r="N39" s="367"/>
    </row>
    <row r="40" spans="1:32" ht="15.6" x14ac:dyDescent="0.25">
      <c r="A40" s="252"/>
      <c r="B40" s="312" t="str">
        <f>ID!B40</f>
        <v>Ketidakpastian pengukuran dilaporkan pada tingkat kepercayaan 95% dengan faktor cakupan (k) = 2</v>
      </c>
      <c r="C40" s="244"/>
      <c r="D40" s="846"/>
      <c r="E40" s="244"/>
      <c r="F40" s="244"/>
      <c r="G40" s="244"/>
      <c r="H40" s="244"/>
      <c r="I40" s="244"/>
      <c r="J40" s="244"/>
      <c r="K40" s="244"/>
      <c r="L40" s="244"/>
      <c r="M40" s="156"/>
    </row>
    <row r="41" spans="1:32" ht="15.6" x14ac:dyDescent="0.25">
      <c r="A41" s="252"/>
      <c r="B41" s="312" t="str">
        <f>ID!B41</f>
        <v>Ketidakpastian pengukuran Ilumination dan Tekanan Semprot Udara dari ketidakpastian tipe A dan Tipe B</v>
      </c>
      <c r="C41" s="244"/>
      <c r="D41" s="846"/>
      <c r="E41" s="244"/>
      <c r="F41" s="244"/>
      <c r="G41" s="244"/>
      <c r="H41" s="244"/>
      <c r="I41" s="244"/>
      <c r="J41" s="244"/>
      <c r="K41" s="244"/>
      <c r="L41" s="244"/>
      <c r="M41" s="156"/>
      <c r="N41" s="156"/>
    </row>
    <row r="42" spans="1:32" ht="15.6" x14ac:dyDescent="0.25">
      <c r="A42" s="252"/>
      <c r="B42" s="312" t="str">
        <f>ID!B42</f>
        <v>Hasil pengujian Keselamatan Listrik tertelusur ke Satuan Internasional ( SI ) melalui PT. Kaliman</v>
      </c>
      <c r="C42" s="244"/>
      <c r="D42" s="846"/>
      <c r="E42" s="244"/>
      <c r="F42" s="244"/>
      <c r="G42" s="244"/>
      <c r="H42" s="244"/>
      <c r="I42" s="244"/>
      <c r="J42" s="244"/>
      <c r="K42" s="244"/>
      <c r="L42" s="244"/>
      <c r="M42" s="156"/>
      <c r="N42" s="156"/>
    </row>
    <row r="43" spans="1:32" ht="15.6" x14ac:dyDescent="0.25">
      <c r="A43" s="252"/>
      <c r="B43" s="312" t="str">
        <f>ID!B43</f>
        <v>Hasil pengujian Illumination tertelusur ke Satuan Internasional ( SI ) melalui Pusat Penelitian Metrologi - LIPI</v>
      </c>
      <c r="C43" s="239"/>
      <c r="D43" s="846"/>
      <c r="E43" s="239"/>
      <c r="F43" s="239"/>
      <c r="G43" s="239"/>
      <c r="H43" s="239"/>
      <c r="I43" s="239"/>
      <c r="J43" s="239"/>
      <c r="K43" s="239"/>
      <c r="L43" s="239"/>
      <c r="M43" s="155"/>
      <c r="N43" s="155"/>
    </row>
    <row r="44" spans="1:32" ht="15.6" x14ac:dyDescent="0.25">
      <c r="A44" s="252"/>
      <c r="B44" s="312" t="str">
        <f>ID!B44</f>
        <v>Hasil pengujian Kecepatan Bor Gigi tertelusur ke Satuan Internasional ( SI ) PT. Kaliman</v>
      </c>
      <c r="C44" s="259"/>
      <c r="D44" s="846"/>
      <c r="E44" s="259"/>
      <c r="F44" s="259"/>
      <c r="G44" s="259"/>
      <c r="H44" s="259"/>
      <c r="I44" s="259"/>
      <c r="J44" s="259"/>
      <c r="K44" s="259"/>
      <c r="L44" s="259"/>
      <c r="M44" s="211"/>
      <c r="N44" s="211"/>
    </row>
    <row r="45" spans="1:32" ht="15.6" x14ac:dyDescent="0.25">
      <c r="A45" s="252"/>
      <c r="B45" s="312" t="str">
        <f>ID!B45</f>
        <v>Hasil pengujian Tekanan Semprot tertelusur ke Satuan Internasional ( SI ) melalui PT. Kaliman</v>
      </c>
      <c r="C45" s="244"/>
      <c r="D45" s="846"/>
      <c r="E45" s="244"/>
      <c r="F45" s="244"/>
      <c r="G45" s="244"/>
      <c r="H45" s="244"/>
      <c r="I45" s="244"/>
      <c r="J45" s="244"/>
      <c r="K45" s="244"/>
      <c r="L45" s="244"/>
      <c r="M45" s="156"/>
      <c r="N45" s="156"/>
    </row>
    <row r="46" spans="1:32" ht="15.6" x14ac:dyDescent="0.25">
      <c r="A46" s="252"/>
      <c r="B46" s="312" t="str">
        <f>ID!B46</f>
        <v xml:space="preserve">Hasil pengujian Tekanan Hisap tertelusur ke Satuan Internasional ( SI ) melalui PT. Kaliman </v>
      </c>
      <c r="C46" s="244"/>
      <c r="D46" s="846"/>
      <c r="E46" s="244"/>
      <c r="F46" s="244"/>
      <c r="G46" s="244"/>
      <c r="H46" s="244"/>
      <c r="I46" s="244"/>
      <c r="J46" s="244"/>
      <c r="K46" s="244"/>
      <c r="L46" s="244"/>
      <c r="M46" s="156"/>
      <c r="N46" s="156"/>
    </row>
    <row r="47" spans="1:32" ht="15.6" x14ac:dyDescent="0.25">
      <c r="A47" s="252"/>
      <c r="B47" s="1519" t="str">
        <f>ID!B47</f>
        <v>Tidak dilakukan pengukuran kelistrikan dikarenakan alat tidak boleh di matikan</v>
      </c>
      <c r="C47" s="1519"/>
      <c r="D47" s="1519"/>
      <c r="E47" s="1519"/>
      <c r="F47" s="1519"/>
      <c r="G47" s="1519"/>
      <c r="H47" s="1519"/>
      <c r="I47" s="1519"/>
      <c r="J47" s="244"/>
      <c r="K47" s="244"/>
      <c r="L47" s="244"/>
      <c r="M47" s="156"/>
      <c r="N47" s="156"/>
    </row>
    <row r="48" spans="1:32" ht="15.6" x14ac:dyDescent="0.25">
      <c r="A48" s="252"/>
      <c r="B48" s="1519"/>
      <c r="C48" s="1519"/>
      <c r="D48" s="1519"/>
      <c r="E48" s="1519"/>
      <c r="F48" s="1519"/>
      <c r="G48" s="1519"/>
      <c r="H48" s="1519"/>
      <c r="I48" s="1519"/>
      <c r="J48" s="244"/>
      <c r="K48" s="244"/>
      <c r="L48" s="244"/>
      <c r="M48" s="156"/>
      <c r="N48" s="156"/>
    </row>
    <row r="49" spans="1:16" ht="15.6" x14ac:dyDescent="0.25">
      <c r="A49" s="252"/>
      <c r="B49" s="312"/>
      <c r="C49" s="244"/>
      <c r="D49" s="846"/>
      <c r="E49" s="244"/>
      <c r="F49" s="244"/>
      <c r="G49" s="244"/>
      <c r="H49" s="244"/>
      <c r="I49" s="244"/>
      <c r="J49" s="244"/>
      <c r="K49" s="244"/>
      <c r="L49" s="244"/>
      <c r="M49" s="156"/>
      <c r="N49" s="156"/>
    </row>
    <row r="50" spans="1:16" ht="15.6" x14ac:dyDescent="0.25">
      <c r="A50" s="252" t="s">
        <v>84</v>
      </c>
      <c r="B50" s="260" t="str">
        <f>ID!B50</f>
        <v>Alat Ukur Yang Digunakan</v>
      </c>
      <c r="C50" s="239"/>
      <c r="D50" s="846"/>
      <c r="E50" s="239"/>
      <c r="F50" s="239"/>
      <c r="G50" s="239"/>
      <c r="H50" s="239"/>
      <c r="I50" s="239"/>
      <c r="J50" s="239"/>
      <c r="K50" s="239"/>
      <c r="L50" s="239"/>
      <c r="M50" s="155"/>
      <c r="N50" s="155"/>
    </row>
    <row r="51" spans="1:16" ht="15.6" x14ac:dyDescent="0.25">
      <c r="A51" s="261"/>
      <c r="B51" s="262" t="str">
        <f>ID!B51:J51</f>
        <v>Digital Tachometer, Merek : Krisbow, Model : KW06-563, SN : 180812200</v>
      </c>
      <c r="C51" s="262"/>
      <c r="D51" s="846"/>
      <c r="E51" s="262"/>
      <c r="F51" s="262"/>
      <c r="G51" s="262"/>
      <c r="H51" s="262"/>
      <c r="I51" s="262"/>
      <c r="J51" s="262"/>
      <c r="K51" s="239"/>
      <c r="L51" s="239"/>
      <c r="M51" s="155"/>
      <c r="N51" s="155"/>
      <c r="P51" s="580"/>
    </row>
    <row r="52" spans="1:16" ht="15.6" x14ac:dyDescent="0.25">
      <c r="A52" s="261"/>
      <c r="B52" s="262" t="str">
        <f>ID!B52:J52</f>
        <v>Electrical Safety Analyzer, Merek : Fluke, Model : ESA 615, SN : 3148908</v>
      </c>
      <c r="C52" s="262"/>
      <c r="D52" s="846"/>
      <c r="E52" s="262"/>
      <c r="F52" s="262"/>
      <c r="G52" s="262"/>
      <c r="H52" s="262"/>
      <c r="I52" s="262"/>
      <c r="J52" s="262"/>
      <c r="K52" s="239"/>
      <c r="L52" s="239"/>
      <c r="M52" s="155"/>
      <c r="N52" s="155"/>
    </row>
    <row r="53" spans="1:16" ht="15.6" x14ac:dyDescent="0.25">
      <c r="A53" s="261"/>
      <c r="B53" s="262" t="str">
        <f>ID!B53:J53</f>
        <v>Digital Lux Meter, Merek : EXTECH, Model : Easy View 30, SN : 110705875</v>
      </c>
      <c r="C53" s="262"/>
      <c r="D53" s="846"/>
      <c r="E53" s="262"/>
      <c r="F53" s="262"/>
      <c r="G53" s="262"/>
      <c r="H53" s="262"/>
      <c r="I53" s="262"/>
      <c r="J53" s="262"/>
      <c r="K53" s="239"/>
      <c r="L53" s="239"/>
      <c r="M53" s="155"/>
      <c r="N53" s="155"/>
    </row>
    <row r="54" spans="1:16" ht="15.6" x14ac:dyDescent="0.25">
      <c r="A54" s="261"/>
      <c r="B54" s="262" t="str">
        <f>ID!B54:J54</f>
        <v>Digital Pressure Meter, Merek : Fluke, Model : DPM4 2G, SN : 4821027</v>
      </c>
      <c r="C54" s="262"/>
      <c r="D54" s="846"/>
      <c r="E54" s="262"/>
      <c r="F54" s="262"/>
      <c r="G54" s="262"/>
      <c r="H54" s="262"/>
      <c r="I54" s="262"/>
      <c r="J54" s="262"/>
      <c r="K54" s="263"/>
      <c r="L54" s="263"/>
      <c r="M54" s="158"/>
      <c r="N54" s="155"/>
    </row>
    <row r="55" spans="1:16" ht="15.6" x14ac:dyDescent="0.25">
      <c r="A55" s="261"/>
      <c r="B55" s="262" t="str">
        <f>ID!B55:J55</f>
        <v>Thermohygrolight, Merek : Greisinger, Model : GFTB 200, SN : 34903051</v>
      </c>
      <c r="C55" s="262"/>
      <c r="D55" s="846"/>
      <c r="E55" s="262"/>
      <c r="F55" s="262"/>
      <c r="G55" s="262"/>
      <c r="H55" s="262"/>
      <c r="I55" s="262"/>
      <c r="J55" s="262"/>
      <c r="K55" s="263"/>
      <c r="L55" s="239"/>
      <c r="M55" s="155"/>
      <c r="N55" s="155"/>
    </row>
    <row r="56" spans="1:16" ht="10.5" customHeight="1" x14ac:dyDescent="0.25">
      <c r="A56" s="239"/>
      <c r="B56" s="264"/>
      <c r="C56" s="264"/>
      <c r="D56" s="846"/>
      <c r="E56" s="264"/>
      <c r="F56" s="264"/>
      <c r="G56" s="264"/>
      <c r="H56" s="264"/>
      <c r="I56" s="264"/>
      <c r="J56" s="264"/>
      <c r="K56" s="264"/>
      <c r="L56" s="239"/>
      <c r="M56" s="155"/>
      <c r="N56" s="155"/>
    </row>
    <row r="57" spans="1:16" ht="15.6" x14ac:dyDescent="0.25">
      <c r="A57" s="243" t="s">
        <v>100</v>
      </c>
      <c r="B57" s="265" t="s">
        <v>101</v>
      </c>
      <c r="C57" s="239"/>
      <c r="D57" s="846"/>
      <c r="E57" s="239"/>
      <c r="F57" s="239"/>
      <c r="G57" s="239"/>
      <c r="H57" s="239"/>
      <c r="I57" s="239"/>
      <c r="J57" s="239"/>
      <c r="K57" s="239"/>
      <c r="L57" s="239"/>
      <c r="M57" s="155"/>
      <c r="N57" s="155"/>
    </row>
    <row r="58" spans="1:16" s="372" customFormat="1" ht="15" customHeight="1" x14ac:dyDescent="0.25">
      <c r="A58" s="252"/>
      <c r="B58" s="1507" t="str">
        <f>ID!B58</f>
        <v>Alat yang diuji dalam batas toleransi dan dinyatakan LAIK PAKAI, dimana hasil atau skor akhir sama dengan atau melampaui 70 % berdasarkan Keputusan Direktur Jenderal Pelayanan Kesehatan No : HK.02.02/V/0412/2020</v>
      </c>
      <c r="C58" s="1507"/>
      <c r="D58" s="1507"/>
      <c r="E58" s="1507"/>
      <c r="F58" s="1507"/>
      <c r="G58" s="1507"/>
      <c r="H58" s="1507"/>
      <c r="I58" s="1507"/>
      <c r="J58" s="1507"/>
      <c r="K58" s="1507"/>
      <c r="L58" s="368"/>
      <c r="M58" s="311"/>
      <c r="N58" s="311"/>
    </row>
    <row r="59" spans="1:16" s="372" customFormat="1" ht="15" customHeight="1" x14ac:dyDescent="0.25">
      <c r="A59" s="252"/>
      <c r="B59" s="1507"/>
      <c r="C59" s="1507"/>
      <c r="D59" s="1507"/>
      <c r="E59" s="1507"/>
      <c r="F59" s="1507"/>
      <c r="G59" s="1507"/>
      <c r="H59" s="1507"/>
      <c r="I59" s="1507"/>
      <c r="J59" s="1507"/>
      <c r="K59" s="1507"/>
      <c r="L59" s="368"/>
      <c r="M59" s="311"/>
      <c r="N59" s="311"/>
    </row>
    <row r="60" spans="1:16" ht="15.6" x14ac:dyDescent="0.25">
      <c r="A60" s="239"/>
      <c r="B60" s="263"/>
      <c r="C60" s="239"/>
      <c r="D60" s="846"/>
      <c r="E60" s="239"/>
      <c r="F60" s="239"/>
      <c r="G60" s="239"/>
      <c r="H60" s="239"/>
      <c r="I60" s="239"/>
      <c r="J60" s="239"/>
      <c r="K60" s="239"/>
      <c r="L60" s="239"/>
      <c r="M60" s="155"/>
      <c r="N60" s="155"/>
    </row>
    <row r="61" spans="1:16" ht="15.6" x14ac:dyDescent="0.25">
      <c r="A61" s="252" t="s">
        <v>103</v>
      </c>
      <c r="B61" s="260" t="s">
        <v>104</v>
      </c>
      <c r="C61" s="239"/>
      <c r="D61" s="846"/>
      <c r="E61" s="239"/>
      <c r="F61" s="239"/>
      <c r="G61" s="239"/>
      <c r="H61" s="239"/>
      <c r="I61" s="239"/>
      <c r="J61" s="239"/>
      <c r="K61" s="266"/>
      <c r="L61" s="239"/>
      <c r="M61" s="159"/>
      <c r="N61" s="159"/>
    </row>
    <row r="62" spans="1:16" ht="15.6" x14ac:dyDescent="0.25">
      <c r="A62" s="252"/>
      <c r="B62" s="294" t="str">
        <f>ID!B62</f>
        <v>Wardimanul Abrar</v>
      </c>
      <c r="C62" s="294"/>
      <c r="D62" s="846"/>
      <c r="E62" s="294"/>
      <c r="F62" s="239"/>
      <c r="G62" s="239"/>
      <c r="H62" s="239"/>
      <c r="I62" s="239"/>
      <c r="J62" s="239"/>
      <c r="K62" s="266"/>
      <c r="L62" s="239"/>
      <c r="M62" s="159"/>
      <c r="N62" s="159"/>
    </row>
    <row r="63" spans="1:16" ht="18" x14ac:dyDescent="0.25">
      <c r="A63" s="160"/>
      <c r="B63" s="160"/>
      <c r="C63" s="160"/>
      <c r="D63" s="846"/>
      <c r="E63" s="160"/>
      <c r="F63" s="160"/>
      <c r="G63" s="160"/>
      <c r="H63" s="160"/>
      <c r="I63" s="160"/>
      <c r="J63" s="1515" t="s">
        <v>395</v>
      </c>
      <c r="K63" s="1516"/>
      <c r="L63" s="160"/>
      <c r="M63" s="160"/>
      <c r="N63" s="160"/>
    </row>
    <row r="64" spans="1:16" ht="15" customHeight="1" x14ac:dyDescent="0.25">
      <c r="A64" s="161"/>
      <c r="B64" s="1517" t="s">
        <v>396</v>
      </c>
      <c r="C64" s="1517"/>
      <c r="D64" s="1517"/>
      <c r="E64" s="1517"/>
      <c r="F64" s="1517"/>
      <c r="G64" s="295" t="s">
        <v>105</v>
      </c>
      <c r="H64" s="783" t="s">
        <v>397</v>
      </c>
      <c r="I64" s="161"/>
      <c r="J64" s="1509">
        <f>Y32+Y28+Y21</f>
        <v>100</v>
      </c>
      <c r="K64" s="1510"/>
      <c r="L64" s="161"/>
      <c r="M64" s="161"/>
      <c r="N64" s="161"/>
    </row>
    <row r="65" spans="1:14" ht="15" customHeight="1" x14ac:dyDescent="0.25">
      <c r="A65" s="161"/>
      <c r="B65" s="870" t="s">
        <v>398</v>
      </c>
      <c r="C65" s="250"/>
      <c r="D65" s="250" t="str">
        <f>ID!B62</f>
        <v>Wardimanul Abrar</v>
      </c>
      <c r="E65" s="239"/>
      <c r="F65" s="871"/>
      <c r="G65" s="872" t="str">
        <f>ID!D64</f>
        <v>23 Juli 2020</v>
      </c>
      <c r="H65" s="873"/>
      <c r="I65" s="161"/>
      <c r="J65" s="1511"/>
      <c r="K65" s="1512"/>
      <c r="L65" s="161"/>
      <c r="M65" s="161"/>
      <c r="N65" s="161"/>
    </row>
    <row r="66" spans="1:14" ht="15.75" customHeight="1" x14ac:dyDescent="0.25">
      <c r="A66" s="155"/>
      <c r="B66" s="874" t="s">
        <v>399</v>
      </c>
      <c r="C66" s="251"/>
      <c r="D66" s="251"/>
      <c r="E66" s="251"/>
      <c r="F66" s="875"/>
      <c r="G66" s="875"/>
      <c r="H66" s="873"/>
      <c r="I66" s="156"/>
      <c r="J66" s="1513"/>
      <c r="K66" s="1514"/>
      <c r="L66" s="156"/>
      <c r="M66" s="155"/>
      <c r="N66" s="155"/>
    </row>
    <row r="67" spans="1:14" ht="6.75" customHeight="1" x14ac:dyDescent="0.25">
      <c r="A67" s="846"/>
      <c r="B67" s="846"/>
      <c r="C67" s="846"/>
      <c r="D67" s="846"/>
      <c r="E67" s="846"/>
      <c r="F67" s="846"/>
      <c r="G67" s="846"/>
      <c r="H67" s="846"/>
      <c r="I67" s="846"/>
      <c r="J67" s="846"/>
      <c r="K67" s="846"/>
    </row>
    <row r="68" spans="1:14" x14ac:dyDescent="0.25">
      <c r="A68" s="846"/>
      <c r="B68" s="846"/>
      <c r="C68" s="846"/>
      <c r="D68" s="846"/>
      <c r="E68" s="846"/>
      <c r="F68" s="846"/>
      <c r="G68" s="846"/>
      <c r="H68" s="846"/>
      <c r="I68" s="846"/>
      <c r="J68" s="846"/>
      <c r="K68" s="846"/>
    </row>
  </sheetData>
  <sheetProtection formatCells="0" formatColumns="0" formatRows="0" insertColumns="0" insertRows="0" deleteColumns="0" deleteRows="0"/>
  <mergeCells count="43">
    <mergeCell ref="T7:AB7"/>
    <mergeCell ref="T8:AB8"/>
    <mergeCell ref="T9:AB9"/>
    <mergeCell ref="T12:Z12"/>
    <mergeCell ref="N13:N14"/>
    <mergeCell ref="O13:O14"/>
    <mergeCell ref="N7:O8"/>
    <mergeCell ref="P7:P8"/>
    <mergeCell ref="Q7:Q8"/>
    <mergeCell ref="R7:R8"/>
    <mergeCell ref="Z32:Z34"/>
    <mergeCell ref="B30:B31"/>
    <mergeCell ref="C30:D31"/>
    <mergeCell ref="E30:E31"/>
    <mergeCell ref="AF30:AF31"/>
    <mergeCell ref="X30:X31"/>
    <mergeCell ref="G30:G31"/>
    <mergeCell ref="H30:I31"/>
    <mergeCell ref="AC30:AD31"/>
    <mergeCell ref="F30:F31"/>
    <mergeCell ref="AB30:AB31"/>
    <mergeCell ref="C32:D32"/>
    <mergeCell ref="C33:D34"/>
    <mergeCell ref="B33:B34"/>
    <mergeCell ref="Y32:Y37"/>
    <mergeCell ref="J64:K66"/>
    <mergeCell ref="J63:K63"/>
    <mergeCell ref="B64:F64"/>
    <mergeCell ref="C35:D35"/>
    <mergeCell ref="C36:D36"/>
    <mergeCell ref="C37:D37"/>
    <mergeCell ref="B47:I47"/>
    <mergeCell ref="B48:I48"/>
    <mergeCell ref="C27:G27"/>
    <mergeCell ref="H23:I23"/>
    <mergeCell ref="B58:K59"/>
    <mergeCell ref="J23:K23"/>
    <mergeCell ref="C23:G23"/>
    <mergeCell ref="A2:K2"/>
    <mergeCell ref="A1:K1"/>
    <mergeCell ref="C24:G24"/>
    <mergeCell ref="C25:G25"/>
    <mergeCell ref="C26:G26"/>
  </mergeCells>
  <conditionalFormatting sqref="J63">
    <cfRule type="colorScale" priority="14">
      <colorScale>
        <cfvo type="num" val="&quot;0-70&quot;"/>
        <cfvo type="max"/>
        <color rgb="FFFF0000"/>
        <color rgb="FF00B050"/>
      </colorScale>
    </cfRule>
  </conditionalFormatting>
  <dataValidations count="5">
    <dataValidation type="list" allowBlank="1" showInputMessage="1" sqref="M2:N2" xr:uid="{00000000-0002-0000-0600-000000000000}">
      <formula1>$Q$2:$Q$3</formula1>
    </dataValidation>
    <dataValidation allowBlank="1" showInputMessage="1" sqref="A2" xr:uid="{00000000-0002-0000-0600-000001000000}"/>
    <dataValidation type="list" allowBlank="1" showInputMessage="1" sqref="B62" xr:uid="{00000000-0002-0000-0600-000002000000}">
      <formula1>$Q$57:$Q$75</formula1>
    </dataValidation>
    <dataValidation type="list" allowBlank="1" showInputMessage="1" sqref="B56" xr:uid="{00000000-0002-0000-0600-000003000000}">
      <formula1>#REF!</formula1>
    </dataValidation>
    <dataValidation type="list" allowBlank="1" showInputMessage="1" showErrorMessage="1" sqref="K54:M54 K51:M51" xr:uid="{00000000-0002-0000-0600-000004000000}">
      <formula1>#REF!</formula1>
    </dataValidation>
  </dataValidations>
  <printOptions horizontalCentered="1"/>
  <pageMargins left="0.47244094488188981" right="0.43307086614173229" top="0.43307086614173229" bottom="0.27559055118110237" header="0.31496062992125984" footer="0.31496062992125984"/>
  <pageSetup paperSize="9" scale="68" orientation="portrait" r:id="rId1"/>
  <headerFooter>
    <oddHeader>&amp;R&amp;"-,Regular"&amp;8KL.089 - 19</oddHeader>
    <oddFooter>&amp;R&amp;K00-034Dental Unit 10.2.2022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9697" r:id="rId4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7" r:id="rId4"/>
      </mc:Fallback>
    </mc:AlternateContent>
    <mc:AlternateContent xmlns:mc="http://schemas.openxmlformats.org/markup-compatibility/2006">
      <mc:Choice Requires="x14">
        <oleObject progId="Equation.3" shapeId="29698" r:id="rId6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8" r:id="rId6"/>
      </mc:Fallback>
    </mc:AlternateContent>
    <mc:AlternateContent xmlns:mc="http://schemas.openxmlformats.org/markup-compatibility/2006">
      <mc:Choice Requires="x14">
        <oleObject progId="Equation.3" shapeId="29699" r:id="rId7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699" r:id="rId7"/>
      </mc:Fallback>
    </mc:AlternateContent>
    <mc:AlternateContent xmlns:mc="http://schemas.openxmlformats.org/markup-compatibility/2006">
      <mc:Choice Requires="x14">
        <oleObject progId="Equation.3" shapeId="29700" r:id="rId8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0" r:id="rId8"/>
      </mc:Fallback>
    </mc:AlternateContent>
    <mc:AlternateContent xmlns:mc="http://schemas.openxmlformats.org/markup-compatibility/2006">
      <mc:Choice Requires="x14">
        <oleObject progId="Equation.3" shapeId="29701" r:id="rId9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1" r:id="rId9"/>
      </mc:Fallback>
    </mc:AlternateContent>
    <mc:AlternateContent xmlns:mc="http://schemas.openxmlformats.org/markup-compatibility/2006">
      <mc:Choice Requires="x14">
        <oleObject progId="Equation.3" shapeId="29702" r:id="rId10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2" r:id="rId10"/>
      </mc:Fallback>
    </mc:AlternateContent>
    <mc:AlternateContent xmlns:mc="http://schemas.openxmlformats.org/markup-compatibility/2006">
      <mc:Choice Requires="x14">
        <oleObject progId="Equation.3" shapeId="29703" r:id="rId11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3" r:id="rId11"/>
      </mc:Fallback>
    </mc:AlternateContent>
    <mc:AlternateContent xmlns:mc="http://schemas.openxmlformats.org/markup-compatibility/2006">
      <mc:Choice Requires="x14">
        <oleObject progId="Equation.3" shapeId="29704" r:id="rId12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4" r:id="rId12"/>
      </mc:Fallback>
    </mc:AlternateContent>
    <mc:AlternateContent xmlns:mc="http://schemas.openxmlformats.org/markup-compatibility/2006">
      <mc:Choice Requires="x14">
        <oleObject progId="Equation.3" shapeId="29705" r:id="rId13">
          <objectPr defaultSize="0" autoPict="0" r:id="rId5">
            <anchor moveWithCells="1" sizeWithCells="1">
              <from>
                <xdr:col>8</xdr:col>
                <xdr:colOff>0</xdr:colOff>
                <xdr:row>26</xdr:row>
                <xdr:rowOff>0</xdr:rowOff>
              </from>
              <to>
                <xdr:col>8</xdr:col>
                <xdr:colOff>0</xdr:colOff>
                <xdr:row>26</xdr:row>
                <xdr:rowOff>0</xdr:rowOff>
              </to>
            </anchor>
          </objectPr>
        </oleObject>
      </mc:Choice>
      <mc:Fallback>
        <oleObject progId="Equation.3" shapeId="29705" r:id="rId13"/>
      </mc:Fallback>
    </mc:AlternateContent>
    <mc:AlternateContent xmlns:mc="http://schemas.openxmlformats.org/markup-compatibility/2006">
      <mc:Choice Requires="x14">
        <oleObject progId="Equation.3" shapeId="29706" r:id="rId14">
          <objectPr defaultSize="0" autoPict="0" r:id="rId5">
            <anchor moveWithCells="1" sizeWithCells="1">
              <from>
                <xdr:col>15</xdr:col>
                <xdr:colOff>99060</xdr:colOff>
                <xdr:row>26</xdr:row>
                <xdr:rowOff>0</xdr:rowOff>
              </from>
              <to>
                <xdr:col>15</xdr:col>
                <xdr:colOff>487680</xdr:colOff>
                <xdr:row>26</xdr:row>
                <xdr:rowOff>0</xdr:rowOff>
              </to>
            </anchor>
          </objectPr>
        </oleObject>
      </mc:Choice>
      <mc:Fallback>
        <oleObject progId="Equation.3" shapeId="29706" r:id="rId1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EDC2EEE0-F66A-4091-ABF8-F4EC4A1A7C4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9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39" id="{5A998E9D-1596-412C-A248-6C5DD3773B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0"/>
              <x14:cfIcon iconSet="3Symbols2" iconId="0"/>
              <x14:cfIcon iconSet="3Symbols2" iconId="2"/>
            </x14:iconSet>
          </x14:cfRule>
          <x14:cfRule type="iconSet" priority="40" id="{1AA2ABD0-B8B4-4D1E-B3F8-C65400059640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1" id="{25CB077E-1C56-4F3D-B5D6-3FA6A0C1DF4F}">
            <x14:iconSet iconSet="3Symbols" showValue="0" custom="1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2" id="{960FCD24-33D5-4045-9434-EC7416EA7F8E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14:cfRule type="iconSet" priority="43" id="{4490B4E3-4B94-4FBB-BAD6-015D575A351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" iconId="0"/>
              <x14:cfIcon iconSet="3Symbols" iconId="0"/>
              <x14:cfIcon iconSet="3Symbols" iconId="2"/>
            </x14:iconSet>
          </x14:cfRule>
          <xm:sqref>L24:L25 L27</xm:sqref>
        </x14:conditionalFormatting>
        <x14:conditionalFormatting xmlns:xm="http://schemas.microsoft.com/office/excel/2006/main">
          <x14:cfRule type="iconSet" priority="18" id="{929CBC28-F7C0-4348-A066-161EB37FF9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4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L20</xm:sqref>
        </x14:conditionalFormatting>
        <x14:conditionalFormatting xmlns:xm="http://schemas.microsoft.com/office/excel/2006/main">
          <x14:cfRule type="iconSet" priority="1" id="{D544CA9C-E4BC-4AA2-A2EC-42F498990D4B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Y27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5"/>
  <sheetViews>
    <sheetView tabSelected="1" view="pageBreakPreview" topLeftCell="A41" zoomScale="90" zoomScaleNormal="100" zoomScaleSheetLayoutView="90" zoomScalePageLayoutView="86" workbookViewId="0">
      <selection activeCell="E54" sqref="E54"/>
    </sheetView>
  </sheetViews>
  <sheetFormatPr defaultColWidth="9.33203125" defaultRowHeight="13.8" x14ac:dyDescent="0.25"/>
  <cols>
    <col min="1" max="1" width="4.44140625" style="370" customWidth="1"/>
    <col min="2" max="2" width="4.33203125" style="370" customWidth="1"/>
    <col min="3" max="3" width="30" style="370" customWidth="1"/>
    <col min="4" max="4" width="2.6640625" style="370" customWidth="1"/>
    <col min="5" max="5" width="13.6640625" style="370" customWidth="1"/>
    <col min="6" max="6" width="15.33203125" style="370" customWidth="1"/>
    <col min="7" max="7" width="9.33203125" style="370" customWidth="1"/>
    <col min="8" max="8" width="6.5546875" style="370" customWidth="1"/>
    <col min="9" max="9" width="8.5546875" style="370" customWidth="1"/>
    <col min="10" max="10" width="9" style="370" customWidth="1"/>
    <col min="11" max="13" width="9.44140625" style="370" customWidth="1"/>
    <col min="14" max="16384" width="9.33203125" style="370"/>
  </cols>
  <sheetData>
    <row r="1" spans="1:10" ht="17.399999999999999" x14ac:dyDescent="0.25">
      <c r="A1" s="1494" t="s">
        <v>379</v>
      </c>
      <c r="B1" s="1494"/>
      <c r="C1" s="1494"/>
      <c r="D1" s="1494"/>
      <c r="E1" s="1494"/>
      <c r="F1" s="1494"/>
      <c r="G1" s="1494"/>
      <c r="H1" s="1494"/>
      <c r="I1" s="1494"/>
      <c r="J1" s="1494"/>
    </row>
    <row r="2" spans="1:10" ht="15" x14ac:dyDescent="0.25">
      <c r="A2" s="1493" t="str">
        <f>PENYELIA!A2</f>
        <v>Nomor Sertifikat : 17 / 19 / III - 25 / E - 009.678 DL</v>
      </c>
      <c r="B2" s="1493"/>
      <c r="C2" s="1493"/>
      <c r="D2" s="1493"/>
      <c r="E2" s="1493"/>
      <c r="F2" s="1493"/>
      <c r="G2" s="1493"/>
      <c r="H2" s="1493"/>
      <c r="I2" s="1493"/>
      <c r="J2" s="1493"/>
    </row>
    <row r="3" spans="1:10" x14ac:dyDescent="0.25">
      <c r="A3" s="784"/>
      <c r="B3" s="784"/>
      <c r="C3" s="784"/>
      <c r="D3" s="784"/>
      <c r="E3" s="784"/>
      <c r="F3" s="784"/>
      <c r="G3" s="784"/>
      <c r="H3" s="784"/>
      <c r="I3" s="784"/>
      <c r="J3" s="784"/>
    </row>
    <row r="4" spans="1:10" x14ac:dyDescent="0.25">
      <c r="A4" s="370" t="s">
        <v>2</v>
      </c>
      <c r="C4" s="785"/>
      <c r="D4" s="275" t="s">
        <v>3</v>
      </c>
      <c r="E4" s="786" t="str">
        <f>ID!E4</f>
        <v>GNATUS</v>
      </c>
    </row>
    <row r="5" spans="1:10" x14ac:dyDescent="0.25">
      <c r="A5" s="370" t="s">
        <v>4</v>
      </c>
      <c r="C5" s="785"/>
      <c r="D5" s="275" t="s">
        <v>3</v>
      </c>
      <c r="E5" s="786" t="str">
        <f>ID!E5</f>
        <v>SYNCRUS LS</v>
      </c>
    </row>
    <row r="6" spans="1:10" x14ac:dyDescent="0.25">
      <c r="A6" s="370" t="s">
        <v>5</v>
      </c>
      <c r="C6" s="785"/>
      <c r="D6" s="275" t="s">
        <v>3</v>
      </c>
      <c r="E6" s="786" t="str">
        <f>ID!E6</f>
        <v>081298408556</v>
      </c>
      <c r="F6" s="787"/>
    </row>
    <row r="7" spans="1:10" x14ac:dyDescent="0.25">
      <c r="A7" s="370" t="str">
        <f>ID!A7</f>
        <v>Tanggal Penerimaan Alat</v>
      </c>
      <c r="C7" s="785"/>
      <c r="D7" s="275"/>
      <c r="E7" s="786" t="str">
        <f>ID!E7</f>
        <v>31 Januari 2020</v>
      </c>
      <c r="F7" s="787"/>
    </row>
    <row r="8" spans="1:10" x14ac:dyDescent="0.25">
      <c r="A8" s="370" t="str">
        <f>ID!A8</f>
        <v>Tanggal Pengujian</v>
      </c>
      <c r="C8" s="785"/>
      <c r="D8" s="275" t="s">
        <v>3</v>
      </c>
      <c r="E8" s="786" t="str">
        <f>ID!E8</f>
        <v>32 Januari 2020</v>
      </c>
    </row>
    <row r="9" spans="1:10" x14ac:dyDescent="0.25">
      <c r="A9" s="370" t="s">
        <v>8</v>
      </c>
      <c r="C9" s="785"/>
      <c r="D9" s="275" t="s">
        <v>3</v>
      </c>
      <c r="E9" s="786" t="str">
        <f>ID!E9</f>
        <v>LPFK BJB</v>
      </c>
    </row>
    <row r="10" spans="1:10" x14ac:dyDescent="0.25">
      <c r="A10" s="370" t="s">
        <v>9</v>
      </c>
      <c r="C10" s="785"/>
      <c r="D10" s="275" t="s">
        <v>3</v>
      </c>
      <c r="E10" s="786" t="str">
        <f>ID!E10</f>
        <v>LPFK BJB</v>
      </c>
    </row>
    <row r="11" spans="1:10" x14ac:dyDescent="0.25">
      <c r="A11" s="370" t="s">
        <v>10</v>
      </c>
      <c r="C11" s="785"/>
      <c r="D11" s="275" t="s">
        <v>3</v>
      </c>
      <c r="E11" s="788" t="s">
        <v>285</v>
      </c>
    </row>
    <row r="13" spans="1:10" x14ac:dyDescent="0.25">
      <c r="A13" s="789" t="s">
        <v>12</v>
      </c>
      <c r="B13" s="789" t="str">
        <f>PENYELIA!B13</f>
        <v>Kondisi Ruang</v>
      </c>
    </row>
    <row r="14" spans="1:10" x14ac:dyDescent="0.25">
      <c r="B14" s="370" t="s">
        <v>16</v>
      </c>
      <c r="D14" s="275" t="s">
        <v>3</v>
      </c>
      <c r="E14" s="790" t="str">
        <f>'DB Thermohygro '!M357</f>
        <v>23.2</v>
      </c>
      <c r="F14" s="912" t="str">
        <f>'DB Thermohygro '!N359</f>
        <v xml:space="preserve"> ± </v>
      </c>
      <c r="G14" s="914" t="str">
        <f>'DB Thermohygro '!N357</f>
        <v>0.3</v>
      </c>
      <c r="H14" s="914" t="str">
        <f>'DB Thermohygro '!O357</f>
        <v xml:space="preserve"> °C</v>
      </c>
    </row>
    <row r="15" spans="1:10" x14ac:dyDescent="0.25">
      <c r="B15" s="370" t="s">
        <v>18</v>
      </c>
      <c r="D15" s="275" t="s">
        <v>3</v>
      </c>
      <c r="E15" s="790" t="str">
        <f>'DB Thermohygro '!M358</f>
        <v>56.3</v>
      </c>
      <c r="F15" s="912" t="str">
        <f>'DB Thermohygro '!N359</f>
        <v xml:space="preserve"> ± </v>
      </c>
      <c r="G15" s="914" t="str">
        <f>'DB Thermohygro '!N358</f>
        <v>2.6</v>
      </c>
      <c r="H15" s="914" t="str">
        <f>'DB Thermohygro '!O358</f>
        <v xml:space="preserve"> %RH</v>
      </c>
    </row>
    <row r="16" spans="1:10" x14ac:dyDescent="0.25">
      <c r="B16" s="370" t="s">
        <v>20</v>
      </c>
      <c r="D16" s="275" t="s">
        <v>3</v>
      </c>
      <c r="E16" s="812">
        <f>ESA!N143</f>
        <v>219.07373308727736</v>
      </c>
      <c r="F16" s="913" t="str">
        <f>F15</f>
        <v xml:space="preserve"> ± </v>
      </c>
      <c r="G16" s="791">
        <f>ESA!O143</f>
        <v>2.6288847970473284</v>
      </c>
      <c r="H16" s="914" t="str">
        <f>ESA!P143</f>
        <v>Volt</v>
      </c>
    </row>
    <row r="17" spans="1:10" x14ac:dyDescent="0.25">
      <c r="C17" s="785"/>
      <c r="D17" s="791"/>
    </row>
    <row r="18" spans="1:10" x14ac:dyDescent="0.25">
      <c r="A18" s="789" t="s">
        <v>390</v>
      </c>
      <c r="B18" s="789" t="str">
        <f>PENYELIA!B18</f>
        <v>Pemeriksaan Kondisi Fisik dan Fungsi Alat</v>
      </c>
    </row>
    <row r="19" spans="1:10" x14ac:dyDescent="0.25">
      <c r="A19" s="789"/>
      <c r="B19" s="370" t="s">
        <v>24</v>
      </c>
      <c r="C19" s="785"/>
      <c r="D19" s="275" t="s">
        <v>3</v>
      </c>
      <c r="E19" s="786" t="str">
        <f>ID!$E$20</f>
        <v>Baik</v>
      </c>
    </row>
    <row r="20" spans="1:10" x14ac:dyDescent="0.25">
      <c r="B20" s="370" t="s">
        <v>26</v>
      </c>
      <c r="C20" s="785"/>
      <c r="D20" s="275" t="s">
        <v>3</v>
      </c>
      <c r="E20" s="786" t="str">
        <f>ID!$E$21</f>
        <v>Baik</v>
      </c>
    </row>
    <row r="21" spans="1:10" x14ac:dyDescent="0.25">
      <c r="E21" s="792"/>
    </row>
    <row r="22" spans="1:10" x14ac:dyDescent="0.25">
      <c r="A22" s="789" t="s">
        <v>27</v>
      </c>
      <c r="B22" s="789" t="str">
        <f>PENYELIA!B22</f>
        <v xml:space="preserve">Pengujian keselamatan listrik </v>
      </c>
      <c r="E22" s="792"/>
    </row>
    <row r="23" spans="1:10" ht="30.75" customHeight="1" x14ac:dyDescent="0.25">
      <c r="B23" s="793" t="s">
        <v>29</v>
      </c>
      <c r="C23" s="1555" t="s">
        <v>30</v>
      </c>
      <c r="D23" s="1556"/>
      <c r="E23" s="1556"/>
      <c r="F23" s="1556"/>
      <c r="G23" s="1555" t="s">
        <v>31</v>
      </c>
      <c r="H23" s="1557"/>
      <c r="I23" s="1558" t="s">
        <v>32</v>
      </c>
      <c r="J23" s="1558"/>
    </row>
    <row r="24" spans="1:10" ht="21" customHeight="1" x14ac:dyDescent="0.25">
      <c r="B24" s="794">
        <v>1</v>
      </c>
      <c r="C24" s="795" t="s">
        <v>33</v>
      </c>
      <c r="D24" s="796"/>
      <c r="E24" s="797"/>
      <c r="F24" s="797"/>
      <c r="G24" s="1690" t="str">
        <f>PENYELIA!H24</f>
        <v>-</v>
      </c>
      <c r="H24" s="799" t="str">
        <f>PENYELIA!I24</f>
        <v/>
      </c>
      <c r="I24" s="800">
        <f>ID!J25</f>
        <v>2</v>
      </c>
      <c r="J24" s="186" t="s">
        <v>34</v>
      </c>
    </row>
    <row r="25" spans="1:10" ht="21" customHeight="1" x14ac:dyDescent="0.25">
      <c r="B25" s="794">
        <v>2</v>
      </c>
      <c r="C25" s="1559" t="str">
        <f>ID!C26</f>
        <v>Resistansi Pembumian Protektif (kabel tidak dapat dilepas)</v>
      </c>
      <c r="D25" s="1560"/>
      <c r="E25" s="1560"/>
      <c r="F25" s="1560"/>
      <c r="G25" s="1690">
        <f>PENYELIA!H25</f>
        <v>9.7863002806631766E-2</v>
      </c>
      <c r="H25" s="799" t="str">
        <f>PENYELIA!I25</f>
        <v>Ω</v>
      </c>
      <c r="I25" s="800">
        <f>ID!J26</f>
        <v>0.3</v>
      </c>
      <c r="J25" s="186" t="s">
        <v>38</v>
      </c>
    </row>
    <row r="26" spans="1:10" ht="21" customHeight="1" x14ac:dyDescent="0.25">
      <c r="B26" s="794">
        <v>3</v>
      </c>
      <c r="C26" s="1561" t="str">
        <f>ID!C27</f>
        <v>Arus bocor peralatan untuk peralatan elektromedik kelas I</v>
      </c>
      <c r="D26" s="1562"/>
      <c r="E26" s="1562"/>
      <c r="F26" s="1562"/>
      <c r="G26" s="1690">
        <f>PENYELIA!H26</f>
        <v>26.62906803325836</v>
      </c>
      <c r="H26" s="799" t="str">
        <f>PENYELIA!I26</f>
        <v>µA</v>
      </c>
      <c r="I26" s="800">
        <f>ID!J27</f>
        <v>500</v>
      </c>
      <c r="J26" s="186" t="s">
        <v>43</v>
      </c>
    </row>
    <row r="27" spans="1:10" ht="21.75" hidden="1" customHeight="1" x14ac:dyDescent="0.25">
      <c r="B27" s="794">
        <v>4</v>
      </c>
      <c r="C27" s="795" t="s">
        <v>47</v>
      </c>
      <c r="D27" s="797"/>
      <c r="E27" s="797"/>
      <c r="F27" s="797"/>
      <c r="G27" s="798">
        <f>PENYELIA!H27</f>
        <v>2</v>
      </c>
      <c r="H27" s="799" t="str">
        <f>PENYELIA!I27</f>
        <v>µA</v>
      </c>
      <c r="I27" s="800" t="e">
        <f>ID!#REF!</f>
        <v>#REF!</v>
      </c>
      <c r="J27" s="186" t="s">
        <v>43</v>
      </c>
    </row>
    <row r="28" spans="1:10" x14ac:dyDescent="0.25">
      <c r="E28" s="792"/>
    </row>
    <row r="29" spans="1:10" x14ac:dyDescent="0.25">
      <c r="A29" s="801" t="s">
        <v>49</v>
      </c>
      <c r="B29" s="801" t="str">
        <f>PENYELIA!B29</f>
        <v>Pengujian Kinerja</v>
      </c>
    </row>
    <row r="30" spans="1:10" ht="20.25" customHeight="1" x14ac:dyDescent="0.25">
      <c r="B30" s="1566" t="s">
        <v>51</v>
      </c>
      <c r="C30" s="1566" t="s">
        <v>30</v>
      </c>
      <c r="D30" s="1558" t="s">
        <v>300</v>
      </c>
      <c r="E30" s="1558"/>
      <c r="F30" s="1569" t="s">
        <v>53</v>
      </c>
      <c r="G30" s="1555" t="s">
        <v>54</v>
      </c>
      <c r="H30" s="1557"/>
      <c r="I30" s="1571" t="s">
        <v>391</v>
      </c>
      <c r="J30" s="1572"/>
    </row>
    <row r="31" spans="1:10" ht="11.25" customHeight="1" x14ac:dyDescent="0.25">
      <c r="B31" s="1567"/>
      <c r="C31" s="1568"/>
      <c r="D31" s="1558"/>
      <c r="E31" s="1558"/>
      <c r="F31" s="1570"/>
      <c r="G31" s="1555"/>
      <c r="H31" s="1557"/>
      <c r="I31" s="1573"/>
      <c r="J31" s="1574"/>
    </row>
    <row r="32" spans="1:10" ht="21" customHeight="1" x14ac:dyDescent="0.25">
      <c r="B32" s="802">
        <v>1</v>
      </c>
      <c r="C32" s="803" t="s">
        <v>302</v>
      </c>
      <c r="D32" s="1518" t="str">
        <f>LK!D35</f>
        <v>Maks</v>
      </c>
      <c r="E32" s="1518"/>
      <c r="F32" s="804">
        <f>PENYELIA!F32</f>
        <v>8</v>
      </c>
      <c r="G32" s="1575" t="str">
        <f>PENYELIA!G32</f>
        <v>≥ 7.5 Klux</v>
      </c>
      <c r="H32" s="1576"/>
      <c r="I32" s="800" t="str">
        <f>PENYELIA!H32</f>
        <v>±</v>
      </c>
      <c r="J32" s="838">
        <f>PENYELIA!I32</f>
        <v>0.57982691537132647</v>
      </c>
    </row>
    <row r="33" spans="1:10" ht="29.25" customHeight="1" x14ac:dyDescent="0.25">
      <c r="B33" s="1543">
        <v>2</v>
      </c>
      <c r="C33" s="1564" t="s">
        <v>400</v>
      </c>
      <c r="D33" s="1518" t="str">
        <f>LK!D37</f>
        <v>High Speed Maks</v>
      </c>
      <c r="E33" s="1518"/>
      <c r="F33" s="804">
        <f>PENYELIA!F33</f>
        <v>98996.832154345582</v>
      </c>
      <c r="G33" s="1575" t="str">
        <f>PENYELIA!G33</f>
        <v>≥ 40.000 rpm</v>
      </c>
      <c r="H33" s="1576"/>
      <c r="I33" s="800" t="str">
        <f>PENYELIA!H33</f>
        <v>±</v>
      </c>
      <c r="J33" s="838">
        <f>PENYELIA!I33</f>
        <v>1.4753441569535941</v>
      </c>
    </row>
    <row r="34" spans="1:10" ht="29.25" customHeight="1" x14ac:dyDescent="0.25">
      <c r="B34" s="1563"/>
      <c r="C34" s="1565"/>
      <c r="D34" s="1518" t="str">
        <f>LK!D39</f>
        <v>Low Speed Maks</v>
      </c>
      <c r="E34" s="1518"/>
      <c r="F34" s="804">
        <f>PENYELIA!F34</f>
        <v>29999.020942907177</v>
      </c>
      <c r="G34" s="1575" t="str">
        <f>PENYELIA!G34</f>
        <v>≥ 20.000 rpm</v>
      </c>
      <c r="H34" s="1576"/>
      <c r="I34" s="800" t="str">
        <f>PENYELIA!H34</f>
        <v>±</v>
      </c>
      <c r="J34" s="838">
        <f>PENYELIA!I34</f>
        <v>0.63315630236251208</v>
      </c>
    </row>
    <row r="35" spans="1:10" ht="21" customHeight="1" x14ac:dyDescent="0.25">
      <c r="B35" s="805">
        <v>3</v>
      </c>
      <c r="C35" s="803" t="s">
        <v>71</v>
      </c>
      <c r="D35" s="1518" t="s">
        <v>63</v>
      </c>
      <c r="E35" s="1518"/>
      <c r="F35" s="804">
        <f>PENYELIA!F35</f>
        <v>5.9967018600153557</v>
      </c>
      <c r="G35" s="1575" t="str">
        <f>PENYELIA!G35</f>
        <v>10 %</v>
      </c>
      <c r="H35" s="1576"/>
      <c r="I35" s="800" t="str">
        <f>PENYELIA!H35</f>
        <v>±</v>
      </c>
      <c r="J35" s="838">
        <f>PENYELIA!I35</f>
        <v>4.8349445956609483</v>
      </c>
    </row>
    <row r="36" spans="1:10" ht="21" customHeight="1" x14ac:dyDescent="0.25">
      <c r="B36" s="806">
        <v>4</v>
      </c>
      <c r="C36" s="807" t="s">
        <v>401</v>
      </c>
      <c r="D36" s="1518" t="str">
        <f>LK!D43</f>
        <v>Maks</v>
      </c>
      <c r="E36" s="1518"/>
      <c r="F36" s="1217">
        <f>PENYELIA!F36</f>
        <v>601.9</v>
      </c>
      <c r="G36" s="1575" t="str">
        <f>PENYELIA!G36</f>
        <v>≥ 100 mmHg</v>
      </c>
      <c r="H36" s="1576"/>
      <c r="I36" s="800" t="str">
        <f>PENYELIA!H36</f>
        <v>±</v>
      </c>
      <c r="J36" s="838">
        <f>PENYELIA!I36</f>
        <v>0.57448515287626611</v>
      </c>
    </row>
    <row r="37" spans="1:10" ht="21" customHeight="1" x14ac:dyDescent="0.25">
      <c r="B37" s="806">
        <v>5</v>
      </c>
      <c r="C37" s="807" t="s">
        <v>402</v>
      </c>
      <c r="D37" s="1518" t="str">
        <f>LK!D45</f>
        <v>Maks</v>
      </c>
      <c r="E37" s="1518"/>
      <c r="F37" s="1217">
        <f>PENYELIA!F37</f>
        <v>130.56319999999999</v>
      </c>
      <c r="G37" s="1575" t="str">
        <f>PENYELIA!G37</f>
        <v>≥ 100 mmHg</v>
      </c>
      <c r="H37" s="1576"/>
      <c r="I37" s="800" t="str">
        <f>PENYELIA!H37</f>
        <v>±</v>
      </c>
      <c r="J37" s="838">
        <f>PENYELIA!I37</f>
        <v>0.66913769696021774</v>
      </c>
    </row>
    <row r="38" spans="1:10" x14ac:dyDescent="0.25">
      <c r="A38" s="255"/>
      <c r="B38" s="244"/>
      <c r="C38" s="244"/>
      <c r="D38" s="256"/>
      <c r="E38" s="257"/>
      <c r="F38" s="257"/>
      <c r="G38" s="257"/>
      <c r="H38" s="257"/>
      <c r="I38" s="257"/>
      <c r="J38" s="258"/>
    </row>
    <row r="39" spans="1:10" x14ac:dyDescent="0.25">
      <c r="A39" s="252" t="s">
        <v>77</v>
      </c>
      <c r="B39" s="252" t="s">
        <v>78</v>
      </c>
      <c r="C39" s="244"/>
      <c r="D39" s="244"/>
      <c r="E39" s="244"/>
      <c r="F39" s="244"/>
      <c r="G39" s="244"/>
      <c r="H39" s="244"/>
      <c r="I39" s="244"/>
      <c r="J39" s="244"/>
    </row>
    <row r="40" spans="1:10" x14ac:dyDescent="0.25">
      <c r="A40" s="252"/>
      <c r="B40" s="312" t="str">
        <f>ID!B40</f>
        <v>Ketidakpastian pengukuran dilaporkan pada tingkat kepercayaan 95% dengan faktor cakupan (k) = 2</v>
      </c>
      <c r="C40" s="244"/>
      <c r="D40" s="244"/>
      <c r="E40" s="244"/>
      <c r="F40" s="244"/>
      <c r="G40" s="244"/>
      <c r="H40" s="244"/>
      <c r="I40" s="244"/>
      <c r="J40" s="244"/>
    </row>
    <row r="41" spans="1:10" x14ac:dyDescent="0.25">
      <c r="A41" s="252"/>
      <c r="B41" s="312" t="str">
        <f>ID!B41</f>
        <v>Ketidakpastian pengukuran Ilumination dan Tekanan Semprot Udara dari ketidakpastian tipe A dan Tipe B</v>
      </c>
      <c r="C41" s="244"/>
      <c r="D41" s="244"/>
      <c r="E41" s="244"/>
      <c r="F41" s="244"/>
      <c r="G41" s="244"/>
      <c r="H41" s="244"/>
      <c r="I41" s="244"/>
      <c r="J41" s="244"/>
    </row>
    <row r="42" spans="1:10" x14ac:dyDescent="0.25">
      <c r="A42" s="252"/>
      <c r="B42" s="312" t="str">
        <f>ID!B42</f>
        <v>Hasil pengujian Keselamatan Listrik tertelusur ke Satuan Internasional ( SI ) melalui PT. Kaliman</v>
      </c>
      <c r="C42" s="244"/>
      <c r="D42" s="244"/>
      <c r="E42" s="244"/>
      <c r="F42" s="244"/>
      <c r="G42" s="244"/>
      <c r="H42" s="244"/>
      <c r="I42" s="244"/>
      <c r="J42" s="244"/>
    </row>
    <row r="43" spans="1:10" x14ac:dyDescent="0.25">
      <c r="A43" s="252"/>
      <c r="B43" s="312" t="str">
        <f>ID!B43</f>
        <v>Hasil pengujian Illumination tertelusur ke Satuan Internasional ( SI ) melalui Pusat Penelitian Metrologi - LIPI</v>
      </c>
      <c r="C43" s="239"/>
      <c r="D43" s="239"/>
      <c r="E43" s="239"/>
      <c r="F43" s="239"/>
      <c r="G43" s="239"/>
      <c r="H43" s="239"/>
      <c r="I43" s="239"/>
      <c r="J43" s="239"/>
    </row>
    <row r="44" spans="1:10" x14ac:dyDescent="0.25">
      <c r="A44" s="252"/>
      <c r="B44" s="312" t="str">
        <f>ID!B44</f>
        <v>Hasil pengujian Kecepatan Bor Gigi tertelusur ke Satuan Internasional ( SI ) PT. Kaliman</v>
      </c>
      <c r="C44" s="259"/>
      <c r="D44" s="259"/>
      <c r="E44" s="259"/>
      <c r="F44" s="259"/>
      <c r="G44" s="259"/>
      <c r="H44" s="259"/>
      <c r="I44" s="259"/>
      <c r="J44" s="259"/>
    </row>
    <row r="45" spans="1:10" x14ac:dyDescent="0.25">
      <c r="A45" s="252"/>
      <c r="B45" s="312" t="str">
        <f>ID!B45</f>
        <v>Hasil pengujian Tekanan Semprot tertelusur ke Satuan Internasional ( SI ) melalui PT. Kaliman</v>
      </c>
      <c r="C45" s="244"/>
      <c r="D45" s="244"/>
      <c r="E45" s="244"/>
      <c r="F45" s="244"/>
      <c r="G45" s="244"/>
      <c r="H45" s="244"/>
      <c r="I45" s="244"/>
      <c r="J45" s="244"/>
    </row>
    <row r="46" spans="1:10" x14ac:dyDescent="0.25">
      <c r="A46" s="252"/>
      <c r="B46" s="312" t="str">
        <f>ID!B46</f>
        <v xml:space="preserve">Hasil pengujian Tekanan Hisap tertelusur ke Satuan Internasional ( SI ) melalui PT. Kaliman </v>
      </c>
      <c r="C46" s="244"/>
      <c r="D46" s="244"/>
      <c r="E46" s="244"/>
      <c r="F46" s="244"/>
      <c r="G46" s="244"/>
      <c r="H46" s="244"/>
      <c r="I46" s="244"/>
      <c r="J46" s="244"/>
    </row>
    <row r="47" spans="1:10" x14ac:dyDescent="0.25">
      <c r="A47" s="252"/>
      <c r="B47" s="239" t="str">
        <f>PENYELIA!B47</f>
        <v>Tidak dilakukan pengukuran kelistrikan dikarenakan alat tidak boleh di matikan</v>
      </c>
      <c r="C47" s="244"/>
      <c r="D47" s="244"/>
      <c r="E47" s="244"/>
      <c r="F47" s="244"/>
      <c r="G47" s="244"/>
      <c r="H47" s="244"/>
      <c r="I47" s="244"/>
      <c r="J47" s="244"/>
    </row>
    <row r="48" spans="1:10" ht="15" customHeight="1" x14ac:dyDescent="0.25">
      <c r="A48" s="252"/>
      <c r="B48" s="239"/>
      <c r="C48" s="244"/>
      <c r="D48" s="244"/>
      <c r="E48" s="244"/>
      <c r="F48" s="244"/>
      <c r="G48" s="244"/>
      <c r="H48" s="244"/>
      <c r="I48" s="244"/>
      <c r="J48" s="244"/>
    </row>
    <row r="49" spans="1:10" x14ac:dyDescent="0.25">
      <c r="A49" s="252"/>
      <c r="B49" s="312"/>
      <c r="C49" s="244"/>
      <c r="D49" s="244"/>
      <c r="E49" s="244"/>
      <c r="F49" s="244"/>
      <c r="G49" s="244"/>
      <c r="H49" s="244"/>
      <c r="I49" s="244"/>
      <c r="J49" s="244"/>
    </row>
    <row r="50" spans="1:10" x14ac:dyDescent="0.25">
      <c r="A50" s="252" t="s">
        <v>84</v>
      </c>
      <c r="B50" s="260" t="str">
        <f>PENYELIA!B50</f>
        <v>Alat Ukur Yang Digunakan</v>
      </c>
      <c r="C50" s="239"/>
      <c r="D50" s="239"/>
      <c r="E50" s="239"/>
      <c r="F50" s="239"/>
      <c r="G50" s="239"/>
      <c r="H50" s="239"/>
      <c r="I50" s="239"/>
      <c r="J50" s="239"/>
    </row>
    <row r="51" spans="1:10" x14ac:dyDescent="0.25">
      <c r="A51" s="261"/>
      <c r="B51" s="262" t="str">
        <f>ID!B51:J51</f>
        <v>Digital Tachometer, Merek : Krisbow, Model : KW06-563, SN : 180812200</v>
      </c>
      <c r="C51" s="262"/>
      <c r="D51" s="262"/>
      <c r="E51" s="262"/>
      <c r="F51" s="262"/>
      <c r="G51" s="262"/>
      <c r="H51" s="262"/>
      <c r="I51" s="239"/>
      <c r="J51" s="239"/>
    </row>
    <row r="52" spans="1:10" x14ac:dyDescent="0.25">
      <c r="A52" s="261"/>
      <c r="B52" s="262" t="str">
        <f>ID!B52:J52</f>
        <v>Electrical Safety Analyzer, Merek : Fluke, Model : ESA 615, SN : 3148908</v>
      </c>
      <c r="C52" s="262"/>
      <c r="D52" s="262"/>
      <c r="E52" s="262"/>
      <c r="F52" s="262"/>
      <c r="G52" s="262"/>
      <c r="H52" s="262"/>
      <c r="I52" s="239"/>
      <c r="J52" s="239"/>
    </row>
    <row r="53" spans="1:10" x14ac:dyDescent="0.25">
      <c r="A53" s="261"/>
      <c r="B53" s="262" t="str">
        <f>ID!B53:J53</f>
        <v>Digital Lux Meter, Merek : EXTECH, Model : Easy View 30, SN : 110705875</v>
      </c>
      <c r="C53" s="262"/>
      <c r="D53" s="262"/>
      <c r="E53" s="262"/>
      <c r="F53" s="262"/>
      <c r="G53" s="262"/>
      <c r="H53" s="262"/>
      <c r="I53" s="239"/>
      <c r="J53" s="239"/>
    </row>
    <row r="54" spans="1:10" x14ac:dyDescent="0.25">
      <c r="A54" s="261"/>
      <c r="B54" s="262" t="str">
        <f>ID!B54:J54</f>
        <v>Digital Pressure Meter, Merek : Fluke, Model : DPM4 2G, SN : 4821027</v>
      </c>
      <c r="C54" s="262"/>
      <c r="D54" s="262"/>
      <c r="E54" s="262"/>
      <c r="F54" s="262"/>
      <c r="G54" s="262"/>
      <c r="H54" s="262"/>
      <c r="I54" s="263"/>
      <c r="J54" s="263"/>
    </row>
    <row r="55" spans="1:10" x14ac:dyDescent="0.25">
      <c r="A55" s="239"/>
      <c r="B55" s="264"/>
      <c r="C55" s="264"/>
      <c r="D55" s="264"/>
      <c r="E55" s="264"/>
      <c r="F55" s="264"/>
      <c r="G55" s="264"/>
      <c r="H55" s="264"/>
      <c r="I55" s="264"/>
      <c r="J55" s="239"/>
    </row>
    <row r="56" spans="1:10" x14ac:dyDescent="0.25">
      <c r="A56" s="243" t="s">
        <v>100</v>
      </c>
      <c r="B56" s="265" t="s">
        <v>101</v>
      </c>
      <c r="C56" s="239"/>
      <c r="D56" s="239"/>
      <c r="E56" s="239"/>
      <c r="F56" s="239"/>
      <c r="G56" s="239"/>
      <c r="H56" s="239"/>
      <c r="I56" s="239"/>
      <c r="J56" s="239"/>
    </row>
    <row r="57" spans="1:10" ht="52.5" customHeight="1" x14ac:dyDescent="0.25">
      <c r="A57" s="243"/>
      <c r="B57" s="1507" t="str">
        <f>ID!B58</f>
        <v>Alat yang diuji dalam batas toleransi dan dinyatakan LAIK PAKAI, dimana hasil atau skor akhir sama dengan atau melampaui 70 % berdasarkan Keputusan Direktur Jenderal Pelayanan Kesehatan No : HK.02.02/V/0412/2020</v>
      </c>
      <c r="C57" s="1507"/>
      <c r="D57" s="1507"/>
      <c r="E57" s="1507"/>
      <c r="F57" s="1507"/>
      <c r="G57" s="1507"/>
      <c r="H57" s="1507"/>
      <c r="I57" s="1507"/>
      <c r="J57" s="1507"/>
    </row>
    <row r="58" spans="1:10" x14ac:dyDescent="0.25">
      <c r="A58" s="239"/>
      <c r="B58" s="263"/>
      <c r="C58" s="239"/>
      <c r="D58" s="239"/>
      <c r="E58" s="239"/>
      <c r="F58" s="239"/>
      <c r="G58" s="239"/>
      <c r="H58" s="239"/>
      <c r="I58" s="239"/>
      <c r="J58" s="239"/>
    </row>
    <row r="59" spans="1:10" x14ac:dyDescent="0.25">
      <c r="A59" s="252" t="s">
        <v>103</v>
      </c>
      <c r="B59" s="260" t="s">
        <v>104</v>
      </c>
      <c r="C59" s="239"/>
      <c r="D59" s="239"/>
      <c r="E59" s="239"/>
      <c r="F59" s="239"/>
      <c r="G59" s="239"/>
      <c r="H59" s="239"/>
      <c r="I59" s="266"/>
      <c r="J59" s="239"/>
    </row>
    <row r="60" spans="1:10" x14ac:dyDescent="0.25">
      <c r="A60" s="252"/>
      <c r="B60" s="1507" t="str">
        <f>ID!B62:E62</f>
        <v>Wardimanul Abrar</v>
      </c>
      <c r="C60" s="1507"/>
      <c r="D60" s="1507"/>
      <c r="E60" s="239"/>
      <c r="F60" s="239"/>
      <c r="G60" s="239"/>
      <c r="H60" s="239"/>
      <c r="I60" s="266"/>
      <c r="J60" s="239"/>
    </row>
    <row r="61" spans="1:10" x14ac:dyDescent="0.25">
      <c r="A61" s="239"/>
      <c r="B61" s="239"/>
      <c r="C61" s="239"/>
      <c r="D61" s="239"/>
      <c r="E61" s="239"/>
      <c r="F61" s="239"/>
      <c r="G61" s="239"/>
      <c r="H61" s="239"/>
      <c r="I61" s="239"/>
      <c r="J61" s="239"/>
    </row>
    <row r="62" spans="1:10" hidden="1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</row>
    <row r="63" spans="1:10" x14ac:dyDescent="0.25">
      <c r="A63" s="239"/>
      <c r="B63" s="239"/>
      <c r="C63" s="239"/>
      <c r="D63" s="239"/>
      <c r="E63" s="239"/>
      <c r="F63" s="239"/>
      <c r="G63" s="782" t="s">
        <v>403</v>
      </c>
      <c r="H63" s="239"/>
      <c r="I63" s="239"/>
      <c r="J63" s="239"/>
    </row>
    <row r="64" spans="1:10" x14ac:dyDescent="0.25">
      <c r="A64" s="239"/>
      <c r="B64" s="239"/>
      <c r="C64" s="239"/>
      <c r="D64" s="239"/>
      <c r="E64" s="239"/>
      <c r="F64" s="239"/>
      <c r="G64" s="782" t="s">
        <v>404</v>
      </c>
      <c r="H64" s="239"/>
      <c r="I64" s="239"/>
      <c r="J64" s="239"/>
    </row>
    <row r="65" spans="1:10" x14ac:dyDescent="0.25">
      <c r="A65" s="239"/>
      <c r="B65" s="239"/>
      <c r="C65" s="239"/>
      <c r="D65" s="239"/>
      <c r="E65" s="239"/>
      <c r="F65" s="239"/>
      <c r="G65" s="782" t="s">
        <v>405</v>
      </c>
      <c r="H65" s="239"/>
      <c r="I65" s="239"/>
      <c r="J65" s="239"/>
    </row>
    <row r="66" spans="1:10" x14ac:dyDescent="0.25">
      <c r="A66" s="239"/>
      <c r="B66" s="239"/>
      <c r="C66" s="239"/>
      <c r="D66" s="239"/>
      <c r="E66" s="239"/>
      <c r="F66" s="239"/>
      <c r="G66" s="782"/>
      <c r="H66" s="239"/>
      <c r="I66" s="239"/>
      <c r="J66" s="239"/>
    </row>
    <row r="67" spans="1:10" hidden="1" x14ac:dyDescent="0.25">
      <c r="A67" s="239"/>
      <c r="B67" s="239"/>
      <c r="C67" s="239"/>
      <c r="D67" s="239"/>
      <c r="E67" s="239"/>
      <c r="F67" s="239"/>
      <c r="G67" s="782"/>
      <c r="H67" s="239"/>
      <c r="I67" s="239"/>
      <c r="J67" s="239"/>
    </row>
    <row r="68" spans="1:10" x14ac:dyDescent="0.25">
      <c r="A68" s="239"/>
      <c r="B68" s="239"/>
      <c r="C68" s="239"/>
      <c r="D68" s="239"/>
      <c r="E68" s="239"/>
      <c r="F68" s="239"/>
      <c r="G68" s="782"/>
      <c r="H68" s="239"/>
      <c r="I68" s="239"/>
      <c r="J68" s="239"/>
    </row>
    <row r="69" spans="1:10" x14ac:dyDescent="0.25">
      <c r="A69" s="239"/>
      <c r="B69" s="239"/>
      <c r="C69" s="239"/>
      <c r="D69" s="239"/>
      <c r="E69" s="239"/>
      <c r="F69" s="239"/>
      <c r="G69" s="267"/>
      <c r="H69" s="239"/>
      <c r="I69" s="239"/>
      <c r="J69" s="239"/>
    </row>
    <row r="70" spans="1:10" x14ac:dyDescent="0.25">
      <c r="A70" s="239"/>
      <c r="B70" s="239"/>
      <c r="C70" s="239"/>
      <c r="D70" s="239"/>
      <c r="E70" s="239"/>
      <c r="F70" s="239"/>
      <c r="G70" s="268" t="s">
        <v>406</v>
      </c>
      <c r="H70" s="239"/>
      <c r="I70" s="239"/>
      <c r="J70" s="239"/>
    </row>
    <row r="71" spans="1:10" ht="12" customHeight="1" x14ac:dyDescent="0.25">
      <c r="A71" s="239"/>
      <c r="B71" s="239"/>
      <c r="C71" s="239"/>
      <c r="D71" s="239"/>
      <c r="E71" s="239"/>
      <c r="F71" s="239"/>
      <c r="G71" s="269" t="s">
        <v>407</v>
      </c>
      <c r="H71" s="239"/>
      <c r="I71" s="239"/>
      <c r="J71" s="239"/>
    </row>
    <row r="72" spans="1:10" ht="17.25" customHeight="1" x14ac:dyDescent="0.2">
      <c r="A72" s="239"/>
      <c r="B72" s="239"/>
      <c r="C72" s="239"/>
      <c r="D72" s="239"/>
      <c r="E72" s="239"/>
      <c r="F72" s="239"/>
      <c r="G72" s="239"/>
      <c r="H72" s="239"/>
      <c r="I72" s="239"/>
      <c r="J72" s="808" t="s">
        <v>408</v>
      </c>
    </row>
    <row r="75" spans="1:10" x14ac:dyDescent="0.25">
      <c r="G75" s="371"/>
      <c r="H75" s="268"/>
      <c r="I75" s="269"/>
    </row>
  </sheetData>
  <sheetProtection formatCells="0" formatColumns="0" formatRows="0" insertColumns="0" insertRows="0" deleteColumns="0" deleteRows="0"/>
  <mergeCells count="29">
    <mergeCell ref="B60:D60"/>
    <mergeCell ref="G30:H31"/>
    <mergeCell ref="I30:J31"/>
    <mergeCell ref="D35:E35"/>
    <mergeCell ref="D36:E36"/>
    <mergeCell ref="D37:E37"/>
    <mergeCell ref="D34:E34"/>
    <mergeCell ref="D33:E33"/>
    <mergeCell ref="G32:H32"/>
    <mergeCell ref="G36:H36"/>
    <mergeCell ref="G37:H37"/>
    <mergeCell ref="G35:H35"/>
    <mergeCell ref="G34:H34"/>
    <mergeCell ref="G33:H33"/>
    <mergeCell ref="B57:J57"/>
    <mergeCell ref="C25:F25"/>
    <mergeCell ref="D30:E31"/>
    <mergeCell ref="C26:F26"/>
    <mergeCell ref="B33:B34"/>
    <mergeCell ref="C33:C34"/>
    <mergeCell ref="B30:B31"/>
    <mergeCell ref="C30:C31"/>
    <mergeCell ref="F30:F31"/>
    <mergeCell ref="D32:E32"/>
    <mergeCell ref="A1:J1"/>
    <mergeCell ref="A2:J2"/>
    <mergeCell ref="C23:F23"/>
    <mergeCell ref="G23:H23"/>
    <mergeCell ref="I23:J23"/>
  </mergeCells>
  <dataValidations count="3">
    <dataValidation allowBlank="1" showInputMessage="1" sqref="B60:D60 A2:J2" xr:uid="{00000000-0002-0000-0700-000000000000}"/>
    <dataValidation type="list" allowBlank="1" showInputMessage="1" showErrorMessage="1" sqref="I51:J51 I54:J54" xr:uid="{00000000-0002-0000-0700-000001000000}">
      <formula1>#REF!</formula1>
    </dataValidation>
    <dataValidation type="list" allowBlank="1" showInputMessage="1" sqref="B55" xr:uid="{00000000-0002-0000-0700-000002000000}">
      <formula1>#REF!</formula1>
    </dataValidation>
  </dataValidations>
  <printOptions horizontalCentered="1"/>
  <pageMargins left="0.17" right="0.17" top="0.31496062992126" bottom="0.39370078740157499" header="0.196850393700787" footer="0.15748031496063"/>
  <pageSetup paperSize="9" scale="69" orientation="portrait" r:id="rId1"/>
  <headerFooter>
    <oddHeader>&amp;R&amp;8KL.089 - 19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72" max="16383" man="1"/>
  </rowBreaks>
  <drawing r:id="rId2"/>
  <legacyDrawing r:id="rId3"/>
  <oleObjects>
    <mc:AlternateContent xmlns:mc="http://schemas.openxmlformats.org/markup-compatibility/2006">
      <mc:Choice Requires="x14">
        <oleObject progId="Equation.3" shapeId="32778" r:id="rId4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78" r:id="rId4"/>
      </mc:Fallback>
    </mc:AlternateContent>
    <mc:AlternateContent xmlns:mc="http://schemas.openxmlformats.org/markup-compatibility/2006">
      <mc:Choice Requires="x14">
        <oleObject progId="Equation.3" shapeId="32779" r:id="rId6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79" r:id="rId6"/>
      </mc:Fallback>
    </mc:AlternateContent>
    <mc:AlternateContent xmlns:mc="http://schemas.openxmlformats.org/markup-compatibility/2006">
      <mc:Choice Requires="x14">
        <oleObject progId="Equation.3" shapeId="32780" r:id="rId7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0" r:id="rId7"/>
      </mc:Fallback>
    </mc:AlternateContent>
    <mc:AlternateContent xmlns:mc="http://schemas.openxmlformats.org/markup-compatibility/2006">
      <mc:Choice Requires="x14">
        <oleObject progId="Equation.3" shapeId="32781" r:id="rId8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1" r:id="rId8"/>
      </mc:Fallback>
    </mc:AlternateContent>
    <mc:AlternateContent xmlns:mc="http://schemas.openxmlformats.org/markup-compatibility/2006">
      <mc:Choice Requires="x14">
        <oleObject progId="Equation.3" shapeId="32782" r:id="rId9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2" r:id="rId9"/>
      </mc:Fallback>
    </mc:AlternateContent>
    <mc:AlternateContent xmlns:mc="http://schemas.openxmlformats.org/markup-compatibility/2006">
      <mc:Choice Requires="x14">
        <oleObject progId="Equation.3" shapeId="32783" r:id="rId10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3" r:id="rId10"/>
      </mc:Fallback>
    </mc:AlternateContent>
    <mc:AlternateContent xmlns:mc="http://schemas.openxmlformats.org/markup-compatibility/2006">
      <mc:Choice Requires="x14">
        <oleObject progId="Equation.3" shapeId="32784" r:id="rId11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4" r:id="rId11"/>
      </mc:Fallback>
    </mc:AlternateContent>
    <mc:AlternateContent xmlns:mc="http://schemas.openxmlformats.org/markup-compatibility/2006">
      <mc:Choice Requires="x14">
        <oleObject progId="Equation.3" shapeId="32785" r:id="rId12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5" r:id="rId12"/>
      </mc:Fallback>
    </mc:AlternateContent>
    <mc:AlternateContent xmlns:mc="http://schemas.openxmlformats.org/markup-compatibility/2006">
      <mc:Choice Requires="x14">
        <oleObject progId="Equation.3" shapeId="32786" r:id="rId13">
          <objectPr defaultSize="0" autoPict="0" r:id="rId5">
            <anchor moveWithCells="1" sizeWithCells="1">
              <from>
                <xdr:col>6</xdr:col>
                <xdr:colOff>22860</xdr:colOff>
                <xdr:row>26</xdr:row>
                <xdr:rowOff>0</xdr:rowOff>
              </from>
              <to>
                <xdr:col>6</xdr:col>
                <xdr:colOff>22860</xdr:colOff>
                <xdr:row>26</xdr:row>
                <xdr:rowOff>0</xdr:rowOff>
              </to>
            </anchor>
          </objectPr>
        </oleObject>
      </mc:Choice>
      <mc:Fallback>
        <oleObject progId="Equation.3" shapeId="32786" r:id="rId1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AB91"/>
  <sheetViews>
    <sheetView topLeftCell="A10" workbookViewId="0">
      <selection activeCell="T22" sqref="T22"/>
    </sheetView>
  </sheetViews>
  <sheetFormatPr defaultRowHeight="13.2" x14ac:dyDescent="0.25"/>
  <cols>
    <col min="2" max="2" width="21.5546875" customWidth="1"/>
    <col min="3" max="3" width="17.6640625" customWidth="1"/>
    <col min="4" max="4" width="12" customWidth="1"/>
    <col min="5" max="5" width="11.33203125" customWidth="1"/>
  </cols>
  <sheetData>
    <row r="4" spans="2:28" ht="15" x14ac:dyDescent="0.25">
      <c r="B4" s="593" t="s">
        <v>287</v>
      </c>
      <c r="C4" s="602" t="s">
        <v>409</v>
      </c>
      <c r="D4" s="600" t="s">
        <v>410</v>
      </c>
      <c r="E4" s="333"/>
      <c r="F4" s="333"/>
      <c r="G4" s="333"/>
      <c r="H4" s="333"/>
      <c r="I4" s="321"/>
      <c r="J4" s="321"/>
      <c r="K4" s="321"/>
    </row>
    <row r="5" spans="2:28" ht="15" x14ac:dyDescent="0.25">
      <c r="B5" s="333" t="s">
        <v>411</v>
      </c>
      <c r="C5" s="602" t="s">
        <v>412</v>
      </c>
      <c r="D5" s="601" t="s">
        <v>413</v>
      </c>
      <c r="E5" s="333"/>
      <c r="F5" s="333"/>
      <c r="G5" s="333"/>
      <c r="H5" s="333"/>
      <c r="I5" s="321"/>
      <c r="J5" s="321"/>
      <c r="K5" s="321"/>
      <c r="V5" s="310"/>
      <c r="W5" s="310"/>
      <c r="X5" s="310"/>
      <c r="Y5" s="310"/>
      <c r="Z5" s="310"/>
      <c r="AA5" s="310"/>
      <c r="AB5" s="310"/>
    </row>
    <row r="6" spans="2:28" ht="15.6" x14ac:dyDescent="0.25">
      <c r="B6" s="604" t="s">
        <v>414</v>
      </c>
      <c r="J6" s="333" t="s">
        <v>415</v>
      </c>
      <c r="V6" s="373"/>
      <c r="W6" s="162" t="s">
        <v>416</v>
      </c>
      <c r="X6" s="233" t="s">
        <v>417</v>
      </c>
      <c r="Y6" s="310"/>
      <c r="Z6" s="310"/>
      <c r="AA6" s="310"/>
      <c r="AB6" s="310"/>
    </row>
    <row r="7" spans="2:28" ht="15.6" x14ac:dyDescent="0.25">
      <c r="B7" s="595" t="s">
        <v>418</v>
      </c>
      <c r="J7" s="333" t="s">
        <v>419</v>
      </c>
      <c r="V7" s="374" t="b">
        <f>IF(PENYELIA!J25=W6,0.2,IF(PENYELIA!J25=W7,0.3))</f>
        <v>0</v>
      </c>
      <c r="W7" s="162" t="s">
        <v>41</v>
      </c>
      <c r="X7" s="234" t="s">
        <v>420</v>
      </c>
      <c r="Y7" s="310"/>
      <c r="Z7" s="310"/>
      <c r="AA7" s="310"/>
      <c r="AB7" s="310"/>
    </row>
    <row r="8" spans="2:28" ht="15.6" x14ac:dyDescent="0.25">
      <c r="V8" s="374">
        <f>IF(PENYELIA!C26=X8,W8,W9)</f>
        <v>500</v>
      </c>
      <c r="W8" s="162">
        <v>500</v>
      </c>
      <c r="X8" s="233" t="s">
        <v>296</v>
      </c>
      <c r="Y8" s="310"/>
      <c r="Z8" s="310"/>
      <c r="AA8" s="310"/>
      <c r="AB8" s="310"/>
    </row>
    <row r="9" spans="2:28" ht="15.6" x14ac:dyDescent="0.25">
      <c r="V9" s="373"/>
      <c r="W9" s="162">
        <v>100</v>
      </c>
      <c r="X9" s="233" t="s">
        <v>389</v>
      </c>
      <c r="Y9" s="310"/>
      <c r="Z9" s="310"/>
      <c r="AA9" s="310"/>
      <c r="AB9" s="310"/>
    </row>
    <row r="10" spans="2:28" ht="13.8" x14ac:dyDescent="0.25">
      <c r="V10" s="375" t="s">
        <v>421</v>
      </c>
      <c r="W10" s="310"/>
      <c r="X10" s="376">
        <f>PENYELIA!J64</f>
        <v>100</v>
      </c>
      <c r="Y10" s="310"/>
      <c r="Z10" s="310"/>
      <c r="AA10" s="310"/>
      <c r="AB10" s="310"/>
    </row>
    <row r="11" spans="2:28" ht="15" x14ac:dyDescent="0.25">
      <c r="B11" s="333"/>
      <c r="C11" s="333"/>
      <c r="D11" s="333"/>
      <c r="E11" s="333"/>
      <c r="F11" s="333"/>
      <c r="G11" s="333"/>
      <c r="H11" s="333"/>
      <c r="I11" s="321"/>
      <c r="J11" s="321"/>
      <c r="K11" s="321"/>
      <c r="P11" s="605" t="s">
        <v>422</v>
      </c>
      <c r="V11" s="375" t="s">
        <v>129</v>
      </c>
      <c r="W11" s="310"/>
      <c r="X11" s="310"/>
      <c r="Y11" s="310"/>
      <c r="Z11" s="310"/>
      <c r="AA11" s="310"/>
      <c r="AB11" s="310"/>
    </row>
    <row r="12" spans="2:28" ht="15" x14ac:dyDescent="0.25">
      <c r="B12" s="887">
        <v>0.2</v>
      </c>
      <c r="C12" s="594" t="s">
        <v>386</v>
      </c>
      <c r="D12" s="333"/>
      <c r="E12" s="333"/>
      <c r="F12" s="333"/>
      <c r="G12" s="333"/>
      <c r="H12" s="333"/>
      <c r="I12" s="321"/>
      <c r="J12" s="321"/>
      <c r="K12" s="401"/>
      <c r="P12" s="605" t="s">
        <v>423</v>
      </c>
      <c r="V12" s="310"/>
      <c r="W12" s="310"/>
      <c r="X12" s="310"/>
      <c r="Y12" s="310"/>
      <c r="Z12" s="310"/>
      <c r="AA12" s="310"/>
      <c r="AB12" s="310"/>
    </row>
    <row r="13" spans="2:28" ht="15" x14ac:dyDescent="0.25">
      <c r="B13" s="887">
        <v>0.3</v>
      </c>
      <c r="C13" s="595" t="s">
        <v>294</v>
      </c>
      <c r="D13" s="333"/>
      <c r="E13" s="333"/>
      <c r="F13" s="333"/>
      <c r="G13" s="333"/>
      <c r="H13" s="333"/>
      <c r="I13" s="321"/>
      <c r="J13" s="321"/>
      <c r="K13" s="402"/>
      <c r="P13" s="605" t="s">
        <v>424</v>
      </c>
      <c r="V13" s="310"/>
      <c r="W13" s="310"/>
      <c r="X13" s="310"/>
      <c r="Y13" s="310"/>
      <c r="Z13" s="310"/>
      <c r="AA13" s="310"/>
      <c r="AB13" s="310"/>
    </row>
    <row r="14" spans="2:28" x14ac:dyDescent="0.25">
      <c r="B14" s="886">
        <v>500</v>
      </c>
      <c r="C14" s="594" t="s">
        <v>296</v>
      </c>
      <c r="D14" s="333"/>
      <c r="E14" s="333"/>
      <c r="F14" s="333"/>
      <c r="G14" s="333"/>
      <c r="H14" s="333"/>
      <c r="I14" s="333">
        <v>500</v>
      </c>
      <c r="J14" s="333"/>
      <c r="K14" s="603" t="s">
        <v>425</v>
      </c>
      <c r="P14" s="605" t="s">
        <v>426</v>
      </c>
    </row>
    <row r="15" spans="2:28" x14ac:dyDescent="0.25">
      <c r="B15" s="886">
        <v>100</v>
      </c>
      <c r="C15" s="594" t="s">
        <v>389</v>
      </c>
      <c r="D15" s="333"/>
      <c r="E15" s="333"/>
      <c r="F15" s="333"/>
      <c r="G15" s="333"/>
      <c r="H15" s="333"/>
      <c r="I15" s="333">
        <v>100</v>
      </c>
      <c r="J15" s="333"/>
      <c r="K15" s="603" t="s">
        <v>427</v>
      </c>
      <c r="P15" s="605" t="s">
        <v>428</v>
      </c>
    </row>
    <row r="16" spans="2:28" ht="15.6" x14ac:dyDescent="0.25">
      <c r="B16" s="333"/>
      <c r="C16" s="333"/>
      <c r="D16" s="333"/>
      <c r="E16" s="333"/>
      <c r="F16" s="333"/>
      <c r="G16" s="333"/>
      <c r="H16" s="596"/>
      <c r="I16" s="338"/>
      <c r="J16" s="338"/>
      <c r="K16" s="422" t="s">
        <v>129</v>
      </c>
      <c r="P16" s="605" t="s">
        <v>429</v>
      </c>
    </row>
    <row r="17" spans="2:16" ht="15" x14ac:dyDescent="0.25">
      <c r="B17" s="333" t="s">
        <v>305</v>
      </c>
      <c r="C17" s="333"/>
      <c r="D17" s="333"/>
      <c r="E17" s="333"/>
      <c r="F17" s="333"/>
      <c r="G17" s="333"/>
      <c r="H17" s="597"/>
      <c r="I17" s="321"/>
      <c r="J17" s="321"/>
      <c r="K17" s="321" t="s">
        <v>129</v>
      </c>
      <c r="P17" s="605" t="s">
        <v>430</v>
      </c>
    </row>
    <row r="18" spans="2:16" ht="15" x14ac:dyDescent="0.25">
      <c r="B18" s="333" t="s">
        <v>431</v>
      </c>
      <c r="C18" s="333"/>
      <c r="D18" s="333"/>
      <c r="E18" s="333"/>
      <c r="F18" s="333"/>
      <c r="G18" s="333"/>
      <c r="H18" s="333"/>
      <c r="I18" s="321"/>
      <c r="J18" s="321"/>
      <c r="K18" s="321"/>
      <c r="P18" s="605" t="s">
        <v>432</v>
      </c>
    </row>
    <row r="19" spans="2:16" ht="15" x14ac:dyDescent="0.25">
      <c r="B19" s="598" t="s">
        <v>433</v>
      </c>
      <c r="C19" s="333"/>
      <c r="D19" s="333"/>
      <c r="E19" s="333"/>
      <c r="F19" s="333"/>
      <c r="G19" s="333"/>
      <c r="H19" s="333"/>
      <c r="I19" s="321"/>
      <c r="J19" s="321"/>
      <c r="K19" s="321"/>
      <c r="P19" s="605" t="s">
        <v>434</v>
      </c>
    </row>
    <row r="20" spans="2:16" ht="15" x14ac:dyDescent="0.25">
      <c r="B20" s="598" t="s">
        <v>435</v>
      </c>
      <c r="C20" s="333"/>
      <c r="D20" s="333"/>
      <c r="E20" s="599"/>
      <c r="F20" s="599"/>
      <c r="G20" s="599"/>
      <c r="H20" s="333"/>
      <c r="I20" s="321"/>
      <c r="J20" s="321"/>
      <c r="K20" s="321"/>
      <c r="P20" s="605" t="s">
        <v>436</v>
      </c>
    </row>
    <row r="21" spans="2:16" ht="15" x14ac:dyDescent="0.25">
      <c r="B21" s="598" t="s">
        <v>437</v>
      </c>
      <c r="C21" s="333"/>
      <c r="D21" s="333"/>
      <c r="E21" s="599"/>
      <c r="F21" s="599"/>
      <c r="G21" s="599"/>
      <c r="H21" s="599"/>
      <c r="I21" s="323"/>
      <c r="J21" s="323"/>
      <c r="K21" s="323"/>
      <c r="P21" s="605" t="s">
        <v>438</v>
      </c>
    </row>
    <row r="22" spans="2:16" ht="15" x14ac:dyDescent="0.25">
      <c r="B22" s="598" t="s">
        <v>437</v>
      </c>
      <c r="C22" s="333"/>
      <c r="D22" s="333"/>
      <c r="E22" s="333"/>
      <c r="F22" s="333"/>
      <c r="G22" s="333"/>
      <c r="H22" s="599"/>
      <c r="I22" s="323"/>
      <c r="J22" s="323"/>
      <c r="K22" s="323"/>
      <c r="P22" s="605" t="s">
        <v>439</v>
      </c>
    </row>
    <row r="23" spans="2:16" ht="15" x14ac:dyDescent="0.25">
      <c r="B23" s="333"/>
      <c r="C23" s="333"/>
      <c r="D23" s="333"/>
      <c r="E23" s="333"/>
      <c r="F23" s="597"/>
      <c r="G23" s="333"/>
      <c r="H23" s="333"/>
      <c r="I23" s="321"/>
      <c r="J23" s="321"/>
      <c r="K23" s="321"/>
      <c r="P23" s="605" t="s">
        <v>440</v>
      </c>
    </row>
    <row r="24" spans="2:16" ht="15" x14ac:dyDescent="0.25">
      <c r="B24" s="333" t="s">
        <v>441</v>
      </c>
      <c r="C24" s="333"/>
      <c r="D24" s="333"/>
      <c r="E24" s="333"/>
      <c r="F24" s="597"/>
      <c r="G24" s="333"/>
      <c r="H24" s="333"/>
      <c r="I24" s="321"/>
      <c r="J24" s="321"/>
      <c r="K24" s="321"/>
      <c r="P24" s="605" t="s">
        <v>442</v>
      </c>
    </row>
    <row r="25" spans="2:16" x14ac:dyDescent="0.25">
      <c r="B25" s="333" t="s">
        <v>443</v>
      </c>
      <c r="P25" s="605" t="s">
        <v>444</v>
      </c>
    </row>
    <row r="26" spans="2:16" ht="15" x14ac:dyDescent="0.25">
      <c r="B26" s="333" t="s">
        <v>443</v>
      </c>
      <c r="C26" s="333"/>
      <c r="D26" s="333"/>
      <c r="E26" s="333"/>
      <c r="F26" s="597"/>
      <c r="G26" s="333"/>
      <c r="H26" s="333"/>
      <c r="I26" s="321"/>
      <c r="J26" s="321"/>
      <c r="K26" s="321"/>
      <c r="P26" s="605" t="s">
        <v>308</v>
      </c>
    </row>
    <row r="27" spans="2:16" ht="15" x14ac:dyDescent="0.25">
      <c r="B27" s="333" t="s">
        <v>445</v>
      </c>
      <c r="C27" s="333"/>
      <c r="D27" s="333"/>
      <c r="E27" s="333"/>
      <c r="F27" s="597"/>
      <c r="G27" s="333"/>
      <c r="H27" s="333"/>
      <c r="I27" s="321"/>
      <c r="J27" s="321"/>
      <c r="K27" s="321"/>
      <c r="P27" s="605" t="s">
        <v>446</v>
      </c>
    </row>
    <row r="28" spans="2:16" x14ac:dyDescent="0.25">
      <c r="B28" s="333" t="s">
        <v>445</v>
      </c>
      <c r="P28" s="605" t="s">
        <v>447</v>
      </c>
    </row>
    <row r="29" spans="2:16" x14ac:dyDescent="0.25">
      <c r="B29" s="333" t="s">
        <v>445</v>
      </c>
      <c r="P29" s="605" t="s">
        <v>448</v>
      </c>
    </row>
    <row r="30" spans="2:16" x14ac:dyDescent="0.25">
      <c r="P30" s="605" t="s">
        <v>449</v>
      </c>
    </row>
    <row r="31" spans="2:16" x14ac:dyDescent="0.25">
      <c r="P31" s="605" t="s">
        <v>450</v>
      </c>
    </row>
    <row r="33" spans="1:5" x14ac:dyDescent="0.25">
      <c r="B33" s="852" t="str">
        <f>ID!B50</f>
        <v>Alat Ukur Yang Digunakan</v>
      </c>
    </row>
    <row r="34" spans="1:5" x14ac:dyDescent="0.25">
      <c r="B34" s="854" t="s">
        <v>451</v>
      </c>
      <c r="C34" s="854" t="s">
        <v>2</v>
      </c>
      <c r="D34" s="854" t="s">
        <v>452</v>
      </c>
      <c r="E34" s="854" t="s">
        <v>453</v>
      </c>
    </row>
    <row r="35" spans="1:5" s="853" customFormat="1" x14ac:dyDescent="0.25">
      <c r="A35" s="869">
        <v>1</v>
      </c>
      <c r="B35" s="855" t="s">
        <v>454</v>
      </c>
      <c r="C35" s="856" t="s">
        <v>455</v>
      </c>
      <c r="D35" s="856" t="s">
        <v>456</v>
      </c>
      <c r="E35" s="857">
        <v>631339</v>
      </c>
    </row>
    <row r="36" spans="1:5" x14ac:dyDescent="0.25">
      <c r="A36" s="869">
        <v>2</v>
      </c>
      <c r="B36" s="855" t="s">
        <v>454</v>
      </c>
      <c r="C36" s="856" t="s">
        <v>455</v>
      </c>
      <c r="D36" s="856" t="s">
        <v>456</v>
      </c>
      <c r="E36" s="857">
        <v>631340</v>
      </c>
    </row>
    <row r="37" spans="1:5" x14ac:dyDescent="0.25">
      <c r="A37" s="869">
        <v>3</v>
      </c>
      <c r="B37" s="855" t="s">
        <v>454</v>
      </c>
      <c r="C37" s="856" t="s">
        <v>455</v>
      </c>
      <c r="D37" s="856" t="s">
        <v>456</v>
      </c>
      <c r="E37" s="857">
        <v>631341</v>
      </c>
    </row>
    <row r="38" spans="1:5" x14ac:dyDescent="0.25">
      <c r="A38" s="869">
        <v>4</v>
      </c>
      <c r="B38" s="855" t="s">
        <v>454</v>
      </c>
      <c r="C38" s="856" t="s">
        <v>455</v>
      </c>
      <c r="D38" s="856" t="s">
        <v>456</v>
      </c>
      <c r="E38" s="857">
        <v>632334</v>
      </c>
    </row>
    <row r="39" spans="1:5" x14ac:dyDescent="0.25">
      <c r="A39" s="869">
        <v>5</v>
      </c>
      <c r="B39" s="855" t="s">
        <v>454</v>
      </c>
      <c r="C39" s="858" t="s">
        <v>457</v>
      </c>
      <c r="D39" s="858" t="s">
        <v>458</v>
      </c>
      <c r="E39" s="857">
        <v>180812179</v>
      </c>
    </row>
    <row r="40" spans="1:5" x14ac:dyDescent="0.25">
      <c r="A40" s="869">
        <v>6</v>
      </c>
      <c r="B40" s="855" t="s">
        <v>454</v>
      </c>
      <c r="C40" s="858" t="s">
        <v>457</v>
      </c>
      <c r="D40" s="858" t="s">
        <v>459</v>
      </c>
      <c r="E40" s="857">
        <v>180812200</v>
      </c>
    </row>
    <row r="41" spans="1:5" x14ac:dyDescent="0.25">
      <c r="A41" s="869">
        <v>7</v>
      </c>
      <c r="B41" s="859" t="s">
        <v>454</v>
      </c>
      <c r="C41" s="860" t="s">
        <v>457</v>
      </c>
      <c r="D41" s="860" t="s">
        <v>460</v>
      </c>
      <c r="E41" s="861">
        <v>180812206</v>
      </c>
    </row>
    <row r="42" spans="1:5" x14ac:dyDescent="0.25">
      <c r="A42" s="869"/>
      <c r="B42" s="859"/>
      <c r="C42" s="860"/>
      <c r="D42" s="860"/>
      <c r="E42" s="861"/>
    </row>
    <row r="43" spans="1:5" x14ac:dyDescent="0.25">
      <c r="A43" s="869">
        <v>8</v>
      </c>
      <c r="B43" s="862" t="s">
        <v>461</v>
      </c>
      <c r="C43" s="863" t="s">
        <v>462</v>
      </c>
      <c r="D43" s="863" t="s">
        <v>463</v>
      </c>
      <c r="E43" s="864">
        <v>1837056</v>
      </c>
    </row>
    <row r="44" spans="1:5" x14ac:dyDescent="0.25">
      <c r="A44" s="869">
        <v>9</v>
      </c>
      <c r="B44" s="862" t="s">
        <v>461</v>
      </c>
      <c r="C44" s="863" t="s">
        <v>462</v>
      </c>
      <c r="D44" s="863" t="s">
        <v>464</v>
      </c>
      <c r="E44" s="864">
        <v>1834020</v>
      </c>
    </row>
    <row r="45" spans="1:5" x14ac:dyDescent="0.25">
      <c r="A45" s="869">
        <v>10</v>
      </c>
      <c r="B45" s="862" t="s">
        <v>461</v>
      </c>
      <c r="C45" s="863" t="s">
        <v>462</v>
      </c>
      <c r="D45" s="863" t="s">
        <v>465</v>
      </c>
      <c r="E45" s="864">
        <v>2853077</v>
      </c>
    </row>
    <row r="46" spans="1:5" x14ac:dyDescent="0.25">
      <c r="A46" s="869">
        <v>11</v>
      </c>
      <c r="B46" s="862" t="s">
        <v>461</v>
      </c>
      <c r="C46" s="863" t="s">
        <v>462</v>
      </c>
      <c r="D46" s="863" t="s">
        <v>466</v>
      </c>
      <c r="E46" s="864">
        <v>2853078</v>
      </c>
    </row>
    <row r="47" spans="1:5" x14ac:dyDescent="0.25">
      <c r="A47" s="869">
        <v>12</v>
      </c>
      <c r="B47" s="862" t="s">
        <v>461</v>
      </c>
      <c r="C47" s="863" t="s">
        <v>462</v>
      </c>
      <c r="D47" s="863" t="s">
        <v>467</v>
      </c>
      <c r="E47" s="864">
        <v>3148907</v>
      </c>
    </row>
    <row r="48" spans="1:5" x14ac:dyDescent="0.25">
      <c r="A48" s="869">
        <v>13</v>
      </c>
      <c r="B48" s="862" t="s">
        <v>461</v>
      </c>
      <c r="C48" s="863" t="s">
        <v>462</v>
      </c>
      <c r="D48" s="863" t="s">
        <v>468</v>
      </c>
      <c r="E48" s="864">
        <v>3148908</v>
      </c>
    </row>
    <row r="49" spans="1:5" x14ac:dyDescent="0.25">
      <c r="A49" s="869">
        <v>14</v>
      </c>
      <c r="B49" s="862" t="s">
        <v>461</v>
      </c>
      <c r="C49" s="863" t="s">
        <v>462</v>
      </c>
      <c r="D49" s="863" t="s">
        <v>469</v>
      </c>
      <c r="E49" s="864">
        <v>3699030</v>
      </c>
    </row>
    <row r="50" spans="1:5" x14ac:dyDescent="0.25">
      <c r="A50" s="869">
        <v>15</v>
      </c>
      <c r="B50" s="862" t="s">
        <v>461</v>
      </c>
      <c r="C50" s="863" t="s">
        <v>462</v>
      </c>
      <c r="D50" s="863" t="s">
        <v>463</v>
      </c>
      <c r="E50" s="864">
        <v>4670010</v>
      </c>
    </row>
    <row r="51" spans="1:5" x14ac:dyDescent="0.25">
      <c r="A51" s="869">
        <v>16</v>
      </c>
      <c r="B51" s="865" t="s">
        <v>461</v>
      </c>
      <c r="C51" s="866" t="s">
        <v>462</v>
      </c>
      <c r="D51" s="866" t="s">
        <v>464</v>
      </c>
      <c r="E51" s="867">
        <v>4669058</v>
      </c>
    </row>
    <row r="52" spans="1:5" x14ac:dyDescent="0.25">
      <c r="A52" s="869"/>
      <c r="B52" s="865"/>
      <c r="C52" s="866"/>
      <c r="D52" s="866"/>
      <c r="E52" s="867"/>
    </row>
    <row r="53" spans="1:5" x14ac:dyDescent="0.25">
      <c r="A53" s="869">
        <v>17</v>
      </c>
      <c r="B53" s="855" t="s">
        <v>470</v>
      </c>
      <c r="C53" s="858" t="s">
        <v>471</v>
      </c>
      <c r="D53" s="856">
        <v>3421</v>
      </c>
      <c r="E53" s="857">
        <v>90130606</v>
      </c>
    </row>
    <row r="54" spans="1:5" x14ac:dyDescent="0.25">
      <c r="A54" s="869">
        <v>18</v>
      </c>
      <c r="B54" s="855" t="s">
        <v>472</v>
      </c>
      <c r="C54" s="858" t="s">
        <v>473</v>
      </c>
      <c r="D54" s="856" t="s">
        <v>474</v>
      </c>
      <c r="E54" s="857">
        <v>13100251</v>
      </c>
    </row>
    <row r="55" spans="1:5" x14ac:dyDescent="0.25">
      <c r="A55" s="869">
        <v>19</v>
      </c>
      <c r="B55" s="855" t="s">
        <v>472</v>
      </c>
      <c r="C55" s="858" t="s">
        <v>475</v>
      </c>
      <c r="D55" s="858" t="s">
        <v>476</v>
      </c>
      <c r="E55" s="857">
        <v>110705877</v>
      </c>
    </row>
    <row r="56" spans="1:5" x14ac:dyDescent="0.25">
      <c r="A56" s="869">
        <v>20</v>
      </c>
      <c r="B56" s="855" t="s">
        <v>472</v>
      </c>
      <c r="C56" s="858" t="s">
        <v>475</v>
      </c>
      <c r="D56" s="858" t="s">
        <v>477</v>
      </c>
      <c r="E56" s="857">
        <v>110705875</v>
      </c>
    </row>
    <row r="57" spans="1:5" x14ac:dyDescent="0.25">
      <c r="A57" s="869">
        <v>21</v>
      </c>
      <c r="B57" s="855" t="s">
        <v>472</v>
      </c>
      <c r="C57" s="858" t="s">
        <v>475</v>
      </c>
      <c r="D57" s="858" t="s">
        <v>478</v>
      </c>
      <c r="E57" s="857">
        <v>110705875</v>
      </c>
    </row>
    <row r="58" spans="1:5" x14ac:dyDescent="0.25">
      <c r="A58" s="869">
        <v>22</v>
      </c>
      <c r="B58" s="855" t="s">
        <v>472</v>
      </c>
      <c r="C58" s="858" t="s">
        <v>475</v>
      </c>
      <c r="D58" s="858" t="s">
        <v>479</v>
      </c>
      <c r="E58" s="857">
        <v>190102372</v>
      </c>
    </row>
    <row r="59" spans="1:5" x14ac:dyDescent="0.25">
      <c r="A59" s="869">
        <v>23</v>
      </c>
      <c r="B59" s="855" t="s">
        <v>472</v>
      </c>
      <c r="C59" s="858" t="s">
        <v>475</v>
      </c>
      <c r="D59" s="858" t="s">
        <v>480</v>
      </c>
      <c r="E59" s="857">
        <v>190412114</v>
      </c>
    </row>
    <row r="60" spans="1:5" x14ac:dyDescent="0.25">
      <c r="A60" s="869">
        <v>24</v>
      </c>
      <c r="B60" s="859" t="s">
        <v>472</v>
      </c>
      <c r="C60" s="860" t="s">
        <v>475</v>
      </c>
      <c r="D60" s="860" t="s">
        <v>481</v>
      </c>
      <c r="E60" s="861">
        <v>190509514</v>
      </c>
    </row>
    <row r="61" spans="1:5" x14ac:dyDescent="0.25">
      <c r="A61" s="869">
        <v>25</v>
      </c>
      <c r="B61" s="855" t="s">
        <v>482</v>
      </c>
      <c r="C61" s="858" t="s">
        <v>462</v>
      </c>
      <c r="D61" s="858" t="s">
        <v>483</v>
      </c>
      <c r="E61" s="857">
        <v>1831021</v>
      </c>
    </row>
    <row r="62" spans="1:5" x14ac:dyDescent="0.25">
      <c r="A62" s="869">
        <v>26</v>
      </c>
      <c r="B62" s="855" t="s">
        <v>482</v>
      </c>
      <c r="C62" s="858" t="s">
        <v>462</v>
      </c>
      <c r="D62" s="858" t="s">
        <v>483</v>
      </c>
      <c r="E62" s="857">
        <v>1831023</v>
      </c>
    </row>
    <row r="63" spans="1:5" x14ac:dyDescent="0.25">
      <c r="A63" s="869">
        <v>27</v>
      </c>
      <c r="B63" s="855" t="s">
        <v>482</v>
      </c>
      <c r="C63" s="858" t="s">
        <v>462</v>
      </c>
      <c r="D63" s="858" t="s">
        <v>483</v>
      </c>
      <c r="E63" s="857">
        <v>4414016</v>
      </c>
    </row>
    <row r="64" spans="1:5" x14ac:dyDescent="0.25">
      <c r="A64" s="869">
        <v>28</v>
      </c>
      <c r="B64" s="855" t="s">
        <v>482</v>
      </c>
      <c r="C64" s="858" t="s">
        <v>462</v>
      </c>
      <c r="D64" s="858" t="s">
        <v>483</v>
      </c>
      <c r="E64" s="857">
        <v>4414018</v>
      </c>
    </row>
    <row r="65" spans="1:5" x14ac:dyDescent="0.25">
      <c r="A65" s="869">
        <v>29</v>
      </c>
      <c r="B65" s="855" t="s">
        <v>482</v>
      </c>
      <c r="C65" s="858" t="s">
        <v>462</v>
      </c>
      <c r="D65" s="858" t="s">
        <v>483</v>
      </c>
      <c r="E65" s="857">
        <v>4821027</v>
      </c>
    </row>
    <row r="66" spans="1:5" x14ac:dyDescent="0.25">
      <c r="A66" s="869">
        <v>30</v>
      </c>
      <c r="B66" s="855" t="s">
        <v>482</v>
      </c>
      <c r="C66" s="858" t="s">
        <v>462</v>
      </c>
      <c r="D66" s="858" t="s">
        <v>483</v>
      </c>
      <c r="E66" s="857">
        <v>4600002</v>
      </c>
    </row>
    <row r="67" spans="1:5" x14ac:dyDescent="0.25">
      <c r="A67" s="869">
        <v>31</v>
      </c>
      <c r="B67" s="855" t="s">
        <v>482</v>
      </c>
      <c r="C67" s="858" t="s">
        <v>462</v>
      </c>
      <c r="D67" s="858" t="s">
        <v>483</v>
      </c>
      <c r="E67" s="857">
        <v>484821028</v>
      </c>
    </row>
    <row r="68" spans="1:5" x14ac:dyDescent="0.25">
      <c r="A68" s="869">
        <v>32</v>
      </c>
      <c r="B68" s="855" t="s">
        <v>482</v>
      </c>
      <c r="C68" s="858" t="s">
        <v>462</v>
      </c>
      <c r="D68" s="858" t="s">
        <v>483</v>
      </c>
      <c r="E68" s="857">
        <v>4819018</v>
      </c>
    </row>
    <row r="69" spans="1:5" x14ac:dyDescent="0.25">
      <c r="A69" s="869">
        <v>33</v>
      </c>
      <c r="B69" s="855" t="s">
        <v>482</v>
      </c>
      <c r="C69" s="858" t="s">
        <v>462</v>
      </c>
      <c r="D69" s="858" t="s">
        <v>483</v>
      </c>
      <c r="E69" s="857">
        <v>4813009</v>
      </c>
    </row>
    <row r="70" spans="1:5" x14ac:dyDescent="0.25">
      <c r="A70" s="869">
        <v>34</v>
      </c>
      <c r="B70" s="855" t="s">
        <v>484</v>
      </c>
      <c r="C70" s="858" t="s">
        <v>485</v>
      </c>
      <c r="D70" s="858" t="s">
        <v>486</v>
      </c>
      <c r="E70" s="857">
        <v>126143</v>
      </c>
    </row>
    <row r="71" spans="1:5" x14ac:dyDescent="0.25">
      <c r="A71" s="869">
        <v>35</v>
      </c>
      <c r="B71" s="855" t="s">
        <v>482</v>
      </c>
      <c r="C71" s="858" t="s">
        <v>462</v>
      </c>
      <c r="D71" s="858" t="s">
        <v>487</v>
      </c>
      <c r="E71" s="857">
        <v>3191005</v>
      </c>
    </row>
    <row r="72" spans="1:5" x14ac:dyDescent="0.25">
      <c r="A72" s="869">
        <v>36</v>
      </c>
      <c r="B72" s="859" t="s">
        <v>482</v>
      </c>
      <c r="C72" s="860" t="s">
        <v>462</v>
      </c>
      <c r="D72" s="860" t="s">
        <v>487</v>
      </c>
      <c r="E72" s="861">
        <v>66111021</v>
      </c>
    </row>
    <row r="73" spans="1:5" x14ac:dyDescent="0.25">
      <c r="A73" s="869"/>
      <c r="B73" s="859"/>
      <c r="C73" s="860"/>
      <c r="D73" s="860"/>
      <c r="E73" s="861"/>
    </row>
    <row r="74" spans="1:5" x14ac:dyDescent="0.25">
      <c r="A74" s="869">
        <v>37</v>
      </c>
      <c r="B74" s="868" t="s">
        <v>488</v>
      </c>
      <c r="C74" s="863" t="s">
        <v>473</v>
      </c>
      <c r="D74" s="863" t="s">
        <v>489</v>
      </c>
      <c r="E74" s="864">
        <v>15062873</v>
      </c>
    </row>
    <row r="75" spans="1:5" x14ac:dyDescent="0.25">
      <c r="A75" s="869">
        <v>38</v>
      </c>
      <c r="B75" s="868" t="s">
        <v>488</v>
      </c>
      <c r="C75" s="863" t="s">
        <v>473</v>
      </c>
      <c r="D75" s="863" t="s">
        <v>489</v>
      </c>
      <c r="E75" s="864">
        <v>15062874</v>
      </c>
    </row>
    <row r="76" spans="1:5" x14ac:dyDescent="0.25">
      <c r="A76" s="869">
        <v>39</v>
      </c>
      <c r="B76" s="868" t="s">
        <v>488</v>
      </c>
      <c r="C76" s="863" t="s">
        <v>473</v>
      </c>
      <c r="D76" s="863" t="s">
        <v>489</v>
      </c>
      <c r="E76" s="864">
        <v>14082463</v>
      </c>
    </row>
    <row r="77" spans="1:5" x14ac:dyDescent="0.25">
      <c r="A77" s="869">
        <v>40</v>
      </c>
      <c r="B77" s="868" t="s">
        <v>488</v>
      </c>
      <c r="C77" s="863" t="s">
        <v>473</v>
      </c>
      <c r="D77" s="863" t="s">
        <v>489</v>
      </c>
      <c r="E77" s="864">
        <v>15062872</v>
      </c>
    </row>
    <row r="78" spans="1:5" x14ac:dyDescent="0.25">
      <c r="A78" s="869">
        <v>41</v>
      </c>
      <c r="B78" s="868" t="s">
        <v>488</v>
      </c>
      <c r="C78" s="863" t="s">
        <v>473</v>
      </c>
      <c r="D78" s="863" t="s">
        <v>489</v>
      </c>
      <c r="E78" s="864">
        <v>15062875</v>
      </c>
    </row>
    <row r="79" spans="1:5" x14ac:dyDescent="0.25">
      <c r="A79" s="869">
        <v>42</v>
      </c>
      <c r="B79" s="868" t="s">
        <v>488</v>
      </c>
      <c r="C79" s="863" t="s">
        <v>490</v>
      </c>
      <c r="D79" s="863" t="s">
        <v>491</v>
      </c>
      <c r="E79" s="864">
        <v>34903046</v>
      </c>
    </row>
    <row r="80" spans="1:5" x14ac:dyDescent="0.25">
      <c r="A80" s="869">
        <v>43</v>
      </c>
      <c r="B80" s="868" t="s">
        <v>488</v>
      </c>
      <c r="C80" s="863" t="s">
        <v>490</v>
      </c>
      <c r="D80" s="863" t="s">
        <v>492</v>
      </c>
      <c r="E80" s="864">
        <v>34903053</v>
      </c>
    </row>
    <row r="81" spans="1:5" x14ac:dyDescent="0.25">
      <c r="A81" s="869">
        <v>44</v>
      </c>
      <c r="B81" s="868" t="s">
        <v>488</v>
      </c>
      <c r="C81" s="863" t="s">
        <v>490</v>
      </c>
      <c r="D81" s="863" t="s">
        <v>493</v>
      </c>
      <c r="E81" s="864">
        <v>34903051</v>
      </c>
    </row>
    <row r="82" spans="1:5" x14ac:dyDescent="0.25">
      <c r="A82" s="869">
        <v>45</v>
      </c>
      <c r="B82" s="868" t="s">
        <v>488</v>
      </c>
      <c r="C82" s="863" t="s">
        <v>490</v>
      </c>
      <c r="D82" s="863" t="s">
        <v>494</v>
      </c>
      <c r="E82" s="864">
        <v>34904091</v>
      </c>
    </row>
    <row r="83" spans="1:5" x14ac:dyDescent="0.25">
      <c r="A83" s="869">
        <v>46</v>
      </c>
      <c r="B83" s="868" t="s">
        <v>488</v>
      </c>
      <c r="C83" s="863" t="s">
        <v>495</v>
      </c>
      <c r="D83" s="863" t="s">
        <v>496</v>
      </c>
      <c r="E83" s="864" t="s">
        <v>497</v>
      </c>
    </row>
    <row r="84" spans="1:5" x14ac:dyDescent="0.25">
      <c r="A84" s="869">
        <v>47</v>
      </c>
      <c r="B84" s="868" t="s">
        <v>488</v>
      </c>
      <c r="C84" s="863" t="s">
        <v>495</v>
      </c>
      <c r="D84" s="863" t="s">
        <v>496</v>
      </c>
      <c r="E84" s="864" t="s">
        <v>498</v>
      </c>
    </row>
    <row r="85" spans="1:5" x14ac:dyDescent="0.25">
      <c r="A85" s="869">
        <v>48</v>
      </c>
      <c r="B85" s="868" t="s">
        <v>488</v>
      </c>
      <c r="C85" s="863" t="s">
        <v>475</v>
      </c>
      <c r="D85" s="863" t="s">
        <v>499</v>
      </c>
      <c r="E85" s="864" t="s">
        <v>500</v>
      </c>
    </row>
    <row r="86" spans="1:5" x14ac:dyDescent="0.25">
      <c r="A86" s="869">
        <v>49</v>
      </c>
      <c r="B86" s="868" t="s">
        <v>488</v>
      </c>
      <c r="C86" s="863" t="s">
        <v>475</v>
      </c>
      <c r="D86" s="863" t="s">
        <v>501</v>
      </c>
      <c r="E86" s="864" t="s">
        <v>502</v>
      </c>
    </row>
    <row r="87" spans="1:5" x14ac:dyDescent="0.25">
      <c r="A87" s="869">
        <v>50</v>
      </c>
      <c r="B87" s="868" t="s">
        <v>488</v>
      </c>
      <c r="C87" s="863" t="s">
        <v>475</v>
      </c>
      <c r="D87" s="863" t="s">
        <v>503</v>
      </c>
      <c r="E87" s="864" t="s">
        <v>504</v>
      </c>
    </row>
    <row r="88" spans="1:5" x14ac:dyDescent="0.25">
      <c r="A88" s="869">
        <v>51</v>
      </c>
      <c r="B88" s="868" t="s">
        <v>488</v>
      </c>
      <c r="C88" s="863" t="s">
        <v>475</v>
      </c>
      <c r="D88" s="863" t="s">
        <v>505</v>
      </c>
      <c r="E88" s="864" t="s">
        <v>506</v>
      </c>
    </row>
    <row r="89" spans="1:5" x14ac:dyDescent="0.25">
      <c r="A89" s="869">
        <v>52</v>
      </c>
      <c r="B89" s="868" t="s">
        <v>488</v>
      </c>
      <c r="C89" s="863" t="s">
        <v>475</v>
      </c>
      <c r="D89" s="863" t="s">
        <v>507</v>
      </c>
      <c r="E89" s="864" t="s">
        <v>508</v>
      </c>
    </row>
    <row r="90" spans="1:5" x14ac:dyDescent="0.25">
      <c r="A90" s="869">
        <v>53</v>
      </c>
      <c r="B90" s="868" t="s">
        <v>488</v>
      </c>
      <c r="C90" s="863" t="s">
        <v>475</v>
      </c>
      <c r="D90" s="863" t="s">
        <v>509</v>
      </c>
      <c r="E90" s="864" t="s">
        <v>510</v>
      </c>
    </row>
    <row r="91" spans="1:5" x14ac:dyDescent="0.25">
      <c r="A91" s="869">
        <v>54</v>
      </c>
      <c r="B91" s="868" t="s">
        <v>488</v>
      </c>
      <c r="C91" s="863" t="s">
        <v>475</v>
      </c>
      <c r="D91" s="863" t="s">
        <v>511</v>
      </c>
      <c r="E91" s="864" t="s">
        <v>512</v>
      </c>
    </row>
  </sheetData>
  <phoneticPr fontId="62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Q375"/>
  <sheetViews>
    <sheetView view="pageBreakPreview" topLeftCell="A359" zoomScaleNormal="100" zoomScaleSheetLayoutView="100" workbookViewId="0">
      <selection activeCell="A375" sqref="A375:K375"/>
    </sheetView>
  </sheetViews>
  <sheetFormatPr defaultColWidth="8.6640625" defaultRowHeight="13.2" x14ac:dyDescent="0.25"/>
  <cols>
    <col min="1" max="5" width="8.6640625" style="444"/>
    <col min="6" max="6" width="11.5546875" style="444" customWidth="1"/>
    <col min="7" max="16384" width="8.6640625" style="444"/>
  </cols>
  <sheetData>
    <row r="1" spans="1:16" ht="18" thickBot="1" x14ac:dyDescent="0.3">
      <c r="A1" s="1651" t="s">
        <v>513</v>
      </c>
      <c r="B1" s="1652"/>
      <c r="C1" s="1652"/>
      <c r="D1" s="1652"/>
      <c r="E1" s="1652"/>
      <c r="F1" s="1652"/>
      <c r="G1" s="1653"/>
      <c r="H1" s="1652"/>
      <c r="I1" s="1652"/>
      <c r="J1" s="1652"/>
      <c r="K1" s="1652"/>
      <c r="L1" s="1652"/>
      <c r="M1" s="1653"/>
      <c r="N1" s="1652"/>
      <c r="O1" s="1654"/>
      <c r="P1" s="443"/>
    </row>
    <row r="2" spans="1:16" x14ac:dyDescent="0.25">
      <c r="A2" s="1645">
        <v>1</v>
      </c>
      <c r="B2" s="1648" t="s">
        <v>514</v>
      </c>
      <c r="C2" s="1648"/>
      <c r="D2" s="1648"/>
      <c r="E2" s="1648"/>
      <c r="F2" s="1648"/>
      <c r="G2" s="445"/>
      <c r="H2" s="1648" t="str">
        <f>B2</f>
        <v>KOREKSI KIMO THERMOHYGROMETER 15062873</v>
      </c>
      <c r="I2" s="1648"/>
      <c r="J2" s="1648"/>
      <c r="K2" s="1648"/>
      <c r="L2" s="1648"/>
      <c r="M2" s="445"/>
      <c r="N2" s="1649" t="s">
        <v>137</v>
      </c>
      <c r="O2" s="1649"/>
      <c r="P2" s="443"/>
    </row>
    <row r="3" spans="1:16" x14ac:dyDescent="0.25">
      <c r="A3" s="1646"/>
      <c r="B3" s="1650" t="s">
        <v>515</v>
      </c>
      <c r="C3" s="1650"/>
      <c r="D3" s="1650" t="s">
        <v>127</v>
      </c>
      <c r="E3" s="1650"/>
      <c r="F3" s="1650" t="s">
        <v>123</v>
      </c>
      <c r="H3" s="1650" t="s">
        <v>516</v>
      </c>
      <c r="I3" s="1650"/>
      <c r="J3" s="1650" t="s">
        <v>127</v>
      </c>
      <c r="K3" s="1650"/>
      <c r="L3" s="1650" t="s">
        <v>123</v>
      </c>
      <c r="N3" s="446" t="s">
        <v>515</v>
      </c>
      <c r="O3" s="447">
        <v>0.6</v>
      </c>
      <c r="P3" s="443"/>
    </row>
    <row r="4" spans="1:16" ht="14.4" x14ac:dyDescent="0.25">
      <c r="A4" s="1646"/>
      <c r="B4" s="1643" t="s">
        <v>517</v>
      </c>
      <c r="C4" s="1643"/>
      <c r="D4" s="448">
        <v>2020</v>
      </c>
      <c r="E4" s="448">
        <v>2017</v>
      </c>
      <c r="F4" s="1650"/>
      <c r="H4" s="1644" t="s">
        <v>19</v>
      </c>
      <c r="I4" s="1643"/>
      <c r="J4" s="449">
        <f>D4</f>
        <v>2020</v>
      </c>
      <c r="K4" s="449">
        <f>E4</f>
        <v>2017</v>
      </c>
      <c r="L4" s="1650"/>
      <c r="N4" s="446" t="s">
        <v>19</v>
      </c>
      <c r="O4" s="447">
        <v>3.1</v>
      </c>
      <c r="P4" s="443"/>
    </row>
    <row r="5" spans="1:16" x14ac:dyDescent="0.25">
      <c r="A5" s="1646"/>
      <c r="B5" s="450"/>
      <c r="C5" s="451">
        <v>15</v>
      </c>
      <c r="D5" s="451">
        <v>-0.5</v>
      </c>
      <c r="E5" s="451">
        <v>0.3</v>
      </c>
      <c r="F5" s="452">
        <f t="shared" ref="F5:F11" si="0">0.5*(MAX(D5:E5)-MIN(D5:E5))</f>
        <v>0.4</v>
      </c>
      <c r="H5" s="450"/>
      <c r="I5" s="451">
        <v>35</v>
      </c>
      <c r="J5" s="451">
        <v>-6</v>
      </c>
      <c r="K5" s="451">
        <v>-9.4</v>
      </c>
      <c r="L5" s="452">
        <f t="shared" ref="L5:L11" si="1">0.5*(MAX(J5:K5)-MIN(J5:K5))</f>
        <v>1.7000000000000002</v>
      </c>
      <c r="O5" s="453"/>
      <c r="P5" s="443"/>
    </row>
    <row r="6" spans="1:16" x14ac:dyDescent="0.25">
      <c r="A6" s="1646"/>
      <c r="B6" s="450"/>
      <c r="C6" s="451">
        <v>20</v>
      </c>
      <c r="D6" s="451">
        <v>-0.2</v>
      </c>
      <c r="E6" s="451">
        <v>0.2</v>
      </c>
      <c r="F6" s="452">
        <f>0.5*(MAX(D6:E6)-MIN(D6:E6))</f>
        <v>0.2</v>
      </c>
      <c r="H6" s="450"/>
      <c r="I6" s="451">
        <v>40</v>
      </c>
      <c r="J6" s="451">
        <v>-5.8</v>
      </c>
      <c r="K6" s="451">
        <v>-8.6</v>
      </c>
      <c r="L6" s="452">
        <f t="shared" si="1"/>
        <v>1.4</v>
      </c>
      <c r="O6" s="453"/>
      <c r="P6" s="443"/>
    </row>
    <row r="7" spans="1:16" x14ac:dyDescent="0.25">
      <c r="A7" s="1646"/>
      <c r="B7" s="450"/>
      <c r="C7" s="451">
        <v>25</v>
      </c>
      <c r="D7" s="451">
        <v>0</v>
      </c>
      <c r="E7" s="451">
        <v>0.1</v>
      </c>
      <c r="F7" s="452">
        <f t="shared" si="0"/>
        <v>0.05</v>
      </c>
      <c r="H7" s="450"/>
      <c r="I7" s="451">
        <v>50</v>
      </c>
      <c r="J7" s="451">
        <v>-5.3</v>
      </c>
      <c r="K7" s="451">
        <v>-7.2</v>
      </c>
      <c r="L7" s="452">
        <f t="shared" si="1"/>
        <v>0.95000000000000018</v>
      </c>
      <c r="O7" s="453"/>
      <c r="P7" s="443"/>
    </row>
    <row r="8" spans="1:16" x14ac:dyDescent="0.25">
      <c r="A8" s="1646"/>
      <c r="B8" s="450"/>
      <c r="C8" s="454">
        <v>30</v>
      </c>
      <c r="D8" s="455">
        <v>0</v>
      </c>
      <c r="E8" s="455">
        <v>-0.2</v>
      </c>
      <c r="F8" s="452">
        <f t="shared" si="0"/>
        <v>0.1</v>
      </c>
      <c r="H8" s="450"/>
      <c r="I8" s="454">
        <v>60</v>
      </c>
      <c r="J8" s="455">
        <v>-4.4000000000000004</v>
      </c>
      <c r="K8" s="455">
        <v>-5.2</v>
      </c>
      <c r="L8" s="452">
        <f t="shared" si="1"/>
        <v>0.39999999999999991</v>
      </c>
      <c r="O8" s="453"/>
      <c r="P8" s="443"/>
    </row>
    <row r="9" spans="1:16" x14ac:dyDescent="0.25">
      <c r="A9" s="1646"/>
      <c r="B9" s="450"/>
      <c r="C9" s="454">
        <v>35</v>
      </c>
      <c r="D9" s="455">
        <v>-0.1</v>
      </c>
      <c r="E9" s="455">
        <v>-0.5</v>
      </c>
      <c r="F9" s="452">
        <f t="shared" si="0"/>
        <v>0.2</v>
      </c>
      <c r="H9" s="450"/>
      <c r="I9" s="454">
        <v>70</v>
      </c>
      <c r="J9" s="455">
        <v>-3.2</v>
      </c>
      <c r="K9" s="455">
        <v>-2.6</v>
      </c>
      <c r="L9" s="452">
        <f t="shared" si="1"/>
        <v>0.30000000000000004</v>
      </c>
      <c r="O9" s="453"/>
      <c r="P9" s="443"/>
    </row>
    <row r="10" spans="1:16" x14ac:dyDescent="0.25">
      <c r="A10" s="1646"/>
      <c r="B10" s="450"/>
      <c r="C10" s="454">
        <v>37</v>
      </c>
      <c r="D10" s="455">
        <v>-0.2</v>
      </c>
      <c r="E10" s="455">
        <v>-0.6</v>
      </c>
      <c r="F10" s="452">
        <f t="shared" si="0"/>
        <v>0.19999999999999998</v>
      </c>
      <c r="H10" s="450"/>
      <c r="I10" s="454">
        <v>80</v>
      </c>
      <c r="J10" s="455">
        <v>-1.6</v>
      </c>
      <c r="K10" s="455">
        <v>0.7</v>
      </c>
      <c r="L10" s="452">
        <f t="shared" si="1"/>
        <v>1.1499999999999999</v>
      </c>
      <c r="O10" s="453"/>
      <c r="P10" s="443"/>
    </row>
    <row r="11" spans="1:16" ht="13.8" thickBot="1" x14ac:dyDescent="0.3">
      <c r="A11" s="1647"/>
      <c r="B11" s="450"/>
      <c r="C11" s="454">
        <v>40</v>
      </c>
      <c r="D11" s="455">
        <v>-0.3</v>
      </c>
      <c r="E11" s="455">
        <v>-0.8</v>
      </c>
      <c r="F11" s="452">
        <f t="shared" si="0"/>
        <v>0.25</v>
      </c>
      <c r="G11" s="456"/>
      <c r="H11" s="450"/>
      <c r="I11" s="454">
        <v>90</v>
      </c>
      <c r="J11" s="455">
        <v>0.3</v>
      </c>
      <c r="K11" s="455">
        <v>4.5</v>
      </c>
      <c r="L11" s="452">
        <f t="shared" si="1"/>
        <v>2.1</v>
      </c>
      <c r="M11" s="456"/>
      <c r="N11" s="456"/>
      <c r="O11" s="457"/>
      <c r="P11" s="443"/>
    </row>
    <row r="12" spans="1:16" ht="13.8" thickBot="1" x14ac:dyDescent="0.3">
      <c r="A12" s="458"/>
      <c r="B12" s="458"/>
      <c r="O12" s="453"/>
      <c r="P12" s="443"/>
    </row>
    <row r="13" spans="1:16" x14ac:dyDescent="0.25">
      <c r="A13" s="1645">
        <v>2</v>
      </c>
      <c r="B13" s="1648" t="s">
        <v>518</v>
      </c>
      <c r="C13" s="1648"/>
      <c r="D13" s="1648"/>
      <c r="E13" s="1648"/>
      <c r="F13" s="1648"/>
      <c r="G13" s="445"/>
      <c r="H13" s="1648" t="str">
        <f>B13</f>
        <v>KOREKSI KIMO THERMOHYGROMETER 15062874</v>
      </c>
      <c r="I13" s="1648"/>
      <c r="J13" s="1648"/>
      <c r="K13" s="1648"/>
      <c r="L13" s="1648"/>
      <c r="M13" s="445"/>
      <c r="N13" s="1649" t="s">
        <v>137</v>
      </c>
      <c r="O13" s="1649"/>
      <c r="P13" s="443"/>
    </row>
    <row r="14" spans="1:16" x14ac:dyDescent="0.25">
      <c r="A14" s="1646"/>
      <c r="B14" s="1650" t="s">
        <v>515</v>
      </c>
      <c r="C14" s="1650"/>
      <c r="D14" s="1650" t="s">
        <v>127</v>
      </c>
      <c r="E14" s="1650"/>
      <c r="F14" s="1650" t="s">
        <v>123</v>
      </c>
      <c r="H14" s="1650" t="s">
        <v>516</v>
      </c>
      <c r="I14" s="1650"/>
      <c r="J14" s="1650" t="s">
        <v>127</v>
      </c>
      <c r="K14" s="1650"/>
      <c r="L14" s="1650" t="s">
        <v>123</v>
      </c>
      <c r="N14" s="446" t="s">
        <v>515</v>
      </c>
      <c r="O14" s="459">
        <v>0.3</v>
      </c>
      <c r="P14" s="443"/>
    </row>
    <row r="15" spans="1:16" ht="14.4" x14ac:dyDescent="0.25">
      <c r="A15" s="1646"/>
      <c r="B15" s="1643" t="s">
        <v>517</v>
      </c>
      <c r="C15" s="1643"/>
      <c r="D15" s="448">
        <v>2018</v>
      </c>
      <c r="E15" s="448">
        <v>2017</v>
      </c>
      <c r="F15" s="1650"/>
      <c r="H15" s="1644" t="s">
        <v>19</v>
      </c>
      <c r="I15" s="1643"/>
      <c r="J15" s="449">
        <f>D15</f>
        <v>2018</v>
      </c>
      <c r="K15" s="449">
        <f>E15</f>
        <v>2017</v>
      </c>
      <c r="L15" s="1650"/>
      <c r="N15" s="446" t="s">
        <v>19</v>
      </c>
      <c r="O15" s="459">
        <v>3.3</v>
      </c>
      <c r="P15" s="443"/>
    </row>
    <row r="16" spans="1:16" x14ac:dyDescent="0.25">
      <c r="A16" s="1646"/>
      <c r="B16" s="450"/>
      <c r="C16" s="451">
        <v>15</v>
      </c>
      <c r="D16" s="451">
        <v>0</v>
      </c>
      <c r="E16" s="451">
        <v>0.5</v>
      </c>
      <c r="F16" s="452">
        <f t="shared" ref="F16:F22" si="2">0.5*(MAX(D16:E16)-MIN(D16:E16))</f>
        <v>0.25</v>
      </c>
      <c r="H16" s="450"/>
      <c r="I16" s="451">
        <v>35</v>
      </c>
      <c r="J16" s="451">
        <v>-1.6</v>
      </c>
      <c r="K16" s="451">
        <v>-0.9</v>
      </c>
      <c r="L16" s="452">
        <f t="shared" ref="L16:L22" si="3">0.5*(MAX(J16:K16)-MIN(J16:K16))</f>
        <v>0.35000000000000003</v>
      </c>
      <c r="O16" s="453"/>
      <c r="P16" s="443"/>
    </row>
    <row r="17" spans="1:16" x14ac:dyDescent="0.25">
      <c r="A17" s="1646"/>
      <c r="B17" s="450"/>
      <c r="C17" s="451">
        <v>20</v>
      </c>
      <c r="D17" s="451">
        <v>-0.1</v>
      </c>
      <c r="E17" s="451">
        <v>0</v>
      </c>
      <c r="F17" s="452">
        <f t="shared" si="2"/>
        <v>0.05</v>
      </c>
      <c r="H17" s="450"/>
      <c r="I17" s="451">
        <v>40</v>
      </c>
      <c r="J17" s="451">
        <v>-1.6</v>
      </c>
      <c r="K17" s="451">
        <v>-1.1000000000000001</v>
      </c>
      <c r="L17" s="452">
        <f t="shared" si="3"/>
        <v>0.25</v>
      </c>
      <c r="O17" s="453"/>
      <c r="P17" s="443"/>
    </row>
    <row r="18" spans="1:16" x14ac:dyDescent="0.25">
      <c r="A18" s="1646"/>
      <c r="B18" s="450"/>
      <c r="C18" s="451">
        <v>25</v>
      </c>
      <c r="D18" s="451">
        <v>-0.2</v>
      </c>
      <c r="E18" s="451">
        <v>-0.5</v>
      </c>
      <c r="F18" s="452">
        <f t="shared" si="2"/>
        <v>0.15</v>
      </c>
      <c r="H18" s="450"/>
      <c r="I18" s="451">
        <v>50</v>
      </c>
      <c r="J18" s="451">
        <v>-1.5</v>
      </c>
      <c r="K18" s="451">
        <v>-1.4</v>
      </c>
      <c r="L18" s="452">
        <f t="shared" si="3"/>
        <v>5.0000000000000044E-2</v>
      </c>
      <c r="O18" s="453"/>
      <c r="P18" s="443"/>
    </row>
    <row r="19" spans="1:16" x14ac:dyDescent="0.25">
      <c r="A19" s="1646"/>
      <c r="B19" s="450"/>
      <c r="C19" s="454">
        <v>30</v>
      </c>
      <c r="D19" s="460">
        <v>-0.3</v>
      </c>
      <c r="E19" s="454">
        <v>-1</v>
      </c>
      <c r="F19" s="452">
        <f t="shared" si="2"/>
        <v>0.35</v>
      </c>
      <c r="H19" s="450"/>
      <c r="I19" s="454">
        <v>60</v>
      </c>
      <c r="J19" s="460">
        <v>-1.3</v>
      </c>
      <c r="K19" s="454">
        <v>-1.3</v>
      </c>
      <c r="L19" s="452">
        <f t="shared" si="3"/>
        <v>0</v>
      </c>
      <c r="O19" s="453"/>
      <c r="P19" s="443"/>
    </row>
    <row r="20" spans="1:16" x14ac:dyDescent="0.25">
      <c r="A20" s="1646"/>
      <c r="B20" s="450"/>
      <c r="C20" s="454">
        <v>35</v>
      </c>
      <c r="D20" s="460">
        <v>-0.3</v>
      </c>
      <c r="E20" s="454">
        <v>-1.6</v>
      </c>
      <c r="F20" s="452">
        <f t="shared" si="2"/>
        <v>0.65</v>
      </c>
      <c r="H20" s="450"/>
      <c r="I20" s="454">
        <v>70</v>
      </c>
      <c r="J20" s="460">
        <v>-1.1000000000000001</v>
      </c>
      <c r="K20" s="454">
        <v>-1</v>
      </c>
      <c r="L20" s="452">
        <f t="shared" si="3"/>
        <v>5.0000000000000044E-2</v>
      </c>
      <c r="O20" s="453"/>
      <c r="P20" s="443"/>
    </row>
    <row r="21" spans="1:16" x14ac:dyDescent="0.25">
      <c r="A21" s="1646"/>
      <c r="B21" s="450"/>
      <c r="C21" s="454">
        <v>37</v>
      </c>
      <c r="D21" s="460">
        <v>-0.3</v>
      </c>
      <c r="E21" s="454">
        <v>-1.8</v>
      </c>
      <c r="F21" s="452">
        <f t="shared" si="2"/>
        <v>0.75</v>
      </c>
      <c r="H21" s="450"/>
      <c r="I21" s="454">
        <v>80</v>
      </c>
      <c r="J21" s="460">
        <v>-0.7</v>
      </c>
      <c r="K21" s="454">
        <v>-0.4</v>
      </c>
      <c r="L21" s="452">
        <f t="shared" si="3"/>
        <v>0.14999999999999997</v>
      </c>
      <c r="O21" s="453"/>
      <c r="P21" s="443"/>
    </row>
    <row r="22" spans="1:16" ht="13.8" thickBot="1" x14ac:dyDescent="0.3">
      <c r="A22" s="1647"/>
      <c r="B22" s="450"/>
      <c r="C22" s="454">
        <v>40</v>
      </c>
      <c r="D22" s="460">
        <v>-0.3</v>
      </c>
      <c r="E22" s="454">
        <v>-2.1</v>
      </c>
      <c r="F22" s="452">
        <f t="shared" si="2"/>
        <v>0.9</v>
      </c>
      <c r="G22" s="456"/>
      <c r="H22" s="450"/>
      <c r="I22" s="454">
        <v>90</v>
      </c>
      <c r="J22" s="460">
        <v>-0.3</v>
      </c>
      <c r="K22" s="454">
        <v>0.6</v>
      </c>
      <c r="L22" s="452">
        <f t="shared" si="3"/>
        <v>0.44999999999999996</v>
      </c>
      <c r="M22" s="456"/>
      <c r="N22" s="456"/>
      <c r="O22" s="457"/>
      <c r="P22" s="443"/>
    </row>
    <row r="23" spans="1:16" ht="13.8" thickBot="1" x14ac:dyDescent="0.3">
      <c r="A23" s="458"/>
      <c r="B23" s="458"/>
      <c r="O23" s="453"/>
      <c r="P23" s="443"/>
    </row>
    <row r="24" spans="1:16" x14ac:dyDescent="0.25">
      <c r="A24" s="1645">
        <v>3</v>
      </c>
      <c r="B24" s="1648" t="s">
        <v>519</v>
      </c>
      <c r="C24" s="1648"/>
      <c r="D24" s="1648"/>
      <c r="E24" s="1648"/>
      <c r="F24" s="1648"/>
      <c r="G24" s="445"/>
      <c r="H24" s="1648" t="str">
        <f>B24</f>
        <v>KOREKSI KIMO THERMOHYGROMETER 14082463</v>
      </c>
      <c r="I24" s="1648"/>
      <c r="J24" s="1648"/>
      <c r="K24" s="1648"/>
      <c r="L24" s="1648"/>
      <c r="M24" s="445"/>
      <c r="N24" s="1649" t="s">
        <v>137</v>
      </c>
      <c r="O24" s="1649"/>
      <c r="P24" s="443"/>
    </row>
    <row r="25" spans="1:16" x14ac:dyDescent="0.25">
      <c r="A25" s="1646"/>
      <c r="B25" s="1650" t="s">
        <v>515</v>
      </c>
      <c r="C25" s="1650"/>
      <c r="D25" s="1650" t="s">
        <v>127</v>
      </c>
      <c r="E25" s="1650"/>
      <c r="F25" s="1650" t="s">
        <v>123</v>
      </c>
      <c r="H25" s="1650" t="s">
        <v>516</v>
      </c>
      <c r="I25" s="1650"/>
      <c r="J25" s="1650" t="s">
        <v>127</v>
      </c>
      <c r="K25" s="1650"/>
      <c r="L25" s="1650" t="s">
        <v>123</v>
      </c>
      <c r="N25" s="446" t="s">
        <v>515</v>
      </c>
      <c r="O25" s="459">
        <v>0.3</v>
      </c>
      <c r="P25" s="443"/>
    </row>
    <row r="26" spans="1:16" ht="14.4" x14ac:dyDescent="0.25">
      <c r="A26" s="1646"/>
      <c r="B26" s="1643" t="s">
        <v>517</v>
      </c>
      <c r="C26" s="1643"/>
      <c r="D26" s="448">
        <v>2018</v>
      </c>
      <c r="E26" s="448">
        <v>2017</v>
      </c>
      <c r="F26" s="1650"/>
      <c r="H26" s="1644" t="s">
        <v>19</v>
      </c>
      <c r="I26" s="1643"/>
      <c r="J26" s="449">
        <f>D26</f>
        <v>2018</v>
      </c>
      <c r="K26" s="449">
        <f>E26</f>
        <v>2017</v>
      </c>
      <c r="L26" s="1650"/>
      <c r="N26" s="446" t="s">
        <v>19</v>
      </c>
      <c r="O26" s="459">
        <v>3.1</v>
      </c>
      <c r="P26" s="443"/>
    </row>
    <row r="27" spans="1:16" x14ac:dyDescent="0.25">
      <c r="A27" s="1646"/>
      <c r="B27" s="450"/>
      <c r="C27" s="451">
        <v>15</v>
      </c>
      <c r="D27" s="451">
        <v>0</v>
      </c>
      <c r="E27" s="451">
        <v>0.2</v>
      </c>
      <c r="F27" s="452">
        <f t="shared" ref="F27:F33" si="4">0.5*(MAX(D27:E27)-MIN(D27:E27))</f>
        <v>0.1</v>
      </c>
      <c r="H27" s="450"/>
      <c r="I27" s="451">
        <v>30</v>
      </c>
      <c r="J27" s="451">
        <v>-5.7</v>
      </c>
      <c r="K27" s="451">
        <v>-1.1000000000000001</v>
      </c>
      <c r="L27" s="452">
        <f t="shared" ref="L27:L33" si="5">0.5*(MAX(J27:K27)-MIN(J27:K27))</f>
        <v>2.2999999999999998</v>
      </c>
      <c r="O27" s="453"/>
      <c r="P27" s="443"/>
    </row>
    <row r="28" spans="1:16" x14ac:dyDescent="0.25">
      <c r="A28" s="1646"/>
      <c r="B28" s="450"/>
      <c r="C28" s="451">
        <v>20</v>
      </c>
      <c r="D28" s="451">
        <v>0</v>
      </c>
      <c r="E28" s="451">
        <v>0</v>
      </c>
      <c r="F28" s="452">
        <f t="shared" si="4"/>
        <v>0</v>
      </c>
      <c r="H28" s="450"/>
      <c r="I28" s="451">
        <v>40</v>
      </c>
      <c r="J28" s="451">
        <v>-5.3</v>
      </c>
      <c r="K28" s="451">
        <v>-1.9</v>
      </c>
      <c r="L28" s="452">
        <f t="shared" si="5"/>
        <v>1.7</v>
      </c>
      <c r="O28" s="453"/>
      <c r="P28" s="443"/>
    </row>
    <row r="29" spans="1:16" x14ac:dyDescent="0.25">
      <c r="A29" s="1646"/>
      <c r="B29" s="450"/>
      <c r="C29" s="451">
        <v>25</v>
      </c>
      <c r="D29" s="451">
        <v>-0.1</v>
      </c>
      <c r="E29" s="451">
        <v>-0.2</v>
      </c>
      <c r="F29" s="452">
        <f t="shared" si="4"/>
        <v>0.05</v>
      </c>
      <c r="H29" s="450"/>
      <c r="I29" s="451">
        <v>50</v>
      </c>
      <c r="J29" s="451">
        <v>-4.9000000000000004</v>
      </c>
      <c r="K29" s="451">
        <v>-2.2999999999999998</v>
      </c>
      <c r="L29" s="452">
        <f t="shared" si="5"/>
        <v>1.3000000000000003</v>
      </c>
      <c r="O29" s="453"/>
      <c r="P29" s="443"/>
    </row>
    <row r="30" spans="1:16" x14ac:dyDescent="0.25">
      <c r="A30" s="1646"/>
      <c r="B30" s="450"/>
      <c r="C30" s="454">
        <v>30</v>
      </c>
      <c r="D30" s="460">
        <v>-0.3</v>
      </c>
      <c r="E30" s="454">
        <v>-0.3</v>
      </c>
      <c r="F30" s="452">
        <f t="shared" si="4"/>
        <v>0</v>
      </c>
      <c r="H30" s="450"/>
      <c r="I30" s="454">
        <v>60</v>
      </c>
      <c r="J30" s="460">
        <v>-4.3</v>
      </c>
      <c r="K30" s="454">
        <v>-2.2000000000000002</v>
      </c>
      <c r="L30" s="452">
        <f t="shared" si="5"/>
        <v>1.0499999999999998</v>
      </c>
      <c r="O30" s="453"/>
      <c r="P30" s="443"/>
    </row>
    <row r="31" spans="1:16" x14ac:dyDescent="0.25">
      <c r="A31" s="1646"/>
      <c r="B31" s="450"/>
      <c r="C31" s="454">
        <v>35</v>
      </c>
      <c r="D31" s="460">
        <v>-0.5</v>
      </c>
      <c r="E31" s="454">
        <v>-0.4</v>
      </c>
      <c r="F31" s="452">
        <f t="shared" si="4"/>
        <v>4.9999999999999989E-2</v>
      </c>
      <c r="H31" s="450"/>
      <c r="I31" s="454">
        <v>70</v>
      </c>
      <c r="J31" s="460">
        <v>-3.6</v>
      </c>
      <c r="K31" s="454">
        <v>-1.6</v>
      </c>
      <c r="L31" s="452">
        <f t="shared" si="5"/>
        <v>1</v>
      </c>
      <c r="O31" s="453"/>
      <c r="P31" s="443"/>
    </row>
    <row r="32" spans="1:16" x14ac:dyDescent="0.25">
      <c r="A32" s="1646"/>
      <c r="B32" s="450"/>
      <c r="C32" s="454">
        <v>37</v>
      </c>
      <c r="D32" s="460">
        <v>-0.6</v>
      </c>
      <c r="E32" s="454">
        <v>-0.5</v>
      </c>
      <c r="F32" s="452">
        <f t="shared" si="4"/>
        <v>4.9999999999999989E-2</v>
      </c>
      <c r="H32" s="450"/>
      <c r="I32" s="454">
        <v>80</v>
      </c>
      <c r="J32" s="460">
        <v>-2.9</v>
      </c>
      <c r="K32" s="454">
        <v>-0.6</v>
      </c>
      <c r="L32" s="452">
        <f t="shared" si="5"/>
        <v>1.1499999999999999</v>
      </c>
      <c r="O32" s="453"/>
      <c r="P32" s="443"/>
    </row>
    <row r="33" spans="1:16" ht="13.8" thickBot="1" x14ac:dyDescent="0.3">
      <c r="A33" s="1647"/>
      <c r="B33" s="450"/>
      <c r="C33" s="454">
        <v>40</v>
      </c>
      <c r="D33" s="460">
        <v>-0.7</v>
      </c>
      <c r="E33" s="454">
        <v>-0.5</v>
      </c>
      <c r="F33" s="452">
        <f t="shared" si="4"/>
        <v>9.9999999999999978E-2</v>
      </c>
      <c r="G33" s="456"/>
      <c r="H33" s="450"/>
      <c r="I33" s="454">
        <v>90</v>
      </c>
      <c r="J33" s="460">
        <v>-2</v>
      </c>
      <c r="K33" s="454">
        <v>0.9</v>
      </c>
      <c r="L33" s="452">
        <f t="shared" si="5"/>
        <v>1.45</v>
      </c>
      <c r="M33" s="456"/>
      <c r="N33" s="456"/>
      <c r="O33" s="457"/>
      <c r="P33" s="443"/>
    </row>
    <row r="34" spans="1:16" ht="13.8" thickBot="1" x14ac:dyDescent="0.3">
      <c r="A34" s="458"/>
      <c r="B34" s="458"/>
      <c r="H34" s="461"/>
      <c r="O34" s="453"/>
      <c r="P34" s="443"/>
    </row>
    <row r="35" spans="1:16" ht="13.8" thickBot="1" x14ac:dyDescent="0.3">
      <c r="A35" s="1622">
        <v>4</v>
      </c>
      <c r="B35" s="1625" t="s">
        <v>520</v>
      </c>
      <c r="C35" s="1626"/>
      <c r="D35" s="1626"/>
      <c r="E35" s="1626"/>
      <c r="F35" s="1627"/>
      <c r="G35" s="445"/>
      <c r="H35" s="1625" t="str">
        <f>B35</f>
        <v>KOREKSI KIMO THERMOHYGROMETER 15062872</v>
      </c>
      <c r="I35" s="1626"/>
      <c r="J35" s="1626"/>
      <c r="K35" s="1626"/>
      <c r="L35" s="1627"/>
      <c r="M35" s="445"/>
      <c r="N35" s="1638" t="s">
        <v>137</v>
      </c>
      <c r="O35" s="1639"/>
      <c r="P35" s="443"/>
    </row>
    <row r="36" spans="1:16" ht="13.8" thickBot="1" x14ac:dyDescent="0.3">
      <c r="A36" s="1623"/>
      <c r="B36" s="1628" t="s">
        <v>515</v>
      </c>
      <c r="C36" s="1629"/>
      <c r="D36" s="1630" t="s">
        <v>127</v>
      </c>
      <c r="E36" s="1631"/>
      <c r="F36" s="1632" t="s">
        <v>123</v>
      </c>
      <c r="H36" s="1628" t="s">
        <v>516</v>
      </c>
      <c r="I36" s="1629"/>
      <c r="J36" s="1630" t="s">
        <v>127</v>
      </c>
      <c r="K36" s="1631"/>
      <c r="L36" s="1632" t="s">
        <v>123</v>
      </c>
      <c r="N36" s="462" t="s">
        <v>515</v>
      </c>
      <c r="O36" s="463">
        <v>0.6</v>
      </c>
      <c r="P36" s="443"/>
    </row>
    <row r="37" spans="1:16" ht="15" thickBot="1" x14ac:dyDescent="0.3">
      <c r="A37" s="1623"/>
      <c r="B37" s="1634" t="s">
        <v>517</v>
      </c>
      <c r="C37" s="1635"/>
      <c r="D37" s="464">
        <v>2017</v>
      </c>
      <c r="E37" s="464">
        <v>2015</v>
      </c>
      <c r="F37" s="1633"/>
      <c r="H37" s="1636" t="s">
        <v>19</v>
      </c>
      <c r="I37" s="1637"/>
      <c r="J37" s="465">
        <f>D37</f>
        <v>2017</v>
      </c>
      <c r="K37" s="465">
        <f>E37</f>
        <v>2015</v>
      </c>
      <c r="L37" s="1633"/>
      <c r="N37" s="466" t="s">
        <v>19</v>
      </c>
      <c r="O37" s="467">
        <v>2.6</v>
      </c>
      <c r="P37" s="443"/>
    </row>
    <row r="38" spans="1:16" x14ac:dyDescent="0.25">
      <c r="A38" s="1623"/>
      <c r="C38" s="468">
        <v>15</v>
      </c>
      <c r="D38" s="469">
        <v>-0.1</v>
      </c>
      <c r="E38" s="469">
        <v>0.4</v>
      </c>
      <c r="F38" s="470">
        <f t="shared" ref="F38:F44" si="6">0.5*(MAX(D38:E38)-MIN(D38:E38))</f>
        <v>0.25</v>
      </c>
      <c r="H38" s="458"/>
      <c r="I38" s="468">
        <v>35</v>
      </c>
      <c r="J38" s="469">
        <v>-1.7</v>
      </c>
      <c r="K38" s="469">
        <v>-0.8</v>
      </c>
      <c r="L38" s="470">
        <f t="shared" ref="L38:L44" si="7">0.5*(MAX(J38:K38)-MIN(J38:K38))</f>
        <v>0.44999999999999996</v>
      </c>
      <c r="O38" s="453"/>
      <c r="P38" s="443"/>
    </row>
    <row r="39" spans="1:16" x14ac:dyDescent="0.25">
      <c r="A39" s="1623"/>
      <c r="C39" s="471">
        <v>20</v>
      </c>
      <c r="D39" s="451">
        <v>-0.3</v>
      </c>
      <c r="E39" s="451">
        <v>0</v>
      </c>
      <c r="F39" s="472">
        <f>0.5*(MAX(D39:E39)-MIN(D39:E39))</f>
        <v>0.15</v>
      </c>
      <c r="H39" s="458"/>
      <c r="I39" s="471">
        <v>40</v>
      </c>
      <c r="J39" s="451">
        <v>-1.5</v>
      </c>
      <c r="K39" s="451">
        <v>-0.9</v>
      </c>
      <c r="L39" s="472">
        <f t="shared" si="7"/>
        <v>0.3</v>
      </c>
      <c r="O39" s="453"/>
      <c r="P39" s="443"/>
    </row>
    <row r="40" spans="1:16" x14ac:dyDescent="0.25">
      <c r="A40" s="1623"/>
      <c r="C40" s="471">
        <v>25</v>
      </c>
      <c r="D40" s="451">
        <v>-0.5</v>
      </c>
      <c r="E40" s="451">
        <v>-0.5</v>
      </c>
      <c r="F40" s="472">
        <f t="shared" si="6"/>
        <v>0</v>
      </c>
      <c r="H40" s="458"/>
      <c r="I40" s="471">
        <v>50</v>
      </c>
      <c r="J40" s="451">
        <v>-1</v>
      </c>
      <c r="K40" s="451">
        <v>-1</v>
      </c>
      <c r="L40" s="472">
        <f t="shared" si="7"/>
        <v>0</v>
      </c>
      <c r="O40" s="453"/>
      <c r="P40" s="443"/>
    </row>
    <row r="41" spans="1:16" x14ac:dyDescent="0.25">
      <c r="A41" s="1623"/>
      <c r="C41" s="473">
        <v>30</v>
      </c>
      <c r="D41" s="455">
        <v>-0.6</v>
      </c>
      <c r="E41" s="454">
        <v>-1</v>
      </c>
      <c r="F41" s="472">
        <f t="shared" si="6"/>
        <v>0.2</v>
      </c>
      <c r="H41" s="458"/>
      <c r="I41" s="473">
        <v>60</v>
      </c>
      <c r="J41" s="455">
        <v>-0.3</v>
      </c>
      <c r="K41" s="454">
        <v>-0.9</v>
      </c>
      <c r="L41" s="472">
        <f t="shared" si="7"/>
        <v>0.30000000000000004</v>
      </c>
      <c r="O41" s="453"/>
      <c r="P41" s="443"/>
    </row>
    <row r="42" spans="1:16" x14ac:dyDescent="0.25">
      <c r="A42" s="1623"/>
      <c r="C42" s="473">
        <v>35</v>
      </c>
      <c r="D42" s="455">
        <v>-0.6</v>
      </c>
      <c r="E42" s="454">
        <v>-1.5</v>
      </c>
      <c r="F42" s="472">
        <f t="shared" si="6"/>
        <v>0.45</v>
      </c>
      <c r="H42" s="458"/>
      <c r="I42" s="473">
        <v>70</v>
      </c>
      <c r="J42" s="455">
        <v>0.7</v>
      </c>
      <c r="K42" s="454">
        <v>-0.7</v>
      </c>
      <c r="L42" s="472">
        <f t="shared" si="7"/>
        <v>0.7</v>
      </c>
      <c r="O42" s="453"/>
      <c r="P42" s="443"/>
    </row>
    <row r="43" spans="1:16" x14ac:dyDescent="0.25">
      <c r="A43" s="1623"/>
      <c r="C43" s="473">
        <v>37</v>
      </c>
      <c r="D43" s="455">
        <v>-0.6</v>
      </c>
      <c r="E43" s="454">
        <v>-1.8</v>
      </c>
      <c r="F43" s="472">
        <f t="shared" si="6"/>
        <v>0.60000000000000009</v>
      </c>
      <c r="H43" s="458"/>
      <c r="I43" s="473">
        <v>80</v>
      </c>
      <c r="J43" s="455">
        <v>1.9</v>
      </c>
      <c r="K43" s="454">
        <v>-0.4</v>
      </c>
      <c r="L43" s="472">
        <f t="shared" si="7"/>
        <v>1.1499999999999999</v>
      </c>
      <c r="O43" s="453"/>
      <c r="P43" s="443"/>
    </row>
    <row r="44" spans="1:16" ht="13.8" thickBot="1" x14ac:dyDescent="0.3">
      <c r="A44" s="1624"/>
      <c r="B44" s="456"/>
      <c r="C44" s="474">
        <v>40</v>
      </c>
      <c r="D44" s="455">
        <v>-0.6</v>
      </c>
      <c r="E44" s="475">
        <v>-2.1</v>
      </c>
      <c r="F44" s="476">
        <f t="shared" si="6"/>
        <v>0.75</v>
      </c>
      <c r="G44" s="456"/>
      <c r="H44" s="477"/>
      <c r="I44" s="474">
        <v>90</v>
      </c>
      <c r="J44" s="478">
        <v>3.3</v>
      </c>
      <c r="K44" s="475">
        <v>0.2</v>
      </c>
      <c r="L44" s="476">
        <f t="shared" si="7"/>
        <v>1.5499999999999998</v>
      </c>
      <c r="M44" s="456"/>
      <c r="N44" s="456"/>
      <c r="O44" s="457"/>
      <c r="P44" s="443"/>
    </row>
    <row r="45" spans="1:16" ht="13.8" thickBot="1" x14ac:dyDescent="0.3">
      <c r="A45" s="458"/>
      <c r="B45" s="458"/>
      <c r="O45" s="453"/>
      <c r="P45" s="443"/>
    </row>
    <row r="46" spans="1:16" ht="13.8" thickBot="1" x14ac:dyDescent="0.3">
      <c r="A46" s="1622">
        <v>5</v>
      </c>
      <c r="B46" s="1625" t="s">
        <v>521</v>
      </c>
      <c r="C46" s="1626"/>
      <c r="D46" s="1626"/>
      <c r="E46" s="1626"/>
      <c r="F46" s="1627"/>
      <c r="G46" s="445"/>
      <c r="H46" s="1625" t="str">
        <f>B46</f>
        <v>KOREKSI KIMO THERMOHYGROMETER 15062875</v>
      </c>
      <c r="I46" s="1626"/>
      <c r="J46" s="1626"/>
      <c r="K46" s="1626"/>
      <c r="L46" s="1627"/>
      <c r="M46" s="445"/>
      <c r="N46" s="1638" t="s">
        <v>137</v>
      </c>
      <c r="O46" s="1639"/>
      <c r="P46" s="443"/>
    </row>
    <row r="47" spans="1:16" ht="13.8" thickBot="1" x14ac:dyDescent="0.3">
      <c r="A47" s="1623"/>
      <c r="B47" s="1628" t="s">
        <v>515</v>
      </c>
      <c r="C47" s="1629"/>
      <c r="D47" s="1630" t="s">
        <v>127</v>
      </c>
      <c r="E47" s="1631"/>
      <c r="F47" s="1632" t="s">
        <v>123</v>
      </c>
      <c r="H47" s="1628" t="s">
        <v>516</v>
      </c>
      <c r="I47" s="1629"/>
      <c r="J47" s="1630" t="s">
        <v>127</v>
      </c>
      <c r="K47" s="1631"/>
      <c r="L47" s="1632" t="s">
        <v>123</v>
      </c>
      <c r="N47" s="462" t="s">
        <v>515</v>
      </c>
      <c r="O47" s="463">
        <v>0.4</v>
      </c>
      <c r="P47" s="443"/>
    </row>
    <row r="48" spans="1:16" ht="15" thickBot="1" x14ac:dyDescent="0.3">
      <c r="A48" s="1623"/>
      <c r="B48" s="1634" t="s">
        <v>517</v>
      </c>
      <c r="C48" s="1635"/>
      <c r="D48" s="464">
        <v>2020</v>
      </c>
      <c r="E48" s="464">
        <v>2017</v>
      </c>
      <c r="F48" s="1633"/>
      <c r="H48" s="1636" t="s">
        <v>19</v>
      </c>
      <c r="I48" s="1637"/>
      <c r="J48" s="465">
        <f>D48</f>
        <v>2020</v>
      </c>
      <c r="K48" s="465">
        <f>E48</f>
        <v>2017</v>
      </c>
      <c r="L48" s="1633"/>
      <c r="N48" s="466" t="s">
        <v>19</v>
      </c>
      <c r="O48" s="467">
        <v>2.8</v>
      </c>
      <c r="P48" s="443"/>
    </row>
    <row r="49" spans="1:16" x14ac:dyDescent="0.25">
      <c r="A49" s="1623"/>
      <c r="C49" s="468">
        <v>15</v>
      </c>
      <c r="D49" s="469">
        <v>-0.3</v>
      </c>
      <c r="E49" s="469">
        <v>0.3</v>
      </c>
      <c r="F49" s="470">
        <f t="shared" ref="F49:F55" si="8">0.5*(MAX(D49:E49)-MIN(D49:E49))</f>
        <v>0.3</v>
      </c>
      <c r="H49" s="458"/>
      <c r="I49" s="468">
        <v>35</v>
      </c>
      <c r="J49" s="469">
        <v>-7.7</v>
      </c>
      <c r="K49" s="469">
        <v>-9.6</v>
      </c>
      <c r="L49" s="470">
        <f t="shared" ref="L49:L55" si="9">0.5*(MAX(J49:K49)-MIN(J49:K49))</f>
        <v>0.94999999999999973</v>
      </c>
      <c r="O49" s="453"/>
      <c r="P49" s="443"/>
    </row>
    <row r="50" spans="1:16" x14ac:dyDescent="0.25">
      <c r="A50" s="1623"/>
      <c r="C50" s="471">
        <v>20</v>
      </c>
      <c r="D50" s="451">
        <v>0.1</v>
      </c>
      <c r="E50" s="451">
        <v>0.3</v>
      </c>
      <c r="F50" s="472">
        <f t="shared" si="8"/>
        <v>9.9999999999999992E-2</v>
      </c>
      <c r="H50" s="458"/>
      <c r="I50" s="471">
        <v>40</v>
      </c>
      <c r="J50" s="451">
        <v>-7.2</v>
      </c>
      <c r="K50" s="451">
        <v>-8</v>
      </c>
      <c r="L50" s="472">
        <f t="shared" si="9"/>
        <v>0.39999999999999991</v>
      </c>
      <c r="O50" s="453"/>
      <c r="P50" s="443"/>
    </row>
    <row r="51" spans="1:16" x14ac:dyDescent="0.25">
      <c r="A51" s="1623"/>
      <c r="C51" s="471">
        <v>25</v>
      </c>
      <c r="D51" s="451">
        <v>0.4</v>
      </c>
      <c r="E51" s="451">
        <v>0.2</v>
      </c>
      <c r="F51" s="472">
        <f t="shared" si="8"/>
        <v>0.1</v>
      </c>
      <c r="H51" s="458"/>
      <c r="I51" s="471">
        <v>50</v>
      </c>
      <c r="J51" s="451">
        <v>-6.2</v>
      </c>
      <c r="K51" s="451">
        <v>-6.2</v>
      </c>
      <c r="L51" s="472">
        <f t="shared" si="9"/>
        <v>0</v>
      </c>
      <c r="O51" s="453"/>
      <c r="P51" s="443"/>
    </row>
    <row r="52" spans="1:16" x14ac:dyDescent="0.25">
      <c r="A52" s="1623"/>
      <c r="C52" s="473">
        <v>30</v>
      </c>
      <c r="D52" s="455">
        <v>0.6</v>
      </c>
      <c r="E52" s="455">
        <v>0.1</v>
      </c>
      <c r="F52" s="472">
        <f t="shared" si="8"/>
        <v>0.25</v>
      </c>
      <c r="H52" s="458"/>
      <c r="I52" s="473">
        <v>60</v>
      </c>
      <c r="J52" s="455">
        <v>-5.2</v>
      </c>
      <c r="K52" s="455">
        <v>-4.2</v>
      </c>
      <c r="L52" s="472">
        <f t="shared" si="9"/>
        <v>0.5</v>
      </c>
      <c r="O52" s="453"/>
      <c r="P52" s="443"/>
    </row>
    <row r="53" spans="1:16" x14ac:dyDescent="0.25">
      <c r="A53" s="1623"/>
      <c r="C53" s="473">
        <v>35</v>
      </c>
      <c r="D53" s="455">
        <v>0.7</v>
      </c>
      <c r="E53" s="455">
        <v>0</v>
      </c>
      <c r="F53" s="472">
        <f t="shared" si="8"/>
        <v>0.35</v>
      </c>
      <c r="H53" s="458"/>
      <c r="I53" s="473">
        <v>70</v>
      </c>
      <c r="J53" s="455">
        <v>-4.0999999999999996</v>
      </c>
      <c r="K53" s="455">
        <v>-2.1</v>
      </c>
      <c r="L53" s="472">
        <f t="shared" si="9"/>
        <v>0.99999999999999978</v>
      </c>
      <c r="O53" s="453"/>
      <c r="P53" s="443"/>
    </row>
    <row r="54" spans="1:16" x14ac:dyDescent="0.25">
      <c r="A54" s="1623"/>
      <c r="C54" s="473">
        <v>37</v>
      </c>
      <c r="D54" s="455">
        <v>0.7</v>
      </c>
      <c r="E54" s="455">
        <v>0</v>
      </c>
      <c r="F54" s="472">
        <f t="shared" si="8"/>
        <v>0.35</v>
      </c>
      <c r="H54" s="458"/>
      <c r="I54" s="473">
        <v>80</v>
      </c>
      <c r="J54" s="455">
        <v>-3</v>
      </c>
      <c r="K54" s="455">
        <v>0.2</v>
      </c>
      <c r="L54" s="472">
        <f t="shared" si="9"/>
        <v>1.6</v>
      </c>
      <c r="O54" s="453"/>
      <c r="P54" s="443"/>
    </row>
    <row r="55" spans="1:16" ht="13.8" thickBot="1" x14ac:dyDescent="0.3">
      <c r="A55" s="1624"/>
      <c r="B55" s="456"/>
      <c r="C55" s="474">
        <v>40</v>
      </c>
      <c r="D55" s="478">
        <v>0.7</v>
      </c>
      <c r="E55" s="478">
        <v>-0.1</v>
      </c>
      <c r="F55" s="476">
        <f t="shared" si="8"/>
        <v>0.39999999999999997</v>
      </c>
      <c r="G55" s="456"/>
      <c r="H55" s="477"/>
      <c r="I55" s="474">
        <v>90</v>
      </c>
      <c r="J55" s="478">
        <v>-1.8</v>
      </c>
      <c r="K55" s="478">
        <v>2.7</v>
      </c>
      <c r="L55" s="476">
        <f t="shared" si="9"/>
        <v>2.25</v>
      </c>
      <c r="M55" s="456"/>
      <c r="N55" s="456"/>
      <c r="O55" s="457"/>
      <c r="P55" s="443"/>
    </row>
    <row r="56" spans="1:16" ht="13.8" thickBot="1" x14ac:dyDescent="0.3">
      <c r="A56" s="479"/>
      <c r="B56" s="480"/>
      <c r="C56" s="480"/>
      <c r="D56" s="480"/>
      <c r="E56" s="481"/>
      <c r="F56" s="482"/>
      <c r="G56" s="483"/>
      <c r="H56" s="480"/>
      <c r="I56" s="480"/>
      <c r="J56" s="480"/>
      <c r="K56" s="481"/>
      <c r="L56" s="482"/>
      <c r="O56" s="453"/>
      <c r="P56" s="443"/>
    </row>
    <row r="57" spans="1:16" ht="13.8" thickBot="1" x14ac:dyDescent="0.3">
      <c r="A57" s="1622">
        <v>6</v>
      </c>
      <c r="B57" s="1625" t="s">
        <v>522</v>
      </c>
      <c r="C57" s="1626"/>
      <c r="D57" s="1626"/>
      <c r="E57" s="1626"/>
      <c r="F57" s="1627"/>
      <c r="G57" s="445"/>
      <c r="H57" s="1625" t="str">
        <f>B57</f>
        <v>KOREKSI GREISINGER 34903046</v>
      </c>
      <c r="I57" s="1626"/>
      <c r="J57" s="1626"/>
      <c r="K57" s="1626"/>
      <c r="L57" s="1627"/>
      <c r="M57" s="445"/>
      <c r="N57" s="1638" t="s">
        <v>137</v>
      </c>
      <c r="O57" s="1639"/>
      <c r="P57" s="443"/>
    </row>
    <row r="58" spans="1:16" ht="13.8" thickBot="1" x14ac:dyDescent="0.3">
      <c r="A58" s="1623"/>
      <c r="B58" s="1628" t="s">
        <v>515</v>
      </c>
      <c r="C58" s="1629"/>
      <c r="D58" s="1630" t="s">
        <v>127</v>
      </c>
      <c r="E58" s="1631"/>
      <c r="F58" s="1632" t="s">
        <v>123</v>
      </c>
      <c r="H58" s="1628" t="s">
        <v>516</v>
      </c>
      <c r="I58" s="1629"/>
      <c r="J58" s="1630" t="s">
        <v>127</v>
      </c>
      <c r="K58" s="1631"/>
      <c r="L58" s="1632" t="s">
        <v>123</v>
      </c>
      <c r="N58" s="462" t="s">
        <v>515</v>
      </c>
      <c r="O58" s="463">
        <v>0.8</v>
      </c>
      <c r="P58" s="443"/>
    </row>
    <row r="59" spans="1:16" ht="15" thickBot="1" x14ac:dyDescent="0.3">
      <c r="A59" s="1623"/>
      <c r="B59" s="1634" t="s">
        <v>517</v>
      </c>
      <c r="C59" s="1635"/>
      <c r="D59" s="464">
        <v>2019</v>
      </c>
      <c r="E59" s="464">
        <v>2018</v>
      </c>
      <c r="F59" s="1633"/>
      <c r="H59" s="1636" t="s">
        <v>19</v>
      </c>
      <c r="I59" s="1637"/>
      <c r="J59" s="465">
        <f>D59</f>
        <v>2019</v>
      </c>
      <c r="K59" s="465">
        <f>E59</f>
        <v>2018</v>
      </c>
      <c r="L59" s="1633"/>
      <c r="N59" s="466" t="s">
        <v>19</v>
      </c>
      <c r="O59" s="484">
        <v>2.6</v>
      </c>
      <c r="P59" s="443"/>
    </row>
    <row r="60" spans="1:16" x14ac:dyDescent="0.25">
      <c r="A60" s="1623"/>
      <c r="C60" s="468">
        <v>15</v>
      </c>
      <c r="D60" s="469">
        <v>0.4</v>
      </c>
      <c r="E60" s="469">
        <v>0.4</v>
      </c>
      <c r="F60" s="470">
        <f t="shared" ref="F60:F66" si="10">0.5*(MAX(D60:E60)-MIN(D60:E60))</f>
        <v>0</v>
      </c>
      <c r="H60" s="458"/>
      <c r="I60" s="468">
        <v>30</v>
      </c>
      <c r="J60" s="469">
        <v>-1.5</v>
      </c>
      <c r="K60" s="469">
        <v>-4.9000000000000004</v>
      </c>
      <c r="L60" s="470">
        <f t="shared" ref="L60:L66" si="11">0.5*(MAX(J60:K60)-MIN(J60:K60))</f>
        <v>1.7000000000000002</v>
      </c>
      <c r="O60" s="453"/>
      <c r="P60" s="443"/>
    </row>
    <row r="61" spans="1:16" x14ac:dyDescent="0.25">
      <c r="A61" s="1623"/>
      <c r="C61" s="471">
        <v>20</v>
      </c>
      <c r="D61" s="451">
        <v>0.3</v>
      </c>
      <c r="E61" s="451">
        <v>0.2</v>
      </c>
      <c r="F61" s="472">
        <f t="shared" si="10"/>
        <v>4.9999999999999989E-2</v>
      </c>
      <c r="H61" s="458"/>
      <c r="I61" s="471">
        <v>40</v>
      </c>
      <c r="J61" s="451">
        <v>-3.8</v>
      </c>
      <c r="K61" s="451">
        <v>-3.4</v>
      </c>
      <c r="L61" s="472">
        <f t="shared" si="11"/>
        <v>0.19999999999999996</v>
      </c>
      <c r="O61" s="453"/>
      <c r="P61" s="443"/>
    </row>
    <row r="62" spans="1:16" x14ac:dyDescent="0.25">
      <c r="A62" s="1623"/>
      <c r="C62" s="471">
        <v>25</v>
      </c>
      <c r="D62" s="451">
        <v>0.2</v>
      </c>
      <c r="E62" s="451">
        <v>-0.1</v>
      </c>
      <c r="F62" s="472">
        <f t="shared" si="10"/>
        <v>0.15000000000000002</v>
      </c>
      <c r="H62" s="458"/>
      <c r="I62" s="471">
        <v>50</v>
      </c>
      <c r="J62" s="451">
        <v>-5.4</v>
      </c>
      <c r="K62" s="451">
        <v>-2.5</v>
      </c>
      <c r="L62" s="472">
        <f t="shared" si="11"/>
        <v>1.4500000000000002</v>
      </c>
      <c r="O62" s="453"/>
      <c r="P62" s="443"/>
    </row>
    <row r="63" spans="1:16" x14ac:dyDescent="0.25">
      <c r="A63" s="1623"/>
      <c r="C63" s="473">
        <v>30</v>
      </c>
      <c r="D63" s="454">
        <v>0.1</v>
      </c>
      <c r="E63" s="454">
        <v>-0.5</v>
      </c>
      <c r="F63" s="472">
        <f t="shared" si="10"/>
        <v>0.3</v>
      </c>
      <c r="H63" s="458"/>
      <c r="I63" s="473">
        <v>60</v>
      </c>
      <c r="J63" s="454">
        <v>-6.4</v>
      </c>
      <c r="K63" s="454">
        <v>-2</v>
      </c>
      <c r="L63" s="472">
        <f t="shared" si="11"/>
        <v>2.2000000000000002</v>
      </c>
      <c r="O63" s="453"/>
      <c r="P63" s="443"/>
    </row>
    <row r="64" spans="1:16" x14ac:dyDescent="0.25">
      <c r="A64" s="1623"/>
      <c r="C64" s="473">
        <v>35</v>
      </c>
      <c r="D64" s="454">
        <v>0.1</v>
      </c>
      <c r="E64" s="454">
        <v>-0.9</v>
      </c>
      <c r="F64" s="472">
        <f t="shared" si="10"/>
        <v>0.5</v>
      </c>
      <c r="H64" s="458"/>
      <c r="I64" s="473">
        <v>70</v>
      </c>
      <c r="J64" s="454">
        <v>-6.7</v>
      </c>
      <c r="K64" s="454">
        <v>-2.1</v>
      </c>
      <c r="L64" s="472">
        <f t="shared" si="11"/>
        <v>2.2999999999999998</v>
      </c>
      <c r="O64" s="453"/>
      <c r="P64" s="443"/>
    </row>
    <row r="65" spans="1:16" x14ac:dyDescent="0.25">
      <c r="A65" s="1623"/>
      <c r="C65" s="473">
        <v>37</v>
      </c>
      <c r="D65" s="454">
        <v>0.1</v>
      </c>
      <c r="E65" s="454">
        <v>-1.1000000000000001</v>
      </c>
      <c r="F65" s="472">
        <f t="shared" si="10"/>
        <v>0.60000000000000009</v>
      </c>
      <c r="H65" s="458"/>
      <c r="I65" s="473">
        <v>80</v>
      </c>
      <c r="J65" s="454">
        <v>-6.3</v>
      </c>
      <c r="K65" s="454">
        <v>-2.6</v>
      </c>
      <c r="L65" s="472">
        <f t="shared" si="11"/>
        <v>1.8499999999999999</v>
      </c>
      <c r="O65" s="453"/>
      <c r="P65" s="443"/>
    </row>
    <row r="66" spans="1:16" ht="13.8" thickBot="1" x14ac:dyDescent="0.3">
      <c r="A66" s="1624"/>
      <c r="B66" s="456"/>
      <c r="C66" s="474">
        <v>40</v>
      </c>
      <c r="D66" s="475">
        <v>0.1</v>
      </c>
      <c r="E66" s="475">
        <v>-1.4</v>
      </c>
      <c r="F66" s="476">
        <f t="shared" si="10"/>
        <v>0.75</v>
      </c>
      <c r="G66" s="456"/>
      <c r="H66" s="477"/>
      <c r="I66" s="474">
        <v>90</v>
      </c>
      <c r="J66" s="475">
        <v>-5.2</v>
      </c>
      <c r="K66" s="475">
        <v>-2.6</v>
      </c>
      <c r="L66" s="476">
        <f t="shared" si="11"/>
        <v>1.3</v>
      </c>
      <c r="M66" s="456"/>
      <c r="N66" s="456"/>
      <c r="O66" s="457"/>
      <c r="P66" s="443"/>
    </row>
    <row r="67" spans="1:16" ht="13.8" thickBot="1" x14ac:dyDescent="0.3">
      <c r="A67" s="479"/>
      <c r="B67" s="480"/>
      <c r="C67" s="480"/>
      <c r="D67" s="480"/>
      <c r="E67" s="481"/>
      <c r="F67" s="482"/>
      <c r="G67" s="483"/>
      <c r="H67" s="480"/>
      <c r="I67" s="480"/>
      <c r="J67" s="480"/>
      <c r="K67" s="481"/>
      <c r="L67" s="482"/>
      <c r="O67" s="453"/>
      <c r="P67" s="443"/>
    </row>
    <row r="68" spans="1:16" ht="13.8" thickBot="1" x14ac:dyDescent="0.3">
      <c r="A68" s="1622">
        <v>7</v>
      </c>
      <c r="B68" s="1625" t="s">
        <v>523</v>
      </c>
      <c r="C68" s="1626"/>
      <c r="D68" s="1626"/>
      <c r="E68" s="1626"/>
      <c r="F68" s="1627"/>
      <c r="G68" s="445"/>
      <c r="H68" s="1625" t="str">
        <f>B68</f>
        <v>KOREKSI GREISINGER 34903053</v>
      </c>
      <c r="I68" s="1626"/>
      <c r="J68" s="1626"/>
      <c r="K68" s="1626"/>
      <c r="L68" s="1627"/>
      <c r="M68" s="445"/>
      <c r="N68" s="1638" t="s">
        <v>137</v>
      </c>
      <c r="O68" s="1639"/>
      <c r="P68" s="443"/>
    </row>
    <row r="69" spans="1:16" ht="13.8" thickBot="1" x14ac:dyDescent="0.3">
      <c r="A69" s="1623"/>
      <c r="B69" s="1628" t="s">
        <v>515</v>
      </c>
      <c r="C69" s="1629"/>
      <c r="D69" s="1630" t="s">
        <v>127</v>
      </c>
      <c r="E69" s="1631"/>
      <c r="F69" s="1632" t="s">
        <v>123</v>
      </c>
      <c r="H69" s="1628" t="s">
        <v>516</v>
      </c>
      <c r="I69" s="1629"/>
      <c r="J69" s="1630" t="s">
        <v>127</v>
      </c>
      <c r="K69" s="1631"/>
      <c r="L69" s="1632" t="s">
        <v>123</v>
      </c>
      <c r="N69" s="462" t="s">
        <v>515</v>
      </c>
      <c r="O69" s="463">
        <v>0.3</v>
      </c>
      <c r="P69" s="443"/>
    </row>
    <row r="70" spans="1:16" ht="15" thickBot="1" x14ac:dyDescent="0.3">
      <c r="A70" s="1623"/>
      <c r="B70" s="1634" t="s">
        <v>517</v>
      </c>
      <c r="C70" s="1635"/>
      <c r="D70" s="464">
        <v>2018</v>
      </c>
      <c r="E70" s="464">
        <v>2017</v>
      </c>
      <c r="F70" s="1633"/>
      <c r="H70" s="1636" t="s">
        <v>19</v>
      </c>
      <c r="I70" s="1637"/>
      <c r="J70" s="465">
        <f>D70</f>
        <v>2018</v>
      </c>
      <c r="K70" s="465">
        <f>E70</f>
        <v>2017</v>
      </c>
      <c r="L70" s="1633"/>
      <c r="N70" s="466" t="s">
        <v>19</v>
      </c>
      <c r="O70" s="467">
        <v>2.2999999999999998</v>
      </c>
      <c r="P70" s="443"/>
    </row>
    <row r="71" spans="1:16" x14ac:dyDescent="0.25">
      <c r="A71" s="1623"/>
      <c r="C71" s="468">
        <v>15</v>
      </c>
      <c r="D71" s="469">
        <v>0.3</v>
      </c>
      <c r="E71" s="469">
        <v>0.2</v>
      </c>
      <c r="F71" s="470">
        <f t="shared" ref="F71:F77" si="12">0.5*(MAX(D71:E71)-MIN(D71:E71))</f>
        <v>4.9999999999999989E-2</v>
      </c>
      <c r="H71" s="458"/>
      <c r="I71" s="468">
        <v>30</v>
      </c>
      <c r="J71" s="469">
        <v>1.8</v>
      </c>
      <c r="K71" s="469">
        <v>-0.1</v>
      </c>
      <c r="L71" s="470">
        <f t="shared" ref="L71:L77" si="13">0.5*(MAX(J71:K71)-MIN(J71:K71))</f>
        <v>0.95000000000000007</v>
      </c>
      <c r="O71" s="453"/>
      <c r="P71" s="443"/>
    </row>
    <row r="72" spans="1:16" x14ac:dyDescent="0.25">
      <c r="A72" s="1623"/>
      <c r="C72" s="471">
        <v>20</v>
      </c>
      <c r="D72" s="451">
        <v>0.1</v>
      </c>
      <c r="E72" s="451">
        <v>0.1</v>
      </c>
      <c r="F72" s="472">
        <f t="shared" si="12"/>
        <v>0</v>
      </c>
      <c r="H72" s="458"/>
      <c r="I72" s="471">
        <v>40</v>
      </c>
      <c r="J72" s="451">
        <v>1.2</v>
      </c>
      <c r="K72" s="451">
        <v>0</v>
      </c>
      <c r="L72" s="472">
        <f t="shared" si="13"/>
        <v>0.6</v>
      </c>
      <c r="O72" s="453"/>
      <c r="P72" s="443"/>
    </row>
    <row r="73" spans="1:16" x14ac:dyDescent="0.25">
      <c r="A73" s="1623"/>
      <c r="C73" s="471">
        <v>25</v>
      </c>
      <c r="D73" s="451">
        <v>-0.2</v>
      </c>
      <c r="E73" s="451">
        <v>9.9999999999999995E-7</v>
      </c>
      <c r="F73" s="472">
        <f t="shared" si="12"/>
        <v>0.10000050000000001</v>
      </c>
      <c r="H73" s="458"/>
      <c r="I73" s="471">
        <v>50</v>
      </c>
      <c r="J73" s="451">
        <v>0.8</v>
      </c>
      <c r="K73" s="451">
        <v>0.6</v>
      </c>
      <c r="L73" s="472">
        <f t="shared" si="13"/>
        <v>0.10000000000000003</v>
      </c>
      <c r="O73" s="453"/>
      <c r="P73" s="443"/>
    </row>
    <row r="74" spans="1:16" x14ac:dyDescent="0.25">
      <c r="A74" s="1623"/>
      <c r="C74" s="473">
        <v>30</v>
      </c>
      <c r="D74" s="454">
        <v>-0.6</v>
      </c>
      <c r="E74" s="454">
        <v>-0.1</v>
      </c>
      <c r="F74" s="472">
        <f t="shared" si="12"/>
        <v>0.25</v>
      </c>
      <c r="H74" s="458"/>
      <c r="I74" s="473">
        <v>60</v>
      </c>
      <c r="J74" s="454">
        <v>0.7</v>
      </c>
      <c r="K74" s="454">
        <v>1.5</v>
      </c>
      <c r="L74" s="472">
        <f t="shared" si="13"/>
        <v>0.4</v>
      </c>
      <c r="O74" s="453"/>
      <c r="P74" s="443"/>
    </row>
    <row r="75" spans="1:16" x14ac:dyDescent="0.25">
      <c r="A75" s="1623"/>
      <c r="C75" s="473">
        <v>35</v>
      </c>
      <c r="D75" s="454">
        <v>-1.1000000000000001</v>
      </c>
      <c r="E75" s="454">
        <v>-0.1</v>
      </c>
      <c r="F75" s="472">
        <f t="shared" si="12"/>
        <v>0.5</v>
      </c>
      <c r="H75" s="458"/>
      <c r="I75" s="473">
        <v>70</v>
      </c>
      <c r="J75" s="454">
        <v>0.9</v>
      </c>
      <c r="K75" s="454">
        <v>2.8</v>
      </c>
      <c r="L75" s="472">
        <f t="shared" si="13"/>
        <v>0.95</v>
      </c>
      <c r="O75" s="453"/>
      <c r="P75" s="443"/>
    </row>
    <row r="76" spans="1:16" x14ac:dyDescent="0.25">
      <c r="A76" s="1623"/>
      <c r="C76" s="473">
        <v>37</v>
      </c>
      <c r="D76" s="454">
        <v>-1.4</v>
      </c>
      <c r="E76" s="454">
        <v>-0.1</v>
      </c>
      <c r="F76" s="472">
        <f t="shared" si="12"/>
        <v>0.64999999999999991</v>
      </c>
      <c r="H76" s="458"/>
      <c r="I76" s="473">
        <v>80</v>
      </c>
      <c r="J76" s="454">
        <v>1.2</v>
      </c>
      <c r="K76" s="454">
        <v>4.4000000000000004</v>
      </c>
      <c r="L76" s="472">
        <f t="shared" si="13"/>
        <v>1.6</v>
      </c>
      <c r="O76" s="453"/>
      <c r="P76" s="443"/>
    </row>
    <row r="77" spans="1:16" ht="13.8" thickBot="1" x14ac:dyDescent="0.3">
      <c r="A77" s="1624"/>
      <c r="B77" s="456"/>
      <c r="C77" s="474">
        <v>40</v>
      </c>
      <c r="D77" s="475">
        <v>-1.7</v>
      </c>
      <c r="E77" s="475">
        <v>-0.1</v>
      </c>
      <c r="F77" s="476">
        <f t="shared" si="12"/>
        <v>0.79999999999999993</v>
      </c>
      <c r="G77" s="456"/>
      <c r="H77" s="477"/>
      <c r="I77" s="474">
        <v>90</v>
      </c>
      <c r="J77" s="475">
        <v>1.8</v>
      </c>
      <c r="K77" s="475">
        <v>4.4000000000000004</v>
      </c>
      <c r="L77" s="476">
        <f t="shared" si="13"/>
        <v>1.3000000000000003</v>
      </c>
      <c r="M77" s="456"/>
      <c r="N77" s="456"/>
      <c r="O77" s="457"/>
      <c r="P77" s="443"/>
    </row>
    <row r="78" spans="1:16" ht="13.8" thickBot="1" x14ac:dyDescent="0.3">
      <c r="A78" s="479"/>
      <c r="B78" s="480"/>
      <c r="C78" s="480"/>
      <c r="D78" s="480"/>
      <c r="E78" s="481"/>
      <c r="F78" s="482"/>
      <c r="G78" s="483"/>
      <c r="H78" s="480"/>
      <c r="I78" s="480"/>
      <c r="J78" s="480"/>
      <c r="K78" s="481"/>
      <c r="L78" s="482"/>
      <c r="O78" s="453"/>
      <c r="P78" s="443"/>
    </row>
    <row r="79" spans="1:16" ht="13.8" thickBot="1" x14ac:dyDescent="0.3">
      <c r="A79" s="1622">
        <v>8</v>
      </c>
      <c r="B79" s="1625" t="s">
        <v>524</v>
      </c>
      <c r="C79" s="1626"/>
      <c r="D79" s="1626"/>
      <c r="E79" s="1626"/>
      <c r="F79" s="1627"/>
      <c r="G79" s="445"/>
      <c r="H79" s="1625" t="str">
        <f>B79</f>
        <v>KOREKSI GREISINGER 34903051</v>
      </c>
      <c r="I79" s="1626"/>
      <c r="J79" s="1626"/>
      <c r="K79" s="1626"/>
      <c r="L79" s="1627"/>
      <c r="M79" s="445"/>
      <c r="N79" s="1638" t="s">
        <v>137</v>
      </c>
      <c r="O79" s="1639"/>
      <c r="P79" s="443"/>
    </row>
    <row r="80" spans="1:16" ht="13.8" thickBot="1" x14ac:dyDescent="0.3">
      <c r="A80" s="1623"/>
      <c r="B80" s="1628" t="s">
        <v>515</v>
      </c>
      <c r="C80" s="1629"/>
      <c r="D80" s="1630" t="s">
        <v>127</v>
      </c>
      <c r="E80" s="1631"/>
      <c r="F80" s="1632" t="s">
        <v>123</v>
      </c>
      <c r="H80" s="1628" t="s">
        <v>516</v>
      </c>
      <c r="I80" s="1629"/>
      <c r="J80" s="1630" t="s">
        <v>127</v>
      </c>
      <c r="K80" s="1631"/>
      <c r="L80" s="1632" t="s">
        <v>123</v>
      </c>
      <c r="N80" s="462" t="s">
        <v>515</v>
      </c>
      <c r="O80" s="485">
        <v>0.3</v>
      </c>
      <c r="P80" s="443"/>
    </row>
    <row r="81" spans="1:16" ht="15" thickBot="1" x14ac:dyDescent="0.3">
      <c r="A81" s="1623"/>
      <c r="B81" s="1634" t="s">
        <v>517</v>
      </c>
      <c r="C81" s="1635"/>
      <c r="D81" s="464">
        <v>2019</v>
      </c>
      <c r="E81" s="464">
        <v>2017</v>
      </c>
      <c r="F81" s="1633"/>
      <c r="H81" s="1636" t="s">
        <v>19</v>
      </c>
      <c r="I81" s="1637"/>
      <c r="J81" s="465">
        <f>D81</f>
        <v>2019</v>
      </c>
      <c r="K81" s="465">
        <f>E81</f>
        <v>2017</v>
      </c>
      <c r="L81" s="1633"/>
      <c r="N81" s="466" t="s">
        <v>19</v>
      </c>
      <c r="O81" s="484">
        <v>2.6</v>
      </c>
      <c r="P81" s="443"/>
    </row>
    <row r="82" spans="1:16" x14ac:dyDescent="0.25">
      <c r="A82" s="1623"/>
      <c r="C82" s="486">
        <v>15</v>
      </c>
      <c r="D82" s="469">
        <v>9.9999999999999995E-7</v>
      </c>
      <c r="E82" s="469">
        <v>-0.2</v>
      </c>
      <c r="F82" s="470">
        <f t="shared" ref="F82:F88" si="14">0.5*(MAX(D82:E82)-MIN(D82:E82))</f>
        <v>0.10000050000000001</v>
      </c>
      <c r="H82" s="458"/>
      <c r="I82" s="486">
        <v>30</v>
      </c>
      <c r="J82" s="469">
        <v>-1.4</v>
      </c>
      <c r="K82" s="469">
        <v>1</v>
      </c>
      <c r="L82" s="470">
        <f t="shared" ref="L82:L88" si="15">0.5*(MAX(J82:K82)-MIN(J82:K82))</f>
        <v>1.2</v>
      </c>
      <c r="O82" s="453"/>
      <c r="P82" s="443"/>
    </row>
    <row r="83" spans="1:16" x14ac:dyDescent="0.25">
      <c r="A83" s="1623"/>
      <c r="C83" s="487">
        <v>20</v>
      </c>
      <c r="D83" s="469">
        <v>-0.2</v>
      </c>
      <c r="E83" s="469">
        <v>-0.2</v>
      </c>
      <c r="F83" s="472">
        <f>0.5*(MAX(D83:E83)-MIN(D83:E83))</f>
        <v>0</v>
      </c>
      <c r="H83" s="458"/>
      <c r="I83" s="487">
        <v>40</v>
      </c>
      <c r="J83" s="451">
        <v>-1.2</v>
      </c>
      <c r="K83" s="451">
        <v>1.1000000000000001</v>
      </c>
      <c r="L83" s="472">
        <f t="shared" si="15"/>
        <v>1.1499999999999999</v>
      </c>
      <c r="O83" s="453"/>
      <c r="P83" s="443"/>
    </row>
    <row r="84" spans="1:16" x14ac:dyDescent="0.25">
      <c r="A84" s="1623"/>
      <c r="C84" s="487">
        <v>25</v>
      </c>
      <c r="D84" s="469">
        <v>-0.4</v>
      </c>
      <c r="E84" s="469">
        <v>-0.2</v>
      </c>
      <c r="F84" s="472">
        <f t="shared" si="14"/>
        <v>0.1</v>
      </c>
      <c r="H84" s="458"/>
      <c r="I84" s="487">
        <v>50</v>
      </c>
      <c r="J84" s="451">
        <v>-1.2</v>
      </c>
      <c r="K84" s="451">
        <v>1.3</v>
      </c>
      <c r="L84" s="472">
        <f t="shared" si="15"/>
        <v>1.25</v>
      </c>
      <c r="O84" s="453"/>
      <c r="P84" s="443"/>
    </row>
    <row r="85" spans="1:16" x14ac:dyDescent="0.25">
      <c r="A85" s="1623"/>
      <c r="C85" s="488">
        <v>30</v>
      </c>
      <c r="D85" s="469">
        <v>-0.4</v>
      </c>
      <c r="E85" s="469">
        <v>-0.2</v>
      </c>
      <c r="F85" s="472">
        <f t="shared" si="14"/>
        <v>0.1</v>
      </c>
      <c r="H85" s="458"/>
      <c r="I85" s="488">
        <v>60</v>
      </c>
      <c r="J85" s="454">
        <v>-1.1000000000000001</v>
      </c>
      <c r="K85" s="454">
        <v>1.7</v>
      </c>
      <c r="L85" s="472">
        <f t="shared" si="15"/>
        <v>1.4</v>
      </c>
      <c r="O85" s="453"/>
      <c r="P85" s="443"/>
    </row>
    <row r="86" spans="1:16" x14ac:dyDescent="0.25">
      <c r="A86" s="1623"/>
      <c r="C86" s="488">
        <v>35</v>
      </c>
      <c r="D86" s="454">
        <v>-0.5</v>
      </c>
      <c r="E86" s="454">
        <v>-0.3</v>
      </c>
      <c r="F86" s="472">
        <f t="shared" si="14"/>
        <v>0.1</v>
      </c>
      <c r="H86" s="458"/>
      <c r="I86" s="488">
        <v>70</v>
      </c>
      <c r="J86" s="454">
        <v>-1.2</v>
      </c>
      <c r="K86" s="454">
        <v>2.1</v>
      </c>
      <c r="L86" s="472">
        <f t="shared" si="15"/>
        <v>1.65</v>
      </c>
      <c r="O86" s="453"/>
      <c r="P86" s="443"/>
    </row>
    <row r="87" spans="1:16" x14ac:dyDescent="0.25">
      <c r="A87" s="1623"/>
      <c r="C87" s="488">
        <v>37</v>
      </c>
      <c r="D87" s="454">
        <v>-0.5</v>
      </c>
      <c r="E87" s="454">
        <v>-0.3</v>
      </c>
      <c r="F87" s="472">
        <f t="shared" si="14"/>
        <v>0.1</v>
      </c>
      <c r="H87" s="458"/>
      <c r="I87" s="488">
        <v>80</v>
      </c>
      <c r="J87" s="454">
        <v>-1.2</v>
      </c>
      <c r="K87" s="454">
        <v>2.6</v>
      </c>
      <c r="L87" s="472">
        <f t="shared" si="15"/>
        <v>1.9</v>
      </c>
      <c r="O87" s="453"/>
      <c r="P87" s="443"/>
    </row>
    <row r="88" spans="1:16" ht="13.8" thickBot="1" x14ac:dyDescent="0.3">
      <c r="A88" s="1624"/>
      <c r="B88" s="456"/>
      <c r="C88" s="489">
        <v>40</v>
      </c>
      <c r="D88" s="475">
        <v>-0.4</v>
      </c>
      <c r="E88" s="475">
        <v>-0.4</v>
      </c>
      <c r="F88" s="476">
        <f t="shared" si="14"/>
        <v>0</v>
      </c>
      <c r="G88" s="456"/>
      <c r="H88" s="477"/>
      <c r="I88" s="489">
        <v>90</v>
      </c>
      <c r="J88" s="475">
        <v>-1.3</v>
      </c>
      <c r="K88" s="475">
        <v>2.6</v>
      </c>
      <c r="L88" s="476">
        <f t="shared" si="15"/>
        <v>1.9500000000000002</v>
      </c>
      <c r="M88" s="456"/>
      <c r="N88" s="456"/>
      <c r="O88" s="457"/>
      <c r="P88" s="443"/>
    </row>
    <row r="89" spans="1:16" ht="13.8" thickBot="1" x14ac:dyDescent="0.3">
      <c r="A89" s="479"/>
      <c r="B89" s="480"/>
      <c r="C89" s="480"/>
      <c r="D89" s="480"/>
      <c r="E89" s="481"/>
      <c r="F89" s="490"/>
      <c r="G89" s="483"/>
      <c r="H89" s="480"/>
      <c r="I89" s="480"/>
      <c r="J89" s="480"/>
      <c r="K89" s="481"/>
      <c r="L89" s="490"/>
      <c r="O89" s="453"/>
      <c r="P89" s="443"/>
    </row>
    <row r="90" spans="1:16" ht="13.8" thickBot="1" x14ac:dyDescent="0.3">
      <c r="A90" s="1622">
        <v>9</v>
      </c>
      <c r="B90" s="1625" t="s">
        <v>525</v>
      </c>
      <c r="C90" s="1626"/>
      <c r="D90" s="1626"/>
      <c r="E90" s="1626"/>
      <c r="F90" s="1627"/>
      <c r="G90" s="445"/>
      <c r="H90" s="1625" t="str">
        <f>B90</f>
        <v>KOREKSI GREISINGER 34904091</v>
      </c>
      <c r="I90" s="1626"/>
      <c r="J90" s="1626"/>
      <c r="K90" s="1626"/>
      <c r="L90" s="1627"/>
      <c r="M90" s="445"/>
      <c r="N90" s="1638" t="s">
        <v>137</v>
      </c>
      <c r="O90" s="1639"/>
      <c r="P90" s="443"/>
    </row>
    <row r="91" spans="1:16" ht="13.8" thickBot="1" x14ac:dyDescent="0.3">
      <c r="A91" s="1623"/>
      <c r="B91" s="1628" t="s">
        <v>515</v>
      </c>
      <c r="C91" s="1629"/>
      <c r="D91" s="1630" t="s">
        <v>127</v>
      </c>
      <c r="E91" s="1631"/>
      <c r="F91" s="1632" t="s">
        <v>123</v>
      </c>
      <c r="H91" s="1628" t="s">
        <v>516</v>
      </c>
      <c r="I91" s="1629"/>
      <c r="J91" s="1630" t="s">
        <v>127</v>
      </c>
      <c r="K91" s="1631"/>
      <c r="L91" s="1632" t="s">
        <v>123</v>
      </c>
      <c r="N91" s="462" t="s">
        <v>515</v>
      </c>
      <c r="O91" s="485">
        <v>0.3</v>
      </c>
      <c r="P91" s="443"/>
    </row>
    <row r="92" spans="1:16" ht="15" thickBot="1" x14ac:dyDescent="0.3">
      <c r="A92" s="1623"/>
      <c r="B92" s="1634" t="s">
        <v>517</v>
      </c>
      <c r="C92" s="1635"/>
      <c r="D92" s="464">
        <v>2019</v>
      </c>
      <c r="E92" s="491" t="s">
        <v>129</v>
      </c>
      <c r="F92" s="1633"/>
      <c r="H92" s="1636" t="s">
        <v>19</v>
      </c>
      <c r="I92" s="1637"/>
      <c r="J92" s="465">
        <f>D92</f>
        <v>2019</v>
      </c>
      <c r="K92" s="465" t="str">
        <f>E92</f>
        <v>-</v>
      </c>
      <c r="L92" s="1633"/>
      <c r="N92" s="466" t="s">
        <v>19</v>
      </c>
      <c r="O92" s="484">
        <v>2.4</v>
      </c>
      <c r="P92" s="443"/>
    </row>
    <row r="93" spans="1:16" x14ac:dyDescent="0.25">
      <c r="A93" s="1623"/>
      <c r="B93" s="458"/>
      <c r="C93" s="486">
        <v>15</v>
      </c>
      <c r="D93" s="469">
        <v>9.9999999999999995E-7</v>
      </c>
      <c r="E93" s="492" t="s">
        <v>129</v>
      </c>
      <c r="F93" s="470">
        <f t="shared" ref="F93" si="16">0.5*(MAX(D93:E93)-MIN(D93:E93))</f>
        <v>0</v>
      </c>
      <c r="H93" s="458"/>
      <c r="I93" s="486">
        <v>30</v>
      </c>
      <c r="J93" s="469">
        <v>-1.2</v>
      </c>
      <c r="K93" s="492" t="s">
        <v>129</v>
      </c>
      <c r="L93" s="470">
        <f t="shared" ref="L93:L99" si="17">0.5*(MAX(J93:K93)-MIN(J93:K93))</f>
        <v>0</v>
      </c>
      <c r="O93" s="453"/>
      <c r="P93" s="443"/>
    </row>
    <row r="94" spans="1:16" x14ac:dyDescent="0.25">
      <c r="A94" s="1623"/>
      <c r="B94" s="458"/>
      <c r="C94" s="487">
        <v>20</v>
      </c>
      <c r="D94" s="469">
        <v>-0.2</v>
      </c>
      <c r="E94" s="493" t="s">
        <v>129</v>
      </c>
      <c r="F94" s="472">
        <f>0.5*(MAX(D94:E94)-MIN(D94:E94))</f>
        <v>0</v>
      </c>
      <c r="H94" s="458"/>
      <c r="I94" s="487">
        <v>40</v>
      </c>
      <c r="J94" s="469">
        <v>-1</v>
      </c>
      <c r="K94" s="493" t="s">
        <v>129</v>
      </c>
      <c r="L94" s="472">
        <f t="shared" si="17"/>
        <v>0</v>
      </c>
      <c r="O94" s="453"/>
      <c r="P94" s="443"/>
    </row>
    <row r="95" spans="1:16" x14ac:dyDescent="0.25">
      <c r="A95" s="1623"/>
      <c r="B95" s="458"/>
      <c r="C95" s="487">
        <v>25</v>
      </c>
      <c r="D95" s="469">
        <v>-0.4</v>
      </c>
      <c r="E95" s="493" t="s">
        <v>129</v>
      </c>
      <c r="F95" s="472">
        <f t="shared" ref="F95:F99" si="18">0.5*(MAX(D95:E95)-MIN(D95:E95))</f>
        <v>0</v>
      </c>
      <c r="H95" s="458"/>
      <c r="I95" s="487">
        <v>50</v>
      </c>
      <c r="J95" s="469">
        <v>-0.9</v>
      </c>
      <c r="K95" s="493" t="s">
        <v>129</v>
      </c>
      <c r="L95" s="472">
        <f t="shared" si="17"/>
        <v>0</v>
      </c>
      <c r="O95" s="453"/>
      <c r="P95" s="443"/>
    </row>
    <row r="96" spans="1:16" x14ac:dyDescent="0.25">
      <c r="A96" s="1623"/>
      <c r="B96" s="458"/>
      <c r="C96" s="488">
        <v>30</v>
      </c>
      <c r="D96" s="469">
        <v>-0.5</v>
      </c>
      <c r="E96" s="455" t="s">
        <v>129</v>
      </c>
      <c r="F96" s="472">
        <f t="shared" si="18"/>
        <v>0</v>
      </c>
      <c r="H96" s="458"/>
      <c r="I96" s="488">
        <v>60</v>
      </c>
      <c r="J96" s="469">
        <v>-0.8</v>
      </c>
      <c r="K96" s="455" t="s">
        <v>129</v>
      </c>
      <c r="L96" s="472">
        <f t="shared" si="17"/>
        <v>0</v>
      </c>
      <c r="O96" s="453"/>
      <c r="P96" s="443"/>
    </row>
    <row r="97" spans="1:16" x14ac:dyDescent="0.25">
      <c r="A97" s="1623"/>
      <c r="B97" s="458"/>
      <c r="C97" s="488">
        <v>35</v>
      </c>
      <c r="D97" s="469">
        <v>-0.5</v>
      </c>
      <c r="E97" s="455" t="s">
        <v>129</v>
      </c>
      <c r="F97" s="472">
        <f t="shared" si="18"/>
        <v>0</v>
      </c>
      <c r="H97" s="458"/>
      <c r="I97" s="488">
        <v>70</v>
      </c>
      <c r="J97" s="469">
        <v>-0.6</v>
      </c>
      <c r="K97" s="455" t="s">
        <v>129</v>
      </c>
      <c r="L97" s="472">
        <f t="shared" si="17"/>
        <v>0</v>
      </c>
      <c r="O97" s="453"/>
      <c r="P97" s="443"/>
    </row>
    <row r="98" spans="1:16" x14ac:dyDescent="0.25">
      <c r="A98" s="1623"/>
      <c r="B98" s="458"/>
      <c r="C98" s="488">
        <v>37</v>
      </c>
      <c r="D98" s="469">
        <v>-0.5</v>
      </c>
      <c r="E98" s="455" t="s">
        <v>129</v>
      </c>
      <c r="F98" s="472">
        <f t="shared" si="18"/>
        <v>0</v>
      </c>
      <c r="H98" s="458"/>
      <c r="I98" s="488">
        <v>80</v>
      </c>
      <c r="J98" s="469">
        <v>-0.5</v>
      </c>
      <c r="K98" s="455" t="s">
        <v>129</v>
      </c>
      <c r="L98" s="472">
        <f t="shared" si="17"/>
        <v>0</v>
      </c>
      <c r="O98" s="453"/>
      <c r="P98" s="443"/>
    </row>
    <row r="99" spans="1:16" ht="13.8" thickBot="1" x14ac:dyDescent="0.3">
      <c r="A99" s="1624"/>
      <c r="B99" s="477"/>
      <c r="C99" s="489">
        <v>40</v>
      </c>
      <c r="D99" s="494">
        <v>-0.4</v>
      </c>
      <c r="E99" s="478" t="s">
        <v>129</v>
      </c>
      <c r="F99" s="476">
        <f t="shared" si="18"/>
        <v>0</v>
      </c>
      <c r="G99" s="456"/>
      <c r="H99" s="477"/>
      <c r="I99" s="489">
        <v>90</v>
      </c>
      <c r="J99" s="494">
        <v>-0.2</v>
      </c>
      <c r="K99" s="478" t="s">
        <v>129</v>
      </c>
      <c r="L99" s="476">
        <f t="shared" si="17"/>
        <v>0</v>
      </c>
      <c r="M99" s="456"/>
      <c r="N99" s="456"/>
      <c r="O99" s="457"/>
      <c r="P99" s="443"/>
    </row>
    <row r="100" spans="1:16" ht="13.8" thickBot="1" x14ac:dyDescent="0.3">
      <c r="A100" s="479"/>
      <c r="B100" s="480"/>
      <c r="C100" s="480"/>
      <c r="D100" s="480"/>
      <c r="E100" s="481"/>
      <c r="F100" s="490"/>
      <c r="G100" s="483"/>
      <c r="H100" s="480"/>
      <c r="I100" s="480"/>
      <c r="J100" s="480"/>
      <c r="K100" s="481"/>
      <c r="L100" s="490"/>
      <c r="M100" s="483"/>
      <c r="O100" s="453"/>
      <c r="P100" s="443"/>
    </row>
    <row r="101" spans="1:16" ht="13.8" thickBot="1" x14ac:dyDescent="0.3">
      <c r="A101" s="1622">
        <v>10</v>
      </c>
      <c r="B101" s="1625" t="s">
        <v>526</v>
      </c>
      <c r="C101" s="1626"/>
      <c r="D101" s="1626"/>
      <c r="E101" s="1626"/>
      <c r="F101" s="1627"/>
      <c r="G101" s="445"/>
      <c r="H101" s="1640" t="str">
        <f>B101</f>
        <v>KOREKSI Sekonic HE-21.000669</v>
      </c>
      <c r="I101" s="1641"/>
      <c r="J101" s="1641"/>
      <c r="K101" s="1641"/>
      <c r="L101" s="1642"/>
      <c r="M101" s="445"/>
      <c r="N101" s="1638" t="s">
        <v>137</v>
      </c>
      <c r="O101" s="1639"/>
      <c r="P101" s="443"/>
    </row>
    <row r="102" spans="1:16" ht="13.8" thickBot="1" x14ac:dyDescent="0.3">
      <c r="A102" s="1623"/>
      <c r="B102" s="1628" t="s">
        <v>515</v>
      </c>
      <c r="C102" s="1629"/>
      <c r="D102" s="1630" t="s">
        <v>127</v>
      </c>
      <c r="E102" s="1631"/>
      <c r="F102" s="1632" t="s">
        <v>123</v>
      </c>
      <c r="H102" s="1628" t="s">
        <v>516</v>
      </c>
      <c r="I102" s="1629"/>
      <c r="J102" s="1630" t="s">
        <v>127</v>
      </c>
      <c r="K102" s="1631"/>
      <c r="L102" s="1632" t="s">
        <v>123</v>
      </c>
      <c r="N102" s="462" t="s">
        <v>515</v>
      </c>
      <c r="O102" s="485">
        <v>0.3</v>
      </c>
      <c r="P102" s="443"/>
    </row>
    <row r="103" spans="1:16" ht="15" thickBot="1" x14ac:dyDescent="0.3">
      <c r="A103" s="1623"/>
      <c r="B103" s="1634" t="s">
        <v>517</v>
      </c>
      <c r="C103" s="1635"/>
      <c r="D103" s="464">
        <v>2019</v>
      </c>
      <c r="E103" s="464">
        <v>2016</v>
      </c>
      <c r="F103" s="1633"/>
      <c r="H103" s="1636" t="s">
        <v>19</v>
      </c>
      <c r="I103" s="1637"/>
      <c r="J103" s="465">
        <f>D103</f>
        <v>2019</v>
      </c>
      <c r="K103" s="465">
        <f>E103</f>
        <v>2016</v>
      </c>
      <c r="L103" s="1633"/>
      <c r="N103" s="466" t="s">
        <v>19</v>
      </c>
      <c r="O103" s="484">
        <v>1.5</v>
      </c>
      <c r="P103" s="443"/>
    </row>
    <row r="104" spans="1:16" x14ac:dyDescent="0.25">
      <c r="A104" s="1623"/>
      <c r="C104" s="486">
        <v>15</v>
      </c>
      <c r="D104" s="469">
        <v>0.2</v>
      </c>
      <c r="E104" s="469">
        <v>0.2</v>
      </c>
      <c r="F104" s="470">
        <f t="shared" ref="F104:F110" si="19">0.5*(MAX(D104:E104)-MIN(D104:E104))</f>
        <v>0</v>
      </c>
      <c r="H104" s="458"/>
      <c r="I104" s="486">
        <v>30</v>
      </c>
      <c r="J104" s="469">
        <v>-2.9</v>
      </c>
      <c r="K104" s="469">
        <v>-5.8</v>
      </c>
      <c r="L104" s="470">
        <f t="shared" ref="L104:L107" si="20">0.5*(MAX(J104:K104)-MIN(J104:K104))</f>
        <v>1.45</v>
      </c>
      <c r="O104" s="453"/>
      <c r="P104" s="443"/>
    </row>
    <row r="105" spans="1:16" x14ac:dyDescent="0.25">
      <c r="A105" s="1623"/>
      <c r="C105" s="487">
        <v>20</v>
      </c>
      <c r="D105" s="451">
        <v>0.2</v>
      </c>
      <c r="E105" s="451">
        <v>-0.7</v>
      </c>
      <c r="F105" s="472">
        <f t="shared" si="19"/>
        <v>0.44999999999999996</v>
      </c>
      <c r="H105" s="458"/>
      <c r="I105" s="487">
        <v>40</v>
      </c>
      <c r="J105" s="451">
        <v>-3.3</v>
      </c>
      <c r="K105" s="451">
        <v>-6.4</v>
      </c>
      <c r="L105" s="472">
        <f t="shared" si="20"/>
        <v>1.5500000000000003</v>
      </c>
      <c r="O105" s="453"/>
      <c r="P105" s="443"/>
    </row>
    <row r="106" spans="1:16" x14ac:dyDescent="0.25">
      <c r="A106" s="1623"/>
      <c r="C106" s="487">
        <v>25</v>
      </c>
      <c r="D106" s="451">
        <v>0.1</v>
      </c>
      <c r="E106" s="451">
        <v>-0.5</v>
      </c>
      <c r="F106" s="472">
        <f t="shared" si="19"/>
        <v>0.3</v>
      </c>
      <c r="H106" s="458"/>
      <c r="I106" s="487">
        <v>50</v>
      </c>
      <c r="J106" s="451">
        <v>-3.1</v>
      </c>
      <c r="K106" s="451">
        <v>-6.1</v>
      </c>
      <c r="L106" s="472">
        <f t="shared" si="20"/>
        <v>1.4999999999999998</v>
      </c>
      <c r="O106" s="453"/>
      <c r="P106" s="443"/>
    </row>
    <row r="107" spans="1:16" x14ac:dyDescent="0.25">
      <c r="A107" s="1623"/>
      <c r="C107" s="488">
        <v>30</v>
      </c>
      <c r="D107" s="454">
        <v>0.1</v>
      </c>
      <c r="E107" s="454">
        <v>0.2</v>
      </c>
      <c r="F107" s="472">
        <f t="shared" si="19"/>
        <v>0.05</v>
      </c>
      <c r="H107" s="458"/>
      <c r="I107" s="488">
        <v>60</v>
      </c>
      <c r="J107" s="454">
        <v>-2.1</v>
      </c>
      <c r="K107" s="454">
        <v>-5.6</v>
      </c>
      <c r="L107" s="472">
        <f t="shared" si="20"/>
        <v>1.7499999999999998</v>
      </c>
      <c r="O107" s="453"/>
      <c r="P107" s="443"/>
    </row>
    <row r="108" spans="1:16" x14ac:dyDescent="0.25">
      <c r="A108" s="1623"/>
      <c r="C108" s="488">
        <v>35</v>
      </c>
      <c r="D108" s="454">
        <v>0.2</v>
      </c>
      <c r="E108" s="454">
        <v>0.8</v>
      </c>
      <c r="F108" s="472">
        <f t="shared" si="19"/>
        <v>0.30000000000000004</v>
      </c>
      <c r="H108" s="458"/>
      <c r="I108" s="488">
        <v>70</v>
      </c>
      <c r="J108" s="454">
        <v>-0.3</v>
      </c>
      <c r="K108" s="454">
        <v>-5.0999999999999996</v>
      </c>
      <c r="L108" s="472">
        <f>0.5*(MAX(J108:K108)-MIN(J108:K108))</f>
        <v>2.4</v>
      </c>
      <c r="O108" s="453"/>
      <c r="P108" s="443"/>
    </row>
    <row r="109" spans="1:16" x14ac:dyDescent="0.25">
      <c r="A109" s="1623"/>
      <c r="C109" s="488">
        <v>37</v>
      </c>
      <c r="D109" s="454">
        <v>0.2</v>
      </c>
      <c r="E109" s="454">
        <v>0.4</v>
      </c>
      <c r="F109" s="472">
        <f t="shared" si="19"/>
        <v>0.1</v>
      </c>
      <c r="H109" s="458"/>
      <c r="I109" s="488">
        <v>80</v>
      </c>
      <c r="J109" s="454">
        <v>2.2000000000000002</v>
      </c>
      <c r="K109" s="454">
        <v>-4.7</v>
      </c>
      <c r="L109" s="472">
        <f t="shared" ref="L109:L110" si="21">0.5*(MAX(J109:K109)-MIN(J109:K109))</f>
        <v>3.45</v>
      </c>
      <c r="O109" s="453"/>
      <c r="P109" s="443"/>
    </row>
    <row r="110" spans="1:16" ht="13.8" thickBot="1" x14ac:dyDescent="0.3">
      <c r="A110" s="1624"/>
      <c r="B110" s="456"/>
      <c r="C110" s="489">
        <v>40</v>
      </c>
      <c r="D110" s="495">
        <v>0.2</v>
      </c>
      <c r="E110" s="495">
        <v>0</v>
      </c>
      <c r="F110" s="476">
        <f t="shared" si="19"/>
        <v>0.1</v>
      </c>
      <c r="G110" s="456"/>
      <c r="H110" s="477"/>
      <c r="I110" s="489">
        <v>90</v>
      </c>
      <c r="J110" s="474">
        <v>5.4</v>
      </c>
      <c r="K110" s="474">
        <v>0</v>
      </c>
      <c r="L110" s="476">
        <f t="shared" si="21"/>
        <v>2.7</v>
      </c>
      <c r="M110" s="456"/>
      <c r="N110" s="456"/>
      <c r="O110" s="457"/>
      <c r="P110" s="443"/>
    </row>
    <row r="111" spans="1:16" ht="13.8" thickBot="1" x14ac:dyDescent="0.3">
      <c r="A111" s="479"/>
      <c r="B111" s="480"/>
      <c r="C111" s="480"/>
      <c r="D111" s="480"/>
      <c r="E111" s="481"/>
      <c r="F111" s="490"/>
      <c r="G111" s="483"/>
      <c r="H111" s="480"/>
      <c r="I111" s="480"/>
      <c r="J111" s="480"/>
      <c r="K111" s="481"/>
      <c r="L111" s="490"/>
      <c r="M111" s="483"/>
      <c r="O111" s="453"/>
      <c r="P111" s="443"/>
    </row>
    <row r="112" spans="1:16" ht="13.8" thickBot="1" x14ac:dyDescent="0.3">
      <c r="A112" s="1622">
        <v>11</v>
      </c>
      <c r="B112" s="1625" t="s">
        <v>527</v>
      </c>
      <c r="C112" s="1626"/>
      <c r="D112" s="1626"/>
      <c r="E112" s="1626"/>
      <c r="F112" s="1627"/>
      <c r="G112" s="445"/>
      <c r="H112" s="1640" t="str">
        <f>B112</f>
        <v>KOREKSI Sekonic HE-21.000670</v>
      </c>
      <c r="I112" s="1641"/>
      <c r="J112" s="1641"/>
      <c r="K112" s="1641"/>
      <c r="L112" s="1642"/>
      <c r="M112" s="445"/>
      <c r="N112" s="1638" t="s">
        <v>137</v>
      </c>
      <c r="O112" s="1639"/>
      <c r="P112" s="443"/>
    </row>
    <row r="113" spans="1:16" ht="13.8" thickBot="1" x14ac:dyDescent="0.3">
      <c r="A113" s="1623"/>
      <c r="B113" s="1628" t="s">
        <v>515</v>
      </c>
      <c r="C113" s="1629"/>
      <c r="D113" s="1630" t="s">
        <v>127</v>
      </c>
      <c r="E113" s="1631"/>
      <c r="F113" s="1632" t="s">
        <v>123</v>
      </c>
      <c r="H113" s="1628" t="s">
        <v>516</v>
      </c>
      <c r="I113" s="1629"/>
      <c r="J113" s="1630" t="s">
        <v>127</v>
      </c>
      <c r="K113" s="1631"/>
      <c r="L113" s="1632" t="s">
        <v>123</v>
      </c>
      <c r="N113" s="462" t="s">
        <v>515</v>
      </c>
      <c r="O113" s="485">
        <v>0.3</v>
      </c>
      <c r="P113" s="443"/>
    </row>
    <row r="114" spans="1:16" ht="15" thickBot="1" x14ac:dyDescent="0.3">
      <c r="A114" s="1623"/>
      <c r="B114" s="1634" t="s">
        <v>517</v>
      </c>
      <c r="C114" s="1635"/>
      <c r="D114" s="464">
        <v>2020</v>
      </c>
      <c r="E114" s="491" t="s">
        <v>129</v>
      </c>
      <c r="F114" s="1633"/>
      <c r="H114" s="1636" t="s">
        <v>19</v>
      </c>
      <c r="I114" s="1637"/>
      <c r="J114" s="465">
        <f>D114</f>
        <v>2020</v>
      </c>
      <c r="K114" s="465" t="str">
        <f>E114</f>
        <v>-</v>
      </c>
      <c r="L114" s="1633"/>
      <c r="N114" s="466" t="s">
        <v>19</v>
      </c>
      <c r="O114" s="484">
        <v>1.8</v>
      </c>
      <c r="P114" s="443"/>
    </row>
    <row r="115" spans="1:16" x14ac:dyDescent="0.25">
      <c r="A115" s="1623"/>
      <c r="C115" s="468">
        <v>15</v>
      </c>
      <c r="D115" s="469">
        <v>0.3</v>
      </c>
      <c r="E115" s="492" t="s">
        <v>129</v>
      </c>
      <c r="F115" s="470">
        <f t="shared" ref="F115:F121" si="22">0.5*(MAX(D115:E115)-MIN(D115:E115))</f>
        <v>0</v>
      </c>
      <c r="H115" s="458"/>
      <c r="I115" s="468">
        <v>35</v>
      </c>
      <c r="J115" s="469">
        <v>-5.2</v>
      </c>
      <c r="K115" s="492" t="s">
        <v>129</v>
      </c>
      <c r="L115" s="470">
        <f t="shared" ref="L115:L121" si="23">0.5*(MAX(J115:K115)-MIN(J115:K115))</f>
        <v>0</v>
      </c>
      <c r="O115" s="453"/>
      <c r="P115" s="443"/>
    </row>
    <row r="116" spans="1:16" x14ac:dyDescent="0.25">
      <c r="A116" s="1623"/>
      <c r="C116" s="471">
        <v>20</v>
      </c>
      <c r="D116" s="451">
        <v>0.4</v>
      </c>
      <c r="E116" s="493" t="s">
        <v>129</v>
      </c>
      <c r="F116" s="472">
        <f t="shared" si="22"/>
        <v>0</v>
      </c>
      <c r="H116" s="458"/>
      <c r="I116" s="471">
        <v>40</v>
      </c>
      <c r="J116" s="451">
        <v>-5.5</v>
      </c>
      <c r="K116" s="493" t="s">
        <v>129</v>
      </c>
      <c r="L116" s="472">
        <f t="shared" si="23"/>
        <v>0</v>
      </c>
      <c r="O116" s="453"/>
      <c r="P116" s="443"/>
    </row>
    <row r="117" spans="1:16" x14ac:dyDescent="0.25">
      <c r="A117" s="1623"/>
      <c r="C117" s="471">
        <v>25</v>
      </c>
      <c r="D117" s="451">
        <v>0.4</v>
      </c>
      <c r="E117" s="493" t="s">
        <v>129</v>
      </c>
      <c r="F117" s="472">
        <f t="shared" si="22"/>
        <v>0</v>
      </c>
      <c r="H117" s="458"/>
      <c r="I117" s="471">
        <v>50</v>
      </c>
      <c r="J117" s="451">
        <v>-5.5</v>
      </c>
      <c r="K117" s="493" t="s">
        <v>129</v>
      </c>
      <c r="L117" s="472">
        <f t="shared" si="23"/>
        <v>0</v>
      </c>
      <c r="O117" s="453"/>
      <c r="P117" s="443"/>
    </row>
    <row r="118" spans="1:16" x14ac:dyDescent="0.25">
      <c r="A118" s="1623"/>
      <c r="C118" s="473">
        <v>30</v>
      </c>
      <c r="D118" s="454">
        <v>0.5</v>
      </c>
      <c r="E118" s="455" t="s">
        <v>129</v>
      </c>
      <c r="F118" s="472">
        <f t="shared" si="22"/>
        <v>0</v>
      </c>
      <c r="H118" s="458"/>
      <c r="I118" s="473">
        <v>60</v>
      </c>
      <c r="J118" s="454">
        <v>-4.8</v>
      </c>
      <c r="K118" s="455" t="s">
        <v>129</v>
      </c>
      <c r="L118" s="472">
        <f t="shared" si="23"/>
        <v>0</v>
      </c>
      <c r="O118" s="453"/>
      <c r="P118" s="443"/>
    </row>
    <row r="119" spans="1:16" x14ac:dyDescent="0.25">
      <c r="A119" s="1623"/>
      <c r="C119" s="473">
        <v>35</v>
      </c>
      <c r="D119" s="454">
        <v>0.5</v>
      </c>
      <c r="E119" s="455" t="s">
        <v>129</v>
      </c>
      <c r="F119" s="472">
        <f t="shared" si="22"/>
        <v>0</v>
      </c>
      <c r="H119" s="458"/>
      <c r="I119" s="473">
        <v>70</v>
      </c>
      <c r="J119" s="454">
        <v>-3.4</v>
      </c>
      <c r="K119" s="455" t="s">
        <v>129</v>
      </c>
      <c r="L119" s="472">
        <f t="shared" si="23"/>
        <v>0</v>
      </c>
      <c r="O119" s="453"/>
      <c r="P119" s="443"/>
    </row>
    <row r="120" spans="1:16" x14ac:dyDescent="0.25">
      <c r="A120" s="1623"/>
      <c r="C120" s="473">
        <v>37</v>
      </c>
      <c r="D120" s="454">
        <v>0.5</v>
      </c>
      <c r="E120" s="455" t="s">
        <v>129</v>
      </c>
      <c r="F120" s="472">
        <f t="shared" si="22"/>
        <v>0</v>
      </c>
      <c r="H120" s="458"/>
      <c r="I120" s="473">
        <v>80</v>
      </c>
      <c r="J120" s="454">
        <v>-1.4</v>
      </c>
      <c r="K120" s="455" t="s">
        <v>129</v>
      </c>
      <c r="L120" s="472">
        <f t="shared" si="23"/>
        <v>0</v>
      </c>
      <c r="O120" s="453"/>
      <c r="P120" s="443"/>
    </row>
    <row r="121" spans="1:16" ht="13.8" thickBot="1" x14ac:dyDescent="0.3">
      <c r="A121" s="1624"/>
      <c r="B121" s="456"/>
      <c r="C121" s="474">
        <v>40</v>
      </c>
      <c r="D121" s="475">
        <v>0.5</v>
      </c>
      <c r="E121" s="478" t="s">
        <v>129</v>
      </c>
      <c r="F121" s="476">
        <f t="shared" si="22"/>
        <v>0</v>
      </c>
      <c r="G121" s="456"/>
      <c r="H121" s="477"/>
      <c r="I121" s="474">
        <v>90</v>
      </c>
      <c r="J121" s="475">
        <v>1.3</v>
      </c>
      <c r="K121" s="478" t="s">
        <v>129</v>
      </c>
      <c r="L121" s="476">
        <f t="shared" si="23"/>
        <v>0</v>
      </c>
      <c r="M121" s="456"/>
      <c r="N121" s="456"/>
      <c r="O121" s="457"/>
      <c r="P121" s="443"/>
    </row>
    <row r="122" spans="1:16" ht="13.8" thickBot="1" x14ac:dyDescent="0.3">
      <c r="A122" s="479"/>
      <c r="B122" s="480"/>
      <c r="C122" s="480"/>
      <c r="D122" s="480"/>
      <c r="E122" s="481"/>
      <c r="F122" s="490"/>
      <c r="G122" s="483"/>
      <c r="H122" s="480"/>
      <c r="I122" s="480"/>
      <c r="J122" s="480"/>
      <c r="K122" s="481"/>
      <c r="L122" s="490"/>
      <c r="O122" s="453"/>
      <c r="P122" s="443"/>
    </row>
    <row r="123" spans="1:16" ht="13.8" thickBot="1" x14ac:dyDescent="0.3">
      <c r="A123" s="1622">
        <v>12</v>
      </c>
      <c r="B123" s="1625" t="s">
        <v>528</v>
      </c>
      <c r="C123" s="1626"/>
      <c r="D123" s="1626"/>
      <c r="E123" s="1626"/>
      <c r="F123" s="1627"/>
      <c r="G123" s="445"/>
      <c r="H123" s="1625" t="str">
        <f>B123</f>
        <v>KOREKSI EXTECH A.100611</v>
      </c>
      <c r="I123" s="1626"/>
      <c r="J123" s="1626"/>
      <c r="K123" s="1626"/>
      <c r="L123" s="1627"/>
      <c r="M123" s="445"/>
      <c r="N123" s="1638" t="s">
        <v>137</v>
      </c>
      <c r="O123" s="1639"/>
      <c r="P123" s="443"/>
    </row>
    <row r="124" spans="1:16" ht="13.8" thickBot="1" x14ac:dyDescent="0.3">
      <c r="A124" s="1623"/>
      <c r="B124" s="1628" t="s">
        <v>515</v>
      </c>
      <c r="C124" s="1629"/>
      <c r="D124" s="1630" t="s">
        <v>127</v>
      </c>
      <c r="E124" s="1631"/>
      <c r="F124" s="1632" t="s">
        <v>123</v>
      </c>
      <c r="H124" s="1628" t="s">
        <v>516</v>
      </c>
      <c r="I124" s="1629"/>
      <c r="J124" s="1630" t="s">
        <v>127</v>
      </c>
      <c r="K124" s="1631"/>
      <c r="L124" s="1632" t="s">
        <v>123</v>
      </c>
      <c r="N124" s="462" t="s">
        <v>515</v>
      </c>
      <c r="O124" s="485">
        <v>0.3</v>
      </c>
      <c r="P124" s="443"/>
    </row>
    <row r="125" spans="1:16" ht="15" thickBot="1" x14ac:dyDescent="0.3">
      <c r="A125" s="1623"/>
      <c r="B125" s="1634" t="s">
        <v>517</v>
      </c>
      <c r="C125" s="1635"/>
      <c r="D125" s="464">
        <v>2020</v>
      </c>
      <c r="E125" s="491" t="s">
        <v>129</v>
      </c>
      <c r="F125" s="1633"/>
      <c r="H125" s="1636" t="s">
        <v>19</v>
      </c>
      <c r="I125" s="1637"/>
      <c r="J125" s="465">
        <f>D125</f>
        <v>2020</v>
      </c>
      <c r="K125" s="465" t="str">
        <f>E125</f>
        <v>-</v>
      </c>
      <c r="L125" s="1633"/>
      <c r="N125" s="466" t="s">
        <v>19</v>
      </c>
      <c r="O125" s="484">
        <v>2.7</v>
      </c>
      <c r="P125" s="443"/>
    </row>
    <row r="126" spans="1:16" x14ac:dyDescent="0.25">
      <c r="A126" s="1623"/>
      <c r="C126" s="468">
        <v>15</v>
      </c>
      <c r="D126" s="469">
        <v>-0.6</v>
      </c>
      <c r="E126" s="492" t="s">
        <v>129</v>
      </c>
      <c r="F126" s="470">
        <f t="shared" ref="F126:F132" si="24">0.5*(MAX(D126:E126)-MIN(D126:E126))</f>
        <v>0</v>
      </c>
      <c r="H126" s="458"/>
      <c r="I126" s="468">
        <v>35</v>
      </c>
      <c r="J126" s="469">
        <v>-0.4</v>
      </c>
      <c r="K126" s="492" t="s">
        <v>129</v>
      </c>
      <c r="L126" s="470">
        <f t="shared" ref="L126:L132" si="25">0.5*(MAX(J126:K126)-MIN(J126:K126))</f>
        <v>0</v>
      </c>
      <c r="O126" s="453"/>
      <c r="P126" s="443"/>
    </row>
    <row r="127" spans="1:16" x14ac:dyDescent="0.25">
      <c r="A127" s="1623"/>
      <c r="C127" s="471">
        <v>20</v>
      </c>
      <c r="D127" s="451">
        <v>-0.5</v>
      </c>
      <c r="E127" s="493" t="s">
        <v>129</v>
      </c>
      <c r="F127" s="472">
        <f t="shared" si="24"/>
        <v>0</v>
      </c>
      <c r="H127" s="458"/>
      <c r="I127" s="471">
        <v>40</v>
      </c>
      <c r="J127" s="451">
        <v>-0.3</v>
      </c>
      <c r="K127" s="493" t="s">
        <v>129</v>
      </c>
      <c r="L127" s="472">
        <f t="shared" si="25"/>
        <v>0</v>
      </c>
      <c r="O127" s="453"/>
      <c r="P127" s="443"/>
    </row>
    <row r="128" spans="1:16" x14ac:dyDescent="0.25">
      <c r="A128" s="1623"/>
      <c r="C128" s="471">
        <v>25</v>
      </c>
      <c r="D128" s="451">
        <v>-0.4</v>
      </c>
      <c r="E128" s="493" t="s">
        <v>129</v>
      </c>
      <c r="F128" s="472">
        <f t="shared" si="24"/>
        <v>0</v>
      </c>
      <c r="H128" s="458"/>
      <c r="I128" s="471">
        <v>50</v>
      </c>
      <c r="J128" s="451">
        <v>-0.3</v>
      </c>
      <c r="K128" s="493" t="s">
        <v>129</v>
      </c>
      <c r="L128" s="472">
        <f t="shared" si="25"/>
        <v>0</v>
      </c>
      <c r="O128" s="453"/>
      <c r="P128" s="443"/>
    </row>
    <row r="129" spans="1:16" x14ac:dyDescent="0.25">
      <c r="A129" s="1623"/>
      <c r="C129" s="473">
        <v>30</v>
      </c>
      <c r="D129" s="454">
        <v>-0.2</v>
      </c>
      <c r="E129" s="455" t="s">
        <v>129</v>
      </c>
      <c r="F129" s="472">
        <f t="shared" si="24"/>
        <v>0</v>
      </c>
      <c r="H129" s="458"/>
      <c r="I129" s="473">
        <v>60</v>
      </c>
      <c r="J129" s="454">
        <v>-0.5</v>
      </c>
      <c r="K129" s="455" t="s">
        <v>129</v>
      </c>
      <c r="L129" s="472">
        <f t="shared" si="25"/>
        <v>0</v>
      </c>
      <c r="O129" s="453"/>
      <c r="P129" s="443"/>
    </row>
    <row r="130" spans="1:16" x14ac:dyDescent="0.25">
      <c r="A130" s="1623"/>
      <c r="C130" s="473">
        <v>35</v>
      </c>
      <c r="D130" s="454">
        <v>-0.1</v>
      </c>
      <c r="E130" s="455" t="s">
        <v>129</v>
      </c>
      <c r="F130" s="472">
        <f t="shared" si="24"/>
        <v>0</v>
      </c>
      <c r="H130" s="458"/>
      <c r="I130" s="473">
        <v>70</v>
      </c>
      <c r="J130" s="454">
        <v>-0.8</v>
      </c>
      <c r="K130" s="455" t="s">
        <v>129</v>
      </c>
      <c r="L130" s="472">
        <f t="shared" si="25"/>
        <v>0</v>
      </c>
      <c r="O130" s="453"/>
      <c r="P130" s="443"/>
    </row>
    <row r="131" spans="1:16" x14ac:dyDescent="0.25">
      <c r="A131" s="1623"/>
      <c r="C131" s="473">
        <v>37</v>
      </c>
      <c r="D131" s="454">
        <v>-0.1</v>
      </c>
      <c r="E131" s="455" t="s">
        <v>129</v>
      </c>
      <c r="F131" s="472">
        <f t="shared" si="24"/>
        <v>0</v>
      </c>
      <c r="H131" s="458"/>
      <c r="I131" s="473">
        <v>80</v>
      </c>
      <c r="J131" s="454">
        <v>-1.3</v>
      </c>
      <c r="K131" s="455" t="s">
        <v>129</v>
      </c>
      <c r="L131" s="472">
        <f t="shared" si="25"/>
        <v>0</v>
      </c>
      <c r="O131" s="453"/>
      <c r="P131" s="443"/>
    </row>
    <row r="132" spans="1:16" ht="13.8" thickBot="1" x14ac:dyDescent="0.3">
      <c r="A132" s="1624"/>
      <c r="B132" s="456"/>
      <c r="C132" s="474">
        <v>40</v>
      </c>
      <c r="D132" s="475">
        <v>9.9999999999999995E-7</v>
      </c>
      <c r="E132" s="478" t="s">
        <v>129</v>
      </c>
      <c r="F132" s="476">
        <f t="shared" si="24"/>
        <v>0</v>
      </c>
      <c r="G132" s="456"/>
      <c r="H132" s="477"/>
      <c r="I132" s="474">
        <v>90</v>
      </c>
      <c r="J132" s="475">
        <v>-2</v>
      </c>
      <c r="K132" s="478" t="s">
        <v>129</v>
      </c>
      <c r="L132" s="476">
        <f t="shared" si="25"/>
        <v>0</v>
      </c>
      <c r="M132" s="456"/>
      <c r="N132" s="456"/>
      <c r="O132" s="457"/>
      <c r="P132" s="443"/>
    </row>
    <row r="133" spans="1:16" ht="13.8" thickBot="1" x14ac:dyDescent="0.3">
      <c r="A133" s="479"/>
      <c r="B133" s="480"/>
      <c r="C133" s="480"/>
      <c r="D133" s="480"/>
      <c r="E133" s="481"/>
      <c r="F133" s="490"/>
      <c r="G133" s="483"/>
      <c r="H133" s="480"/>
      <c r="I133" s="480"/>
      <c r="J133" s="480"/>
      <c r="K133" s="481"/>
      <c r="L133" s="490"/>
      <c r="O133" s="453"/>
      <c r="P133" s="443"/>
    </row>
    <row r="134" spans="1:16" ht="13.8" thickBot="1" x14ac:dyDescent="0.3">
      <c r="A134" s="1622">
        <v>13</v>
      </c>
      <c r="B134" s="1625" t="s">
        <v>529</v>
      </c>
      <c r="C134" s="1626"/>
      <c r="D134" s="1626"/>
      <c r="E134" s="1626"/>
      <c r="F134" s="1627"/>
      <c r="G134" s="445"/>
      <c r="H134" s="1625" t="str">
        <f>B134</f>
        <v>KOREKSI EXTECH A.100609</v>
      </c>
      <c r="I134" s="1626"/>
      <c r="J134" s="1626"/>
      <c r="K134" s="1626"/>
      <c r="L134" s="1627"/>
      <c r="M134" s="445"/>
      <c r="N134" s="1638" t="s">
        <v>137</v>
      </c>
      <c r="O134" s="1639"/>
      <c r="P134" s="443"/>
    </row>
    <row r="135" spans="1:16" ht="13.8" thickBot="1" x14ac:dyDescent="0.3">
      <c r="A135" s="1623"/>
      <c r="B135" s="1628" t="s">
        <v>515</v>
      </c>
      <c r="C135" s="1629"/>
      <c r="D135" s="1630" t="s">
        <v>127</v>
      </c>
      <c r="E135" s="1631"/>
      <c r="F135" s="1632" t="s">
        <v>123</v>
      </c>
      <c r="H135" s="1628" t="s">
        <v>516</v>
      </c>
      <c r="I135" s="1629"/>
      <c r="J135" s="1630" t="s">
        <v>127</v>
      </c>
      <c r="K135" s="1631"/>
      <c r="L135" s="1632" t="s">
        <v>123</v>
      </c>
      <c r="N135" s="462" t="s">
        <v>515</v>
      </c>
      <c r="O135" s="485">
        <v>0.4</v>
      </c>
      <c r="P135" s="443"/>
    </row>
    <row r="136" spans="1:16" ht="15" thickBot="1" x14ac:dyDescent="0.3">
      <c r="A136" s="1623"/>
      <c r="B136" s="1634" t="s">
        <v>517</v>
      </c>
      <c r="C136" s="1635"/>
      <c r="D136" s="464">
        <v>2020</v>
      </c>
      <c r="E136" s="491" t="s">
        <v>129</v>
      </c>
      <c r="F136" s="1633"/>
      <c r="H136" s="1636" t="s">
        <v>19</v>
      </c>
      <c r="I136" s="1637"/>
      <c r="J136" s="465">
        <f>D136</f>
        <v>2020</v>
      </c>
      <c r="K136" s="465" t="str">
        <f>E136</f>
        <v>-</v>
      </c>
      <c r="L136" s="1633"/>
      <c r="N136" s="466" t="s">
        <v>19</v>
      </c>
      <c r="O136" s="484">
        <v>2.2000000000000002</v>
      </c>
      <c r="P136" s="443"/>
    </row>
    <row r="137" spans="1:16" x14ac:dyDescent="0.25">
      <c r="A137" s="1623"/>
      <c r="C137" s="468">
        <v>15</v>
      </c>
      <c r="D137" s="469">
        <v>-0.2</v>
      </c>
      <c r="E137" s="492" t="s">
        <v>129</v>
      </c>
      <c r="F137" s="470">
        <f t="shared" ref="F137:F143" si="26">0.5*(MAX(D137:E137)-MIN(D137:E137))</f>
        <v>0</v>
      </c>
      <c r="H137" s="458"/>
      <c r="I137" s="468">
        <v>35</v>
      </c>
      <c r="J137" s="469">
        <v>0.6</v>
      </c>
      <c r="K137" s="492" t="s">
        <v>129</v>
      </c>
      <c r="L137" s="470">
        <f t="shared" ref="L137:L143" si="27">0.5*(MAX(J137:K137)-MIN(J137:K137))</f>
        <v>0</v>
      </c>
      <c r="O137" s="453"/>
      <c r="P137" s="443"/>
    </row>
    <row r="138" spans="1:16" x14ac:dyDescent="0.25">
      <c r="A138" s="1623"/>
      <c r="C138" s="471">
        <v>20</v>
      </c>
      <c r="D138" s="451">
        <v>-0.1</v>
      </c>
      <c r="E138" s="493" t="s">
        <v>129</v>
      </c>
      <c r="F138" s="472">
        <f t="shared" si="26"/>
        <v>0</v>
      </c>
      <c r="H138" s="458"/>
      <c r="I138" s="471">
        <v>40</v>
      </c>
      <c r="J138" s="451">
        <v>0.3</v>
      </c>
      <c r="K138" s="493" t="s">
        <v>129</v>
      </c>
      <c r="L138" s="472">
        <f t="shared" si="27"/>
        <v>0</v>
      </c>
      <c r="O138" s="453"/>
      <c r="P138" s="443"/>
    </row>
    <row r="139" spans="1:16" x14ac:dyDescent="0.25">
      <c r="A139" s="1623"/>
      <c r="C139" s="471">
        <v>25</v>
      </c>
      <c r="D139" s="451">
        <v>-0.1</v>
      </c>
      <c r="E139" s="493" t="s">
        <v>129</v>
      </c>
      <c r="F139" s="472">
        <f t="shared" si="26"/>
        <v>0</v>
      </c>
      <c r="H139" s="458"/>
      <c r="I139" s="471">
        <v>50</v>
      </c>
      <c r="J139" s="451">
        <v>-0.2</v>
      </c>
      <c r="K139" s="493" t="s">
        <v>129</v>
      </c>
      <c r="L139" s="472">
        <f t="shared" si="27"/>
        <v>0</v>
      </c>
      <c r="O139" s="453"/>
      <c r="P139" s="443"/>
    </row>
    <row r="140" spans="1:16" x14ac:dyDescent="0.25">
      <c r="A140" s="1623"/>
      <c r="C140" s="473">
        <v>30</v>
      </c>
      <c r="D140" s="454">
        <v>-0.3</v>
      </c>
      <c r="E140" s="455" t="s">
        <v>129</v>
      </c>
      <c r="F140" s="472">
        <f t="shared" si="26"/>
        <v>0</v>
      </c>
      <c r="H140" s="458"/>
      <c r="I140" s="473">
        <v>60</v>
      </c>
      <c r="J140" s="454">
        <v>-0.6</v>
      </c>
      <c r="K140" s="455" t="s">
        <v>129</v>
      </c>
      <c r="L140" s="472">
        <f t="shared" si="27"/>
        <v>0</v>
      </c>
      <c r="O140" s="453"/>
      <c r="P140" s="443"/>
    </row>
    <row r="141" spans="1:16" x14ac:dyDescent="0.25">
      <c r="A141" s="1623"/>
      <c r="C141" s="473">
        <v>35</v>
      </c>
      <c r="D141" s="454">
        <v>-0.6</v>
      </c>
      <c r="E141" s="455" t="s">
        <v>129</v>
      </c>
      <c r="F141" s="472">
        <f t="shared" si="26"/>
        <v>0</v>
      </c>
      <c r="H141" s="458"/>
      <c r="I141" s="473">
        <v>70</v>
      </c>
      <c r="J141" s="454">
        <v>-0.8</v>
      </c>
      <c r="K141" s="455" t="s">
        <v>129</v>
      </c>
      <c r="L141" s="472">
        <f t="shared" si="27"/>
        <v>0</v>
      </c>
      <c r="O141" s="453"/>
      <c r="P141" s="443"/>
    </row>
    <row r="142" spans="1:16" x14ac:dyDescent="0.25">
      <c r="A142" s="1623"/>
      <c r="C142" s="473">
        <v>37</v>
      </c>
      <c r="D142" s="454">
        <v>-0.8</v>
      </c>
      <c r="E142" s="455" t="s">
        <v>129</v>
      </c>
      <c r="F142" s="472">
        <f t="shared" si="26"/>
        <v>0</v>
      </c>
      <c r="H142" s="458"/>
      <c r="I142" s="473">
        <v>80</v>
      </c>
      <c r="J142" s="454">
        <v>-0.9</v>
      </c>
      <c r="K142" s="455" t="s">
        <v>129</v>
      </c>
      <c r="L142" s="472">
        <f t="shared" si="27"/>
        <v>0</v>
      </c>
      <c r="O142" s="453"/>
      <c r="P142" s="443"/>
    </row>
    <row r="143" spans="1:16" ht="13.8" thickBot="1" x14ac:dyDescent="0.3">
      <c r="A143" s="1624"/>
      <c r="B143" s="456"/>
      <c r="C143" s="474">
        <v>40</v>
      </c>
      <c r="D143" s="475">
        <v>-1.1000000000000001</v>
      </c>
      <c r="E143" s="478" t="s">
        <v>129</v>
      </c>
      <c r="F143" s="476">
        <f t="shared" si="26"/>
        <v>0</v>
      </c>
      <c r="G143" s="456"/>
      <c r="H143" s="477"/>
      <c r="I143" s="474">
        <v>90</v>
      </c>
      <c r="J143" s="475">
        <v>-0.8</v>
      </c>
      <c r="K143" s="478" t="s">
        <v>129</v>
      </c>
      <c r="L143" s="476">
        <f t="shared" si="27"/>
        <v>0</v>
      </c>
      <c r="M143" s="456"/>
      <c r="N143" s="456"/>
      <c r="O143" s="457"/>
      <c r="P143" s="443"/>
    </row>
    <row r="144" spans="1:16" ht="13.8" thickBot="1" x14ac:dyDescent="0.3">
      <c r="A144" s="479"/>
      <c r="B144" s="480"/>
      <c r="C144" s="480"/>
      <c r="D144" s="480"/>
      <c r="E144" s="481"/>
      <c r="F144" s="490"/>
      <c r="G144" s="483"/>
      <c r="H144" s="480"/>
      <c r="I144" s="480"/>
      <c r="J144" s="480"/>
      <c r="K144" s="481"/>
      <c r="L144" s="490"/>
      <c r="O144" s="453"/>
      <c r="P144" s="443"/>
    </row>
    <row r="145" spans="1:16" ht="13.8" thickBot="1" x14ac:dyDescent="0.3">
      <c r="A145" s="1622">
        <v>14</v>
      </c>
      <c r="B145" s="1625" t="s">
        <v>530</v>
      </c>
      <c r="C145" s="1626"/>
      <c r="D145" s="1626"/>
      <c r="E145" s="1626"/>
      <c r="F145" s="1627"/>
      <c r="G145" s="445"/>
      <c r="H145" s="1625" t="str">
        <f>B145</f>
        <v>KOREKSI EXTECH A.100605</v>
      </c>
      <c r="I145" s="1626"/>
      <c r="J145" s="1626"/>
      <c r="K145" s="1626"/>
      <c r="L145" s="1627"/>
      <c r="M145" s="445"/>
      <c r="N145" s="1638" t="s">
        <v>137</v>
      </c>
      <c r="O145" s="1639"/>
      <c r="P145" s="443"/>
    </row>
    <row r="146" spans="1:16" ht="13.8" thickBot="1" x14ac:dyDescent="0.3">
      <c r="A146" s="1623"/>
      <c r="B146" s="1628" t="s">
        <v>515</v>
      </c>
      <c r="C146" s="1629"/>
      <c r="D146" s="1630" t="s">
        <v>127</v>
      </c>
      <c r="E146" s="1631"/>
      <c r="F146" s="1632" t="s">
        <v>123</v>
      </c>
      <c r="H146" s="1628" t="s">
        <v>516</v>
      </c>
      <c r="I146" s="1629"/>
      <c r="J146" s="1630" t="s">
        <v>127</v>
      </c>
      <c r="K146" s="1631"/>
      <c r="L146" s="1632" t="s">
        <v>123</v>
      </c>
      <c r="N146" s="462" t="s">
        <v>515</v>
      </c>
      <c r="O146" s="485">
        <v>0.3</v>
      </c>
      <c r="P146" s="443"/>
    </row>
    <row r="147" spans="1:16" ht="15" thickBot="1" x14ac:dyDescent="0.3">
      <c r="A147" s="1623"/>
      <c r="B147" s="1634" t="s">
        <v>517</v>
      </c>
      <c r="C147" s="1635"/>
      <c r="D147" s="464">
        <v>2020</v>
      </c>
      <c r="E147" s="491" t="s">
        <v>129</v>
      </c>
      <c r="F147" s="1633"/>
      <c r="H147" s="1636" t="s">
        <v>19</v>
      </c>
      <c r="I147" s="1637"/>
      <c r="J147" s="465">
        <f>D147</f>
        <v>2020</v>
      </c>
      <c r="K147" s="465" t="str">
        <f>E147</f>
        <v>-</v>
      </c>
      <c r="L147" s="1633"/>
      <c r="N147" s="466" t="s">
        <v>19</v>
      </c>
      <c r="O147" s="484">
        <v>2.7</v>
      </c>
      <c r="P147" s="443"/>
    </row>
    <row r="148" spans="1:16" x14ac:dyDescent="0.25">
      <c r="A148" s="1623"/>
      <c r="C148" s="468">
        <v>15</v>
      </c>
      <c r="D148" s="469">
        <v>-0.7</v>
      </c>
      <c r="E148" s="492" t="s">
        <v>129</v>
      </c>
      <c r="F148" s="470">
        <f t="shared" ref="F148:F154" si="28">0.5*(MAX(D148:E148)-MIN(D148:E148))</f>
        <v>0</v>
      </c>
      <c r="H148" s="458"/>
      <c r="I148" s="468">
        <v>35</v>
      </c>
      <c r="J148" s="469">
        <v>-1.4</v>
      </c>
      <c r="K148" s="492" t="s">
        <v>129</v>
      </c>
      <c r="L148" s="470">
        <f t="shared" ref="L148:L154" si="29">0.5*(MAX(J148:K148)-MIN(J148:K148))</f>
        <v>0</v>
      </c>
      <c r="O148" s="453"/>
      <c r="P148" s="443"/>
    </row>
    <row r="149" spans="1:16" x14ac:dyDescent="0.25">
      <c r="A149" s="1623"/>
      <c r="C149" s="471">
        <v>20</v>
      </c>
      <c r="D149" s="451">
        <v>-0.4</v>
      </c>
      <c r="E149" s="493" t="s">
        <v>129</v>
      </c>
      <c r="F149" s="472">
        <f t="shared" si="28"/>
        <v>0</v>
      </c>
      <c r="H149" s="458"/>
      <c r="I149" s="471">
        <v>40</v>
      </c>
      <c r="J149" s="451">
        <v>-1.3</v>
      </c>
      <c r="K149" s="493" t="s">
        <v>129</v>
      </c>
      <c r="L149" s="472">
        <f t="shared" si="29"/>
        <v>0</v>
      </c>
      <c r="O149" s="453"/>
      <c r="P149" s="443"/>
    </row>
    <row r="150" spans="1:16" x14ac:dyDescent="0.25">
      <c r="A150" s="1623"/>
      <c r="C150" s="471">
        <v>25</v>
      </c>
      <c r="D150" s="451">
        <v>-0.2</v>
      </c>
      <c r="E150" s="493" t="s">
        <v>129</v>
      </c>
      <c r="F150" s="472">
        <f t="shared" si="28"/>
        <v>0</v>
      </c>
      <c r="H150" s="458"/>
      <c r="I150" s="471">
        <v>50</v>
      </c>
      <c r="J150" s="451">
        <v>-1.3</v>
      </c>
      <c r="K150" s="493" t="s">
        <v>129</v>
      </c>
      <c r="L150" s="472">
        <f t="shared" si="29"/>
        <v>0</v>
      </c>
      <c r="O150" s="453"/>
      <c r="P150" s="443"/>
    </row>
    <row r="151" spans="1:16" x14ac:dyDescent="0.25">
      <c r="A151" s="1623"/>
      <c r="C151" s="473">
        <v>30</v>
      </c>
      <c r="D151" s="454">
        <v>0.1</v>
      </c>
      <c r="E151" s="455" t="s">
        <v>129</v>
      </c>
      <c r="F151" s="472">
        <f t="shared" si="28"/>
        <v>0</v>
      </c>
      <c r="H151" s="458"/>
      <c r="I151" s="473">
        <v>60</v>
      </c>
      <c r="J151" s="454">
        <v>-1.5</v>
      </c>
      <c r="K151" s="455" t="s">
        <v>129</v>
      </c>
      <c r="L151" s="472">
        <f t="shared" si="29"/>
        <v>0</v>
      </c>
      <c r="O151" s="453"/>
      <c r="P151" s="443"/>
    </row>
    <row r="152" spans="1:16" x14ac:dyDescent="0.25">
      <c r="A152" s="1623"/>
      <c r="C152" s="473">
        <v>35</v>
      </c>
      <c r="D152" s="454">
        <v>0.3</v>
      </c>
      <c r="E152" s="455" t="s">
        <v>129</v>
      </c>
      <c r="F152" s="472">
        <f t="shared" si="28"/>
        <v>0</v>
      </c>
      <c r="H152" s="458"/>
      <c r="I152" s="473">
        <v>70</v>
      </c>
      <c r="J152" s="454">
        <v>-1.9</v>
      </c>
      <c r="K152" s="455" t="s">
        <v>129</v>
      </c>
      <c r="L152" s="472">
        <f t="shared" si="29"/>
        <v>0</v>
      </c>
      <c r="O152" s="453"/>
      <c r="P152" s="443"/>
    </row>
    <row r="153" spans="1:16" x14ac:dyDescent="0.25">
      <c r="A153" s="1623"/>
      <c r="C153" s="473">
        <v>37</v>
      </c>
      <c r="D153" s="454">
        <v>0.4</v>
      </c>
      <c r="E153" s="455" t="s">
        <v>129</v>
      </c>
      <c r="F153" s="472">
        <f t="shared" si="28"/>
        <v>0</v>
      </c>
      <c r="H153" s="458"/>
      <c r="I153" s="473">
        <v>80</v>
      </c>
      <c r="J153" s="454">
        <v>-2.5</v>
      </c>
      <c r="K153" s="455" t="s">
        <v>129</v>
      </c>
      <c r="L153" s="472">
        <f t="shared" si="29"/>
        <v>0</v>
      </c>
      <c r="O153" s="453"/>
      <c r="P153" s="443"/>
    </row>
    <row r="154" spans="1:16" ht="13.8" thickBot="1" x14ac:dyDescent="0.3">
      <c r="A154" s="1624"/>
      <c r="B154" s="456"/>
      <c r="C154" s="474">
        <v>40</v>
      </c>
      <c r="D154" s="475">
        <v>0.5</v>
      </c>
      <c r="E154" s="478" t="s">
        <v>129</v>
      </c>
      <c r="F154" s="476">
        <f t="shared" si="28"/>
        <v>0</v>
      </c>
      <c r="G154" s="456"/>
      <c r="H154" s="477"/>
      <c r="I154" s="474">
        <v>90</v>
      </c>
      <c r="J154" s="475">
        <v>-3.2</v>
      </c>
      <c r="K154" s="478" t="s">
        <v>129</v>
      </c>
      <c r="L154" s="476">
        <f t="shared" si="29"/>
        <v>0</v>
      </c>
      <c r="M154" s="456"/>
      <c r="N154" s="456"/>
      <c r="O154" s="457"/>
      <c r="P154" s="443"/>
    </row>
    <row r="155" spans="1:16" ht="13.8" thickBot="1" x14ac:dyDescent="0.3">
      <c r="A155" s="479"/>
      <c r="B155" s="480"/>
      <c r="C155" s="480"/>
      <c r="D155" s="480"/>
      <c r="E155" s="481"/>
      <c r="F155" s="490"/>
      <c r="G155" s="483"/>
      <c r="H155" s="480"/>
      <c r="I155" s="480"/>
      <c r="J155" s="480"/>
      <c r="K155" s="481"/>
      <c r="L155" s="490"/>
      <c r="O155" s="453"/>
      <c r="P155" s="443"/>
    </row>
    <row r="156" spans="1:16" ht="13.8" thickBot="1" x14ac:dyDescent="0.3">
      <c r="A156" s="1622">
        <v>15</v>
      </c>
      <c r="B156" s="1625" t="s">
        <v>531</v>
      </c>
      <c r="C156" s="1626"/>
      <c r="D156" s="1626"/>
      <c r="E156" s="1626"/>
      <c r="F156" s="1627"/>
      <c r="G156" s="445"/>
      <c r="H156" s="1625" t="str">
        <f>B156</f>
        <v>KOREKSI EXTECH A.100617</v>
      </c>
      <c r="I156" s="1626"/>
      <c r="J156" s="1626"/>
      <c r="K156" s="1626"/>
      <c r="L156" s="1627"/>
      <c r="M156" s="445"/>
      <c r="N156" s="1638" t="s">
        <v>137</v>
      </c>
      <c r="O156" s="1639"/>
      <c r="P156" s="443"/>
    </row>
    <row r="157" spans="1:16" ht="13.8" thickBot="1" x14ac:dyDescent="0.3">
      <c r="A157" s="1623"/>
      <c r="B157" s="1628" t="s">
        <v>515</v>
      </c>
      <c r="C157" s="1629"/>
      <c r="D157" s="1630" t="s">
        <v>127</v>
      </c>
      <c r="E157" s="1631"/>
      <c r="F157" s="1632" t="s">
        <v>123</v>
      </c>
      <c r="H157" s="1628" t="s">
        <v>516</v>
      </c>
      <c r="I157" s="1629"/>
      <c r="J157" s="1630" t="s">
        <v>127</v>
      </c>
      <c r="K157" s="1631"/>
      <c r="L157" s="1632" t="s">
        <v>123</v>
      </c>
      <c r="N157" s="462" t="s">
        <v>515</v>
      </c>
      <c r="O157" s="485">
        <v>0.3</v>
      </c>
      <c r="P157" s="443"/>
    </row>
    <row r="158" spans="1:16" ht="15" thickBot="1" x14ac:dyDescent="0.3">
      <c r="A158" s="1623"/>
      <c r="B158" s="1634" t="s">
        <v>517</v>
      </c>
      <c r="C158" s="1635"/>
      <c r="D158" s="464">
        <v>2020</v>
      </c>
      <c r="E158" s="491" t="s">
        <v>129</v>
      </c>
      <c r="F158" s="1633"/>
      <c r="H158" s="1636" t="s">
        <v>19</v>
      </c>
      <c r="I158" s="1637"/>
      <c r="J158" s="465">
        <f>D158</f>
        <v>2020</v>
      </c>
      <c r="K158" s="465" t="str">
        <f>E158</f>
        <v>-</v>
      </c>
      <c r="L158" s="1633"/>
      <c r="N158" s="466" t="s">
        <v>19</v>
      </c>
      <c r="O158" s="484">
        <v>2.8</v>
      </c>
      <c r="P158" s="443"/>
    </row>
    <row r="159" spans="1:16" x14ac:dyDescent="0.25">
      <c r="A159" s="1623"/>
      <c r="C159" s="468">
        <v>15</v>
      </c>
      <c r="D159" s="469">
        <v>0.1</v>
      </c>
      <c r="E159" s="492" t="s">
        <v>129</v>
      </c>
      <c r="F159" s="470">
        <f t="shared" ref="F159:F165" si="30">0.5*(MAX(D159:E159)-MIN(D159:E159))</f>
        <v>0</v>
      </c>
      <c r="H159" s="458"/>
      <c r="I159" s="468">
        <v>30</v>
      </c>
      <c r="J159" s="469">
        <v>0.1</v>
      </c>
      <c r="K159" s="492" t="s">
        <v>129</v>
      </c>
      <c r="L159" s="470">
        <f t="shared" ref="L159:L165" si="31">0.5*(MAX(J159:K159)-MIN(J159:K159))</f>
        <v>0</v>
      </c>
      <c r="O159" s="453"/>
      <c r="P159" s="443"/>
    </row>
    <row r="160" spans="1:16" x14ac:dyDescent="0.25">
      <c r="A160" s="1623"/>
      <c r="C160" s="471">
        <v>20</v>
      </c>
      <c r="D160" s="451">
        <v>0.1</v>
      </c>
      <c r="E160" s="493" t="s">
        <v>129</v>
      </c>
      <c r="F160" s="472">
        <f t="shared" si="30"/>
        <v>0</v>
      </c>
      <c r="H160" s="458"/>
      <c r="I160" s="471">
        <v>40</v>
      </c>
      <c r="J160" s="451">
        <v>0.2</v>
      </c>
      <c r="K160" s="493" t="s">
        <v>129</v>
      </c>
      <c r="L160" s="472">
        <f t="shared" si="31"/>
        <v>0</v>
      </c>
      <c r="O160" s="453"/>
      <c r="P160" s="443"/>
    </row>
    <row r="161" spans="1:16" x14ac:dyDescent="0.25">
      <c r="A161" s="1623"/>
      <c r="C161" s="471">
        <v>25</v>
      </c>
      <c r="D161" s="451">
        <v>9.9999999999999995E-7</v>
      </c>
      <c r="E161" s="493" t="s">
        <v>129</v>
      </c>
      <c r="F161" s="472">
        <f t="shared" si="30"/>
        <v>0</v>
      </c>
      <c r="H161" s="458"/>
      <c r="I161" s="471">
        <v>50</v>
      </c>
      <c r="J161" s="451">
        <v>0.2</v>
      </c>
      <c r="K161" s="493" t="s">
        <v>129</v>
      </c>
      <c r="L161" s="472">
        <f t="shared" si="31"/>
        <v>0</v>
      </c>
      <c r="O161" s="453"/>
      <c r="P161" s="443"/>
    </row>
    <row r="162" spans="1:16" x14ac:dyDescent="0.25">
      <c r="A162" s="1623"/>
      <c r="C162" s="473">
        <v>30</v>
      </c>
      <c r="D162" s="454">
        <v>-0.2</v>
      </c>
      <c r="E162" s="455" t="s">
        <v>129</v>
      </c>
      <c r="F162" s="472">
        <f t="shared" si="30"/>
        <v>0</v>
      </c>
      <c r="H162" s="458"/>
      <c r="I162" s="473">
        <v>60</v>
      </c>
      <c r="J162" s="454">
        <v>0</v>
      </c>
      <c r="K162" s="455" t="s">
        <v>129</v>
      </c>
      <c r="L162" s="472">
        <f t="shared" si="31"/>
        <v>0</v>
      </c>
      <c r="O162" s="453"/>
      <c r="P162" s="443"/>
    </row>
    <row r="163" spans="1:16" x14ac:dyDescent="0.25">
      <c r="A163" s="1623"/>
      <c r="C163" s="473">
        <v>35</v>
      </c>
      <c r="D163" s="454">
        <v>-0.5</v>
      </c>
      <c r="E163" s="455" t="s">
        <v>129</v>
      </c>
      <c r="F163" s="472">
        <f t="shared" si="30"/>
        <v>0</v>
      </c>
      <c r="H163" s="458"/>
      <c r="I163" s="473">
        <v>70</v>
      </c>
      <c r="J163" s="454">
        <v>-0.3</v>
      </c>
      <c r="K163" s="455" t="s">
        <v>129</v>
      </c>
      <c r="L163" s="472">
        <f t="shared" si="31"/>
        <v>0</v>
      </c>
      <c r="O163" s="453"/>
      <c r="P163" s="443"/>
    </row>
    <row r="164" spans="1:16" x14ac:dyDescent="0.25">
      <c r="A164" s="1623"/>
      <c r="C164" s="473">
        <v>37</v>
      </c>
      <c r="D164" s="454">
        <v>-0.6</v>
      </c>
      <c r="E164" s="455" t="s">
        <v>129</v>
      </c>
      <c r="F164" s="472">
        <f t="shared" si="30"/>
        <v>0</v>
      </c>
      <c r="H164" s="458"/>
      <c r="I164" s="473">
        <v>80</v>
      </c>
      <c r="J164" s="454">
        <v>-0.8</v>
      </c>
      <c r="K164" s="455" t="s">
        <v>129</v>
      </c>
      <c r="L164" s="472">
        <f t="shared" si="31"/>
        <v>0</v>
      </c>
      <c r="O164" s="453"/>
      <c r="P164" s="443"/>
    </row>
    <row r="165" spans="1:16" ht="13.8" thickBot="1" x14ac:dyDescent="0.3">
      <c r="A165" s="1624"/>
      <c r="B165" s="456"/>
      <c r="C165" s="474">
        <v>40</v>
      </c>
      <c r="D165" s="475">
        <v>-0.8</v>
      </c>
      <c r="E165" s="478" t="s">
        <v>129</v>
      </c>
      <c r="F165" s="476">
        <f t="shared" si="30"/>
        <v>0</v>
      </c>
      <c r="G165" s="456"/>
      <c r="H165" s="477"/>
      <c r="I165" s="474">
        <v>90</v>
      </c>
      <c r="J165" s="475">
        <v>-1.4</v>
      </c>
      <c r="K165" s="478" t="s">
        <v>129</v>
      </c>
      <c r="L165" s="476">
        <f t="shared" si="31"/>
        <v>0</v>
      </c>
      <c r="M165" s="456"/>
      <c r="N165" s="456"/>
      <c r="O165" s="457"/>
      <c r="P165" s="443"/>
    </row>
    <row r="166" spans="1:16" ht="13.8" thickBot="1" x14ac:dyDescent="0.3">
      <c r="A166" s="479"/>
      <c r="B166" s="480"/>
      <c r="C166" s="480"/>
      <c r="D166" s="480"/>
      <c r="E166" s="481"/>
      <c r="F166" s="490"/>
      <c r="G166" s="483"/>
      <c r="H166" s="480"/>
      <c r="I166" s="480"/>
      <c r="J166" s="480"/>
      <c r="K166" s="481"/>
      <c r="L166" s="490"/>
      <c r="O166" s="453"/>
      <c r="P166" s="443"/>
    </row>
    <row r="167" spans="1:16" ht="13.8" thickBot="1" x14ac:dyDescent="0.3">
      <c r="A167" s="1622">
        <v>16</v>
      </c>
      <c r="B167" s="1625" t="s">
        <v>532</v>
      </c>
      <c r="C167" s="1626"/>
      <c r="D167" s="1626"/>
      <c r="E167" s="1626"/>
      <c r="F167" s="1627"/>
      <c r="G167" s="445"/>
      <c r="H167" s="1625" t="str">
        <f>B167</f>
        <v>KOREKSI EXTECH A.100616</v>
      </c>
      <c r="I167" s="1626"/>
      <c r="J167" s="1626"/>
      <c r="K167" s="1626"/>
      <c r="L167" s="1627"/>
      <c r="M167" s="445"/>
      <c r="N167" s="1638" t="s">
        <v>137</v>
      </c>
      <c r="O167" s="1639"/>
      <c r="P167" s="443"/>
    </row>
    <row r="168" spans="1:16" ht="13.8" thickBot="1" x14ac:dyDescent="0.3">
      <c r="A168" s="1623"/>
      <c r="B168" s="1628" t="s">
        <v>515</v>
      </c>
      <c r="C168" s="1629"/>
      <c r="D168" s="1630" t="s">
        <v>127</v>
      </c>
      <c r="E168" s="1631"/>
      <c r="F168" s="1632" t="s">
        <v>123</v>
      </c>
      <c r="H168" s="1628" t="s">
        <v>516</v>
      </c>
      <c r="I168" s="1629"/>
      <c r="J168" s="1630" t="s">
        <v>127</v>
      </c>
      <c r="K168" s="1631"/>
      <c r="L168" s="1632" t="s">
        <v>123</v>
      </c>
      <c r="N168" s="462" t="s">
        <v>515</v>
      </c>
      <c r="O168" s="485">
        <v>0.4</v>
      </c>
      <c r="P168" s="443"/>
    </row>
    <row r="169" spans="1:16" ht="15" thickBot="1" x14ac:dyDescent="0.3">
      <c r="A169" s="1623"/>
      <c r="B169" s="1634" t="s">
        <v>517</v>
      </c>
      <c r="C169" s="1635"/>
      <c r="D169" s="464">
        <v>2020</v>
      </c>
      <c r="E169" s="491" t="s">
        <v>129</v>
      </c>
      <c r="F169" s="1633"/>
      <c r="H169" s="1636" t="s">
        <v>19</v>
      </c>
      <c r="I169" s="1637"/>
      <c r="J169" s="465">
        <f>D169</f>
        <v>2020</v>
      </c>
      <c r="K169" s="465" t="str">
        <f>E169</f>
        <v>-</v>
      </c>
      <c r="L169" s="1633"/>
      <c r="N169" s="466" t="s">
        <v>19</v>
      </c>
      <c r="O169" s="484">
        <v>2.2000000000000002</v>
      </c>
      <c r="P169" s="443"/>
    </row>
    <row r="170" spans="1:16" x14ac:dyDescent="0.25">
      <c r="A170" s="1623"/>
      <c r="C170" s="468">
        <v>15</v>
      </c>
      <c r="D170" s="469">
        <v>0.1</v>
      </c>
      <c r="E170" s="492" t="s">
        <v>129</v>
      </c>
      <c r="F170" s="470">
        <f t="shared" ref="F170:F176" si="32">0.5*(MAX(D170:E170)-MIN(D170:E170))</f>
        <v>0</v>
      </c>
      <c r="H170" s="458"/>
      <c r="I170" s="468">
        <v>30</v>
      </c>
      <c r="J170" s="469">
        <v>-1.6</v>
      </c>
      <c r="K170" s="492" t="s">
        <v>129</v>
      </c>
      <c r="L170" s="470">
        <f t="shared" ref="L170:L176" si="33">0.5*(MAX(J170:K170)-MIN(J170:K170))</f>
        <v>0</v>
      </c>
      <c r="O170" s="453"/>
      <c r="P170" s="443"/>
    </row>
    <row r="171" spans="1:16" x14ac:dyDescent="0.25">
      <c r="A171" s="1623"/>
      <c r="C171" s="471">
        <v>20</v>
      </c>
      <c r="D171" s="451">
        <v>0.2</v>
      </c>
      <c r="E171" s="493" t="s">
        <v>129</v>
      </c>
      <c r="F171" s="472">
        <f t="shared" si="32"/>
        <v>0</v>
      </c>
      <c r="H171" s="458"/>
      <c r="I171" s="471">
        <v>40</v>
      </c>
      <c r="J171" s="451">
        <v>-1.4</v>
      </c>
      <c r="K171" s="493" t="s">
        <v>129</v>
      </c>
      <c r="L171" s="472">
        <f t="shared" si="33"/>
        <v>0</v>
      </c>
      <c r="O171" s="453"/>
      <c r="P171" s="443"/>
    </row>
    <row r="172" spans="1:16" x14ac:dyDescent="0.25">
      <c r="A172" s="1623"/>
      <c r="C172" s="471">
        <v>25</v>
      </c>
      <c r="D172" s="451">
        <v>0.2</v>
      </c>
      <c r="E172" s="493" t="s">
        <v>129</v>
      </c>
      <c r="F172" s="472">
        <f t="shared" si="32"/>
        <v>0</v>
      </c>
      <c r="H172" s="458"/>
      <c r="I172" s="471">
        <v>50</v>
      </c>
      <c r="J172" s="451">
        <v>-1.4</v>
      </c>
      <c r="K172" s="493" t="s">
        <v>129</v>
      </c>
      <c r="L172" s="472">
        <f t="shared" si="33"/>
        <v>0</v>
      </c>
      <c r="O172" s="453"/>
      <c r="P172" s="443"/>
    </row>
    <row r="173" spans="1:16" x14ac:dyDescent="0.25">
      <c r="A173" s="1623"/>
      <c r="C173" s="473">
        <v>30</v>
      </c>
      <c r="D173" s="454">
        <v>0.2</v>
      </c>
      <c r="E173" s="455" t="s">
        <v>129</v>
      </c>
      <c r="F173" s="472">
        <f t="shared" si="32"/>
        <v>0</v>
      </c>
      <c r="H173" s="458"/>
      <c r="I173" s="473">
        <v>60</v>
      </c>
      <c r="J173" s="454">
        <v>-1.5</v>
      </c>
      <c r="K173" s="455" t="s">
        <v>129</v>
      </c>
      <c r="L173" s="472">
        <f t="shared" si="33"/>
        <v>0</v>
      </c>
      <c r="O173" s="453"/>
      <c r="P173" s="443"/>
    </row>
    <row r="174" spans="1:16" x14ac:dyDescent="0.25">
      <c r="A174" s="1623"/>
      <c r="C174" s="473">
        <v>35</v>
      </c>
      <c r="D174" s="454">
        <v>0.1</v>
      </c>
      <c r="E174" s="455" t="s">
        <v>129</v>
      </c>
      <c r="F174" s="472">
        <f t="shared" si="32"/>
        <v>0</v>
      </c>
      <c r="H174" s="458"/>
      <c r="I174" s="473">
        <v>70</v>
      </c>
      <c r="J174" s="454">
        <v>-1.8</v>
      </c>
      <c r="K174" s="455" t="s">
        <v>129</v>
      </c>
      <c r="L174" s="472">
        <f t="shared" si="33"/>
        <v>0</v>
      </c>
      <c r="O174" s="453"/>
      <c r="P174" s="443"/>
    </row>
    <row r="175" spans="1:16" x14ac:dyDescent="0.25">
      <c r="A175" s="1623"/>
      <c r="C175" s="473">
        <v>37</v>
      </c>
      <c r="D175" s="454">
        <v>9.9999999999999995E-7</v>
      </c>
      <c r="E175" s="455" t="s">
        <v>129</v>
      </c>
      <c r="F175" s="472">
        <f t="shared" si="32"/>
        <v>0</v>
      </c>
      <c r="H175" s="458"/>
      <c r="I175" s="473">
        <v>80</v>
      </c>
      <c r="J175" s="454">
        <v>-2.2999999999999998</v>
      </c>
      <c r="K175" s="455" t="s">
        <v>129</v>
      </c>
      <c r="L175" s="472">
        <f t="shared" si="33"/>
        <v>0</v>
      </c>
      <c r="O175" s="453"/>
      <c r="P175" s="443"/>
    </row>
    <row r="176" spans="1:16" ht="13.8" thickBot="1" x14ac:dyDescent="0.3">
      <c r="A176" s="1624"/>
      <c r="B176" s="456"/>
      <c r="C176" s="474">
        <v>40</v>
      </c>
      <c r="D176" s="475">
        <v>9.9999999999999995E-7</v>
      </c>
      <c r="E176" s="478" t="s">
        <v>129</v>
      </c>
      <c r="F176" s="476">
        <f t="shared" si="32"/>
        <v>0</v>
      </c>
      <c r="G176" s="456"/>
      <c r="H176" s="477"/>
      <c r="I176" s="474">
        <v>90</v>
      </c>
      <c r="J176" s="475">
        <v>-3</v>
      </c>
      <c r="K176" s="478" t="s">
        <v>129</v>
      </c>
      <c r="L176" s="476">
        <f t="shared" si="33"/>
        <v>0</v>
      </c>
      <c r="M176" s="456"/>
      <c r="N176" s="456"/>
      <c r="O176" s="457"/>
      <c r="P176" s="443"/>
    </row>
    <row r="177" spans="1:16" ht="13.8" thickBot="1" x14ac:dyDescent="0.3">
      <c r="A177" s="479"/>
      <c r="B177" s="480"/>
      <c r="C177" s="480"/>
      <c r="D177" s="480"/>
      <c r="E177" s="481"/>
      <c r="F177" s="490"/>
      <c r="G177" s="483"/>
      <c r="H177" s="480"/>
      <c r="I177" s="480"/>
      <c r="J177" s="480"/>
      <c r="K177" s="481"/>
      <c r="L177" s="490"/>
      <c r="O177" s="453"/>
      <c r="P177" s="443"/>
    </row>
    <row r="178" spans="1:16" ht="13.8" thickBot="1" x14ac:dyDescent="0.3">
      <c r="A178" s="1622">
        <v>17</v>
      </c>
      <c r="B178" s="1625" t="s">
        <v>533</v>
      </c>
      <c r="C178" s="1626"/>
      <c r="D178" s="1626"/>
      <c r="E178" s="1626"/>
      <c r="F178" s="1627"/>
      <c r="G178" s="445"/>
      <c r="H178" s="1625" t="str">
        <f>B178</f>
        <v>KOREKSI EXTECH A.100618</v>
      </c>
      <c r="I178" s="1626"/>
      <c r="J178" s="1626"/>
      <c r="K178" s="1626"/>
      <c r="L178" s="1627"/>
      <c r="M178" s="445"/>
      <c r="N178" s="1638" t="s">
        <v>137</v>
      </c>
      <c r="O178" s="1639"/>
      <c r="P178" s="443"/>
    </row>
    <row r="179" spans="1:16" ht="13.8" thickBot="1" x14ac:dyDescent="0.3">
      <c r="A179" s="1623"/>
      <c r="B179" s="1628" t="s">
        <v>515</v>
      </c>
      <c r="C179" s="1629"/>
      <c r="D179" s="1630" t="s">
        <v>127</v>
      </c>
      <c r="E179" s="1631"/>
      <c r="F179" s="1632" t="s">
        <v>123</v>
      </c>
      <c r="H179" s="1628" t="s">
        <v>516</v>
      </c>
      <c r="I179" s="1629"/>
      <c r="J179" s="1630" t="s">
        <v>127</v>
      </c>
      <c r="K179" s="1631"/>
      <c r="L179" s="1632" t="s">
        <v>123</v>
      </c>
      <c r="N179" s="462" t="s">
        <v>515</v>
      </c>
      <c r="O179" s="485">
        <v>0.3</v>
      </c>
      <c r="P179" s="443"/>
    </row>
    <row r="180" spans="1:16" ht="15" thickBot="1" x14ac:dyDescent="0.3">
      <c r="A180" s="1623"/>
      <c r="B180" s="1634" t="s">
        <v>517</v>
      </c>
      <c r="C180" s="1635"/>
      <c r="D180" s="464">
        <v>2020</v>
      </c>
      <c r="E180" s="491" t="s">
        <v>129</v>
      </c>
      <c r="F180" s="1633"/>
      <c r="H180" s="1636" t="s">
        <v>19</v>
      </c>
      <c r="I180" s="1637"/>
      <c r="J180" s="465">
        <f>D180</f>
        <v>2020</v>
      </c>
      <c r="K180" s="465" t="str">
        <f>E180</f>
        <v>-</v>
      </c>
      <c r="L180" s="1633"/>
      <c r="N180" s="466" t="s">
        <v>19</v>
      </c>
      <c r="O180" s="484">
        <v>1.6</v>
      </c>
      <c r="P180" s="443"/>
    </row>
    <row r="181" spans="1:16" x14ac:dyDescent="0.25">
      <c r="A181" s="1623"/>
      <c r="C181" s="468">
        <v>15</v>
      </c>
      <c r="D181" s="469">
        <v>9.9999999999999995E-7</v>
      </c>
      <c r="E181" s="492" t="s">
        <v>129</v>
      </c>
      <c r="F181" s="470">
        <f t="shared" ref="F181:F187" si="34">0.5*(MAX(D181:E181)-MIN(D181:E181))</f>
        <v>0</v>
      </c>
      <c r="H181" s="458"/>
      <c r="I181" s="468">
        <v>30</v>
      </c>
      <c r="J181" s="469">
        <v>-0.4</v>
      </c>
      <c r="K181" s="492" t="s">
        <v>129</v>
      </c>
      <c r="L181" s="470">
        <f t="shared" ref="L181:L187" si="35">0.5*(MAX(J181:K181)-MIN(J181:K181))</f>
        <v>0</v>
      </c>
      <c r="O181" s="453"/>
      <c r="P181" s="443"/>
    </row>
    <row r="182" spans="1:16" x14ac:dyDescent="0.25">
      <c r="A182" s="1623"/>
      <c r="C182" s="471">
        <v>20</v>
      </c>
      <c r="D182" s="451">
        <v>-0.1</v>
      </c>
      <c r="E182" s="493" t="s">
        <v>129</v>
      </c>
      <c r="F182" s="472">
        <f t="shared" si="34"/>
        <v>0</v>
      </c>
      <c r="H182" s="458"/>
      <c r="I182" s="471">
        <v>40</v>
      </c>
      <c r="J182" s="451">
        <v>-0.2</v>
      </c>
      <c r="K182" s="493" t="s">
        <v>129</v>
      </c>
      <c r="L182" s="472">
        <f t="shared" si="35"/>
        <v>0</v>
      </c>
      <c r="O182" s="453"/>
      <c r="P182" s="443"/>
    </row>
    <row r="183" spans="1:16" x14ac:dyDescent="0.25">
      <c r="A183" s="1623"/>
      <c r="C183" s="471">
        <v>25</v>
      </c>
      <c r="D183" s="451">
        <v>-0.2</v>
      </c>
      <c r="E183" s="493" t="s">
        <v>129</v>
      </c>
      <c r="F183" s="472">
        <f t="shared" si="34"/>
        <v>0</v>
      </c>
      <c r="H183" s="458"/>
      <c r="I183" s="471">
        <v>50</v>
      </c>
      <c r="J183" s="451">
        <v>-0.2</v>
      </c>
      <c r="K183" s="493" t="s">
        <v>129</v>
      </c>
      <c r="L183" s="472">
        <f t="shared" si="35"/>
        <v>0</v>
      </c>
      <c r="O183" s="453"/>
      <c r="P183" s="443"/>
    </row>
    <row r="184" spans="1:16" x14ac:dyDescent="0.25">
      <c r="A184" s="1623"/>
      <c r="C184" s="473">
        <v>30</v>
      </c>
      <c r="D184" s="454">
        <v>-0.2</v>
      </c>
      <c r="E184" s="455" t="s">
        <v>129</v>
      </c>
      <c r="F184" s="472">
        <f t="shared" si="34"/>
        <v>0</v>
      </c>
      <c r="H184" s="458"/>
      <c r="I184" s="473">
        <v>60</v>
      </c>
      <c r="J184" s="454">
        <v>-0.2</v>
      </c>
      <c r="K184" s="455" t="s">
        <v>129</v>
      </c>
      <c r="L184" s="472">
        <f t="shared" si="35"/>
        <v>0</v>
      </c>
      <c r="O184" s="453"/>
      <c r="P184" s="443"/>
    </row>
    <row r="185" spans="1:16" x14ac:dyDescent="0.25">
      <c r="A185" s="1623"/>
      <c r="C185" s="473">
        <v>35</v>
      </c>
      <c r="D185" s="454">
        <v>-0.3</v>
      </c>
      <c r="E185" s="455" t="s">
        <v>129</v>
      </c>
      <c r="F185" s="472">
        <f t="shared" si="34"/>
        <v>0</v>
      </c>
      <c r="H185" s="458"/>
      <c r="I185" s="473">
        <v>70</v>
      </c>
      <c r="J185" s="454">
        <v>-0.3</v>
      </c>
      <c r="K185" s="455" t="s">
        <v>129</v>
      </c>
      <c r="L185" s="472">
        <f t="shared" si="35"/>
        <v>0</v>
      </c>
      <c r="O185" s="453"/>
      <c r="P185" s="443"/>
    </row>
    <row r="186" spans="1:16" x14ac:dyDescent="0.25">
      <c r="A186" s="1623"/>
      <c r="C186" s="473">
        <v>37</v>
      </c>
      <c r="D186" s="454">
        <v>-0.3</v>
      </c>
      <c r="E186" s="455" t="s">
        <v>129</v>
      </c>
      <c r="F186" s="472">
        <f t="shared" si="34"/>
        <v>0</v>
      </c>
      <c r="H186" s="458"/>
      <c r="I186" s="473">
        <v>80</v>
      </c>
      <c r="J186" s="454">
        <v>-0.5</v>
      </c>
      <c r="K186" s="455" t="s">
        <v>129</v>
      </c>
      <c r="L186" s="472">
        <f t="shared" si="35"/>
        <v>0</v>
      </c>
      <c r="O186" s="453"/>
      <c r="P186" s="443"/>
    </row>
    <row r="187" spans="1:16" ht="13.8" thickBot="1" x14ac:dyDescent="0.3">
      <c r="A187" s="1624"/>
      <c r="B187" s="456"/>
      <c r="C187" s="474">
        <v>40</v>
      </c>
      <c r="D187" s="475">
        <v>-0.4</v>
      </c>
      <c r="E187" s="478" t="s">
        <v>129</v>
      </c>
      <c r="F187" s="476">
        <f t="shared" si="34"/>
        <v>0</v>
      </c>
      <c r="G187" s="456"/>
      <c r="H187" s="477"/>
      <c r="I187" s="474">
        <v>90</v>
      </c>
      <c r="J187" s="475">
        <v>-0.8</v>
      </c>
      <c r="K187" s="478" t="s">
        <v>129</v>
      </c>
      <c r="L187" s="476">
        <f t="shared" si="35"/>
        <v>0</v>
      </c>
      <c r="M187" s="456"/>
      <c r="N187" s="456"/>
      <c r="O187" s="457"/>
      <c r="P187" s="443"/>
    </row>
    <row r="188" spans="1:16" ht="13.8" thickBot="1" x14ac:dyDescent="0.3">
      <c r="A188" s="479"/>
      <c r="B188" s="480"/>
      <c r="C188" s="480"/>
      <c r="D188" s="480"/>
      <c r="E188" s="481"/>
      <c r="F188" s="490"/>
      <c r="G188" s="483"/>
      <c r="H188" s="480"/>
      <c r="I188" s="480"/>
      <c r="J188" s="480"/>
      <c r="K188" s="481"/>
      <c r="L188" s="490"/>
      <c r="O188" s="453"/>
      <c r="P188" s="443"/>
    </row>
    <row r="189" spans="1:16" ht="13.8" thickBot="1" x14ac:dyDescent="0.3">
      <c r="A189" s="1622">
        <v>18</v>
      </c>
      <c r="B189" s="1625" t="s">
        <v>534</v>
      </c>
      <c r="C189" s="1626"/>
      <c r="D189" s="1626"/>
      <c r="E189" s="1626"/>
      <c r="F189" s="1627"/>
      <c r="G189" s="445"/>
      <c r="H189" s="1625" t="str">
        <f>B189</f>
        <v>KOREKSI EXTECH A.100586</v>
      </c>
      <c r="I189" s="1626"/>
      <c r="J189" s="1626"/>
      <c r="K189" s="1626"/>
      <c r="L189" s="1627"/>
      <c r="M189" s="445"/>
      <c r="N189" s="1638" t="s">
        <v>137</v>
      </c>
      <c r="O189" s="1639"/>
      <c r="P189" s="443"/>
    </row>
    <row r="190" spans="1:16" ht="13.8" thickBot="1" x14ac:dyDescent="0.3">
      <c r="A190" s="1623"/>
      <c r="B190" s="1628" t="s">
        <v>515</v>
      </c>
      <c r="C190" s="1629"/>
      <c r="D190" s="1630" t="s">
        <v>127</v>
      </c>
      <c r="E190" s="1631"/>
      <c r="F190" s="1632" t="s">
        <v>123</v>
      </c>
      <c r="H190" s="1628" t="s">
        <v>516</v>
      </c>
      <c r="I190" s="1629"/>
      <c r="J190" s="1630" t="s">
        <v>127</v>
      </c>
      <c r="K190" s="1631"/>
      <c r="L190" s="1632" t="s">
        <v>123</v>
      </c>
      <c r="N190" s="462" t="s">
        <v>515</v>
      </c>
      <c r="O190" s="485">
        <v>0.3</v>
      </c>
      <c r="P190" s="443"/>
    </row>
    <row r="191" spans="1:16" ht="15" thickBot="1" x14ac:dyDescent="0.3">
      <c r="A191" s="1623"/>
      <c r="B191" s="1634" t="s">
        <v>517</v>
      </c>
      <c r="C191" s="1635"/>
      <c r="D191" s="464">
        <v>2017</v>
      </c>
      <c r="E191" s="491" t="s">
        <v>129</v>
      </c>
      <c r="F191" s="1633"/>
      <c r="H191" s="1636" t="s">
        <v>19</v>
      </c>
      <c r="I191" s="1637"/>
      <c r="J191" s="465">
        <f>D191</f>
        <v>2017</v>
      </c>
      <c r="K191" s="465" t="str">
        <f>E191</f>
        <v>-</v>
      </c>
      <c r="L191" s="1633"/>
      <c r="N191" s="466" t="s">
        <v>19</v>
      </c>
      <c r="O191" s="484">
        <v>2</v>
      </c>
      <c r="P191" s="443"/>
    </row>
    <row r="192" spans="1:16" x14ac:dyDescent="0.25">
      <c r="A192" s="1623"/>
      <c r="C192" s="468">
        <v>15</v>
      </c>
      <c r="D192" s="469">
        <v>9.9999999999999995E-7</v>
      </c>
      <c r="E192" s="492" t="s">
        <v>129</v>
      </c>
      <c r="F192" s="470">
        <f t="shared" ref="F192:F198" si="36">0.5*(MAX(D192:E192)-MIN(D192:E192))</f>
        <v>0</v>
      </c>
      <c r="H192" s="458"/>
      <c r="I192" s="468">
        <v>30</v>
      </c>
      <c r="J192" s="469">
        <v>-0.4</v>
      </c>
      <c r="K192" s="492" t="s">
        <v>129</v>
      </c>
      <c r="L192" s="470">
        <f t="shared" ref="L192:L198" si="37">0.5*(MAX(J192:K192)-MIN(J192:K192))</f>
        <v>0</v>
      </c>
      <c r="O192" s="453"/>
      <c r="P192" s="443"/>
    </row>
    <row r="193" spans="1:17" x14ac:dyDescent="0.25">
      <c r="A193" s="1623"/>
      <c r="C193" s="471">
        <v>20</v>
      </c>
      <c r="D193" s="451">
        <v>9.9999999999999995E-7</v>
      </c>
      <c r="E193" s="493" t="s">
        <v>129</v>
      </c>
      <c r="F193" s="472">
        <f t="shared" si="36"/>
        <v>0</v>
      </c>
      <c r="H193" s="458"/>
      <c r="I193" s="471">
        <v>40</v>
      </c>
      <c r="J193" s="451">
        <v>-0.1</v>
      </c>
      <c r="K193" s="493" t="s">
        <v>129</v>
      </c>
      <c r="L193" s="472">
        <f t="shared" si="37"/>
        <v>0</v>
      </c>
      <c r="O193" s="453"/>
      <c r="P193" s="443"/>
    </row>
    <row r="194" spans="1:17" x14ac:dyDescent="0.25">
      <c r="A194" s="1623"/>
      <c r="C194" s="471">
        <v>25</v>
      </c>
      <c r="D194" s="451">
        <v>9.9999999999999995E-7</v>
      </c>
      <c r="E194" s="493" t="s">
        <v>129</v>
      </c>
      <c r="F194" s="472">
        <f t="shared" si="36"/>
        <v>0</v>
      </c>
      <c r="H194" s="458"/>
      <c r="I194" s="471">
        <v>50</v>
      </c>
      <c r="J194" s="451">
        <v>0</v>
      </c>
      <c r="K194" s="493" t="s">
        <v>129</v>
      </c>
      <c r="L194" s="472">
        <f t="shared" si="37"/>
        <v>0</v>
      </c>
      <c r="O194" s="453"/>
      <c r="P194" s="443"/>
    </row>
    <row r="195" spans="1:17" x14ac:dyDescent="0.25">
      <c r="A195" s="1623"/>
      <c r="C195" s="473">
        <v>30</v>
      </c>
      <c r="D195" s="454">
        <v>-0.1</v>
      </c>
      <c r="E195" s="455" t="s">
        <v>129</v>
      </c>
      <c r="F195" s="472">
        <f t="shared" si="36"/>
        <v>0</v>
      </c>
      <c r="H195" s="458"/>
      <c r="I195" s="473">
        <v>60</v>
      </c>
      <c r="J195" s="454">
        <v>0</v>
      </c>
      <c r="K195" s="455" t="s">
        <v>129</v>
      </c>
      <c r="L195" s="472">
        <f t="shared" si="37"/>
        <v>0</v>
      </c>
      <c r="O195" s="453"/>
      <c r="P195" s="443"/>
    </row>
    <row r="196" spans="1:17" x14ac:dyDescent="0.25">
      <c r="A196" s="1623"/>
      <c r="C196" s="473">
        <v>35</v>
      </c>
      <c r="D196" s="454">
        <v>-0.2</v>
      </c>
      <c r="E196" s="455" t="s">
        <v>129</v>
      </c>
      <c r="F196" s="472">
        <f t="shared" si="36"/>
        <v>0</v>
      </c>
      <c r="H196" s="458"/>
      <c r="I196" s="473">
        <v>70</v>
      </c>
      <c r="J196" s="454">
        <v>-0.1</v>
      </c>
      <c r="K196" s="455" t="s">
        <v>129</v>
      </c>
      <c r="L196" s="472">
        <f t="shared" si="37"/>
        <v>0</v>
      </c>
      <c r="O196" s="453"/>
      <c r="P196" s="443"/>
    </row>
    <row r="197" spans="1:17" x14ac:dyDescent="0.25">
      <c r="A197" s="1623"/>
      <c r="C197" s="473">
        <v>37</v>
      </c>
      <c r="D197" s="454">
        <v>-0.3</v>
      </c>
      <c r="E197" s="455" t="s">
        <v>129</v>
      </c>
      <c r="F197" s="472">
        <f t="shared" si="36"/>
        <v>0</v>
      </c>
      <c r="H197" s="458"/>
      <c r="I197" s="473">
        <v>80</v>
      </c>
      <c r="J197" s="454">
        <v>-0.5</v>
      </c>
      <c r="K197" s="455" t="s">
        <v>129</v>
      </c>
      <c r="L197" s="472">
        <f t="shared" si="37"/>
        <v>0</v>
      </c>
      <c r="O197" s="453"/>
      <c r="P197" s="443"/>
    </row>
    <row r="198" spans="1:17" ht="13.8" thickBot="1" x14ac:dyDescent="0.3">
      <c r="A198" s="1624"/>
      <c r="B198" s="456"/>
      <c r="C198" s="474">
        <v>40</v>
      </c>
      <c r="D198" s="475">
        <v>-0.4</v>
      </c>
      <c r="E198" s="478" t="s">
        <v>129</v>
      </c>
      <c r="F198" s="476">
        <f t="shared" si="36"/>
        <v>0</v>
      </c>
      <c r="G198" s="456"/>
      <c r="H198" s="477"/>
      <c r="I198" s="474">
        <v>90</v>
      </c>
      <c r="J198" s="475">
        <v>-0.9</v>
      </c>
      <c r="K198" s="478" t="s">
        <v>129</v>
      </c>
      <c r="L198" s="476">
        <f t="shared" si="37"/>
        <v>0</v>
      </c>
      <c r="M198" s="456"/>
      <c r="N198" s="456"/>
      <c r="O198" s="457"/>
      <c r="P198" s="443"/>
    </row>
    <row r="199" spans="1:17" ht="13.8" thickBot="1" x14ac:dyDescent="0.3">
      <c r="A199" s="496"/>
      <c r="B199" s="497"/>
      <c r="C199" s="497"/>
      <c r="D199" s="497"/>
      <c r="E199" s="497"/>
      <c r="F199" s="497"/>
      <c r="G199" s="497"/>
      <c r="H199" s="497"/>
      <c r="I199" s="497"/>
      <c r="J199" s="497"/>
      <c r="K199" s="497"/>
      <c r="L199" s="497"/>
      <c r="M199" s="497"/>
      <c r="N199" s="497"/>
      <c r="O199" s="498"/>
      <c r="P199" s="443"/>
    </row>
    <row r="200" spans="1:17" ht="13.8" thickBot="1" x14ac:dyDescent="0.3">
      <c r="A200" s="443"/>
      <c r="B200" s="443"/>
      <c r="C200" s="443"/>
      <c r="D200" s="443"/>
      <c r="E200" s="443"/>
      <c r="F200" s="443"/>
      <c r="G200" s="443"/>
      <c r="H200" s="443"/>
      <c r="I200" s="443"/>
      <c r="J200" s="443"/>
      <c r="K200" s="443"/>
      <c r="L200" s="443"/>
      <c r="M200" s="443"/>
      <c r="N200" s="443"/>
      <c r="O200" s="443"/>
      <c r="P200" s="443"/>
    </row>
    <row r="201" spans="1:17" x14ac:dyDescent="0.25">
      <c r="A201" s="1616" t="s">
        <v>29</v>
      </c>
      <c r="B201" s="1618" t="s">
        <v>535</v>
      </c>
      <c r="C201" s="1612" t="s">
        <v>536</v>
      </c>
      <c r="D201" s="1612"/>
      <c r="E201" s="1612"/>
      <c r="F201" s="1612"/>
      <c r="G201" s="296"/>
      <c r="H201" s="1620" t="s">
        <v>29</v>
      </c>
      <c r="I201" s="1618" t="s">
        <v>535</v>
      </c>
      <c r="J201" s="1612" t="s">
        <v>536</v>
      </c>
      <c r="K201" s="1612"/>
      <c r="L201" s="1612"/>
      <c r="M201" s="1612"/>
      <c r="N201" s="297"/>
      <c r="O201" s="1613" t="s">
        <v>137</v>
      </c>
      <c r="P201" s="1614"/>
    </row>
    <row r="202" spans="1:17" ht="13.8" x14ac:dyDescent="0.25">
      <c r="A202" s="1617"/>
      <c r="B202" s="1619"/>
      <c r="C202" s="499" t="s">
        <v>515</v>
      </c>
      <c r="D202" s="1615" t="s">
        <v>127</v>
      </c>
      <c r="E202" s="1615"/>
      <c r="F202" s="1615" t="s">
        <v>123</v>
      </c>
      <c r="G202" s="443"/>
      <c r="H202" s="1621"/>
      <c r="I202" s="1619"/>
      <c r="J202" s="499" t="s">
        <v>516</v>
      </c>
      <c r="K202" s="1615" t="s">
        <v>127</v>
      </c>
      <c r="L202" s="1615"/>
      <c r="M202" s="1615" t="s">
        <v>123</v>
      </c>
      <c r="N202" s="443"/>
      <c r="O202" s="1610" t="s">
        <v>515</v>
      </c>
      <c r="P202" s="1611"/>
    </row>
    <row r="203" spans="1:17" ht="14.4" x14ac:dyDescent="0.25">
      <c r="A203" s="1617"/>
      <c r="B203" s="1619"/>
      <c r="C203" s="500" t="s">
        <v>537</v>
      </c>
      <c r="D203" s="499"/>
      <c r="E203" s="499"/>
      <c r="F203" s="1615"/>
      <c r="G203" s="443"/>
      <c r="H203" s="1621"/>
      <c r="I203" s="1619"/>
      <c r="J203" s="500" t="s">
        <v>19</v>
      </c>
      <c r="K203" s="499"/>
      <c r="L203" s="499"/>
      <c r="M203" s="1615"/>
      <c r="O203" s="501">
        <v>1</v>
      </c>
      <c r="P203" s="506">
        <f>O3</f>
        <v>0.6</v>
      </c>
      <c r="Q203" s="506">
        <f>O4</f>
        <v>3.1</v>
      </c>
    </row>
    <row r="204" spans="1:17" x14ac:dyDescent="0.25">
      <c r="A204" s="1604" t="s">
        <v>237</v>
      </c>
      <c r="B204" s="502">
        <v>1</v>
      </c>
      <c r="C204" s="503">
        <f>C5</f>
        <v>15</v>
      </c>
      <c r="D204" s="503">
        <f t="shared" ref="D204:F204" si="38">D5</f>
        <v>-0.5</v>
      </c>
      <c r="E204" s="503">
        <f t="shared" si="38"/>
        <v>0.3</v>
      </c>
      <c r="F204" s="503">
        <f t="shared" si="38"/>
        <v>0.4</v>
      </c>
      <c r="G204" s="443"/>
      <c r="H204" s="1605" t="s">
        <v>237</v>
      </c>
      <c r="I204" s="502">
        <v>1</v>
      </c>
      <c r="J204" s="503">
        <f>I5</f>
        <v>35</v>
      </c>
      <c r="K204" s="503">
        <f t="shared" ref="K204:M204" si="39">J5</f>
        <v>-6</v>
      </c>
      <c r="L204" s="503">
        <f t="shared" si="39"/>
        <v>-9.4</v>
      </c>
      <c r="M204" s="503">
        <f t="shared" si="39"/>
        <v>1.7000000000000002</v>
      </c>
      <c r="N204" s="443"/>
      <c r="O204" s="504">
        <v>2</v>
      </c>
      <c r="P204" s="890">
        <f>O14</f>
        <v>0.3</v>
      </c>
      <c r="Q204" s="890">
        <f>O15</f>
        <v>3.3</v>
      </c>
    </row>
    <row r="205" spans="1:17" x14ac:dyDescent="0.25">
      <c r="A205" s="1604"/>
      <c r="B205" s="502">
        <v>2</v>
      </c>
      <c r="C205" s="503">
        <f>C16</f>
        <v>15</v>
      </c>
      <c r="D205" s="503">
        <f t="shared" ref="D205:F205" si="40">D16</f>
        <v>0</v>
      </c>
      <c r="E205" s="503">
        <f t="shared" si="40"/>
        <v>0.5</v>
      </c>
      <c r="F205" s="503">
        <f t="shared" si="40"/>
        <v>0.25</v>
      </c>
      <c r="G205" s="443"/>
      <c r="H205" s="1605"/>
      <c r="I205" s="502">
        <v>2</v>
      </c>
      <c r="J205" s="503">
        <f>I16</f>
        <v>35</v>
      </c>
      <c r="K205" s="503">
        <f t="shared" ref="K205:M205" si="41">J16</f>
        <v>-1.6</v>
      </c>
      <c r="L205" s="503">
        <f t="shared" si="41"/>
        <v>-0.9</v>
      </c>
      <c r="M205" s="503">
        <f t="shared" si="41"/>
        <v>0.35000000000000003</v>
      </c>
      <c r="N205" s="443"/>
      <c r="O205" s="504">
        <v>3</v>
      </c>
      <c r="P205" s="896">
        <f>O25</f>
        <v>0.3</v>
      </c>
      <c r="Q205" s="896">
        <f>O26</f>
        <v>3.1</v>
      </c>
    </row>
    <row r="206" spans="1:17" x14ac:dyDescent="0.25">
      <c r="A206" s="1604"/>
      <c r="B206" s="502">
        <v>3</v>
      </c>
      <c r="C206" s="503">
        <f>C27</f>
        <v>15</v>
      </c>
      <c r="D206" s="503">
        <f t="shared" ref="D206:F206" si="42">D27</f>
        <v>0</v>
      </c>
      <c r="E206" s="503">
        <f t="shared" si="42"/>
        <v>0.2</v>
      </c>
      <c r="F206" s="503">
        <f t="shared" si="42"/>
        <v>0.1</v>
      </c>
      <c r="G206" s="443"/>
      <c r="H206" s="1605"/>
      <c r="I206" s="502">
        <v>3</v>
      </c>
      <c r="J206" s="503">
        <f>I27</f>
        <v>30</v>
      </c>
      <c r="K206" s="503">
        <f t="shared" ref="K206:M206" si="43">J27</f>
        <v>-5.7</v>
      </c>
      <c r="L206" s="503">
        <f t="shared" si="43"/>
        <v>-1.1000000000000001</v>
      </c>
      <c r="M206" s="503">
        <f t="shared" si="43"/>
        <v>2.2999999999999998</v>
      </c>
      <c r="N206" s="443"/>
      <c r="O206" s="504">
        <v>4</v>
      </c>
      <c r="P206" s="896">
        <f>O36</f>
        <v>0.6</v>
      </c>
      <c r="Q206" s="896">
        <f>O37</f>
        <v>2.6</v>
      </c>
    </row>
    <row r="207" spans="1:17" x14ac:dyDescent="0.25">
      <c r="A207" s="1604"/>
      <c r="B207" s="502">
        <v>4</v>
      </c>
      <c r="C207" s="505">
        <f>C38</f>
        <v>15</v>
      </c>
      <c r="D207" s="505">
        <f t="shared" ref="D207:F207" si="44">D38</f>
        <v>-0.1</v>
      </c>
      <c r="E207" s="505">
        <f t="shared" si="44"/>
        <v>0.4</v>
      </c>
      <c r="F207" s="505">
        <f t="shared" si="44"/>
        <v>0.25</v>
      </c>
      <c r="G207" s="443"/>
      <c r="H207" s="1605"/>
      <c r="I207" s="502">
        <v>4</v>
      </c>
      <c r="J207" s="505">
        <f>I38</f>
        <v>35</v>
      </c>
      <c r="K207" s="505">
        <f t="shared" ref="K207:M207" si="45">J38</f>
        <v>-1.7</v>
      </c>
      <c r="L207" s="505">
        <f t="shared" si="45"/>
        <v>-0.8</v>
      </c>
      <c r="M207" s="505">
        <f t="shared" si="45"/>
        <v>0.44999999999999996</v>
      </c>
      <c r="N207" s="443"/>
      <c r="O207" s="504">
        <v>5</v>
      </c>
      <c r="P207" s="896">
        <f>O47</f>
        <v>0.4</v>
      </c>
      <c r="Q207" s="896">
        <f>O48</f>
        <v>2.8</v>
      </c>
    </row>
    <row r="208" spans="1:17" x14ac:dyDescent="0.25">
      <c r="A208" s="1604"/>
      <c r="B208" s="502">
        <v>5</v>
      </c>
      <c r="C208" s="505">
        <f>C49</f>
        <v>15</v>
      </c>
      <c r="D208" s="505">
        <f t="shared" ref="D208:F208" si="46">D49</f>
        <v>-0.3</v>
      </c>
      <c r="E208" s="505">
        <f t="shared" si="46"/>
        <v>0.3</v>
      </c>
      <c r="F208" s="505">
        <f t="shared" si="46"/>
        <v>0.3</v>
      </c>
      <c r="G208" s="443"/>
      <c r="H208" s="1605"/>
      <c r="I208" s="502">
        <v>5</v>
      </c>
      <c r="J208" s="505">
        <f>I49</f>
        <v>35</v>
      </c>
      <c r="K208" s="505">
        <f t="shared" ref="K208:M208" si="47">J49</f>
        <v>-7.7</v>
      </c>
      <c r="L208" s="505">
        <f t="shared" si="47"/>
        <v>-9.6</v>
      </c>
      <c r="M208" s="505">
        <f t="shared" si="47"/>
        <v>0.94999999999999973</v>
      </c>
      <c r="N208" s="443"/>
      <c r="O208" s="501">
        <v>6</v>
      </c>
      <c r="P208" s="506">
        <f>O58</f>
        <v>0.8</v>
      </c>
      <c r="Q208" s="506">
        <f>O59</f>
        <v>2.6</v>
      </c>
    </row>
    <row r="209" spans="1:17" x14ac:dyDescent="0.25">
      <c r="A209" s="1604"/>
      <c r="B209" s="502">
        <v>6</v>
      </c>
      <c r="C209" s="505">
        <f>C60</f>
        <v>15</v>
      </c>
      <c r="D209" s="505">
        <f t="shared" ref="D209:F209" si="48">D60</f>
        <v>0.4</v>
      </c>
      <c r="E209" s="505">
        <f t="shared" si="48"/>
        <v>0.4</v>
      </c>
      <c r="F209" s="505">
        <f t="shared" si="48"/>
        <v>0</v>
      </c>
      <c r="G209" s="443"/>
      <c r="H209" s="1605"/>
      <c r="I209" s="502">
        <v>6</v>
      </c>
      <c r="J209" s="505">
        <f>I60</f>
        <v>30</v>
      </c>
      <c r="K209" s="505">
        <f t="shared" ref="K209:M209" si="49">J60</f>
        <v>-1.5</v>
      </c>
      <c r="L209" s="505">
        <f t="shared" si="49"/>
        <v>-4.9000000000000004</v>
      </c>
      <c r="M209" s="505">
        <f t="shared" si="49"/>
        <v>1.7000000000000002</v>
      </c>
      <c r="N209" s="443"/>
      <c r="O209" s="501">
        <v>7</v>
      </c>
      <c r="P209" s="506">
        <f>O69</f>
        <v>0.3</v>
      </c>
      <c r="Q209" s="506">
        <f>O70</f>
        <v>2.2999999999999998</v>
      </c>
    </row>
    <row r="210" spans="1:17" x14ac:dyDescent="0.25">
      <c r="A210" s="1604"/>
      <c r="B210" s="502">
        <v>7</v>
      </c>
      <c r="C210" s="505">
        <f>C71</f>
        <v>15</v>
      </c>
      <c r="D210" s="505">
        <f t="shared" ref="D210:F210" si="50">D71</f>
        <v>0.3</v>
      </c>
      <c r="E210" s="505">
        <f t="shared" si="50"/>
        <v>0.2</v>
      </c>
      <c r="F210" s="505">
        <f t="shared" si="50"/>
        <v>4.9999999999999989E-2</v>
      </c>
      <c r="G210" s="443"/>
      <c r="H210" s="1605"/>
      <c r="I210" s="502">
        <v>7</v>
      </c>
      <c r="J210" s="505">
        <f>I71</f>
        <v>30</v>
      </c>
      <c r="K210" s="505">
        <f t="shared" ref="K210:M210" si="51">J71</f>
        <v>1.8</v>
      </c>
      <c r="L210" s="505">
        <f t="shared" si="51"/>
        <v>-0.1</v>
      </c>
      <c r="M210" s="505">
        <f t="shared" si="51"/>
        <v>0.95000000000000007</v>
      </c>
      <c r="N210" s="443"/>
      <c r="O210" s="501">
        <v>8</v>
      </c>
      <c r="P210" s="506">
        <f>O80</f>
        <v>0.3</v>
      </c>
      <c r="Q210" s="506">
        <f>O81</f>
        <v>2.6</v>
      </c>
    </row>
    <row r="211" spans="1:17" x14ac:dyDescent="0.25">
      <c r="A211" s="1604"/>
      <c r="B211" s="502">
        <v>8</v>
      </c>
      <c r="C211" s="505">
        <f>C82</f>
        <v>15</v>
      </c>
      <c r="D211" s="505">
        <f t="shared" ref="D211:F211" si="52">D82</f>
        <v>9.9999999999999995E-7</v>
      </c>
      <c r="E211" s="505">
        <f t="shared" si="52"/>
        <v>-0.2</v>
      </c>
      <c r="F211" s="505">
        <f t="shared" si="52"/>
        <v>0.10000050000000001</v>
      </c>
      <c r="G211" s="443"/>
      <c r="H211" s="1605"/>
      <c r="I211" s="502">
        <v>8</v>
      </c>
      <c r="J211" s="505">
        <f>I82</f>
        <v>30</v>
      </c>
      <c r="K211" s="505">
        <f t="shared" ref="K211:M211" si="53">J82</f>
        <v>-1.4</v>
      </c>
      <c r="L211" s="505">
        <f t="shared" si="53"/>
        <v>1</v>
      </c>
      <c r="M211" s="505">
        <f t="shared" si="53"/>
        <v>1.2</v>
      </c>
      <c r="N211" s="443"/>
      <c r="O211" s="501">
        <v>9</v>
      </c>
      <c r="P211" s="506">
        <f>O91</f>
        <v>0.3</v>
      </c>
      <c r="Q211" s="506">
        <f>O92</f>
        <v>2.4</v>
      </c>
    </row>
    <row r="212" spans="1:17" x14ac:dyDescent="0.25">
      <c r="A212" s="1604"/>
      <c r="B212" s="502">
        <v>9</v>
      </c>
      <c r="C212" s="505">
        <f>C93</f>
        <v>15</v>
      </c>
      <c r="D212" s="505">
        <f t="shared" ref="D212:F212" si="54">D93</f>
        <v>9.9999999999999995E-7</v>
      </c>
      <c r="E212" s="505" t="str">
        <f t="shared" si="54"/>
        <v>-</v>
      </c>
      <c r="F212" s="505">
        <f t="shared" si="54"/>
        <v>0</v>
      </c>
      <c r="G212" s="443"/>
      <c r="H212" s="1605"/>
      <c r="I212" s="502">
        <v>9</v>
      </c>
      <c r="J212" s="505">
        <f>I93</f>
        <v>30</v>
      </c>
      <c r="K212" s="505">
        <f t="shared" ref="K212:M212" si="55">J93</f>
        <v>-1.2</v>
      </c>
      <c r="L212" s="505" t="str">
        <f t="shared" si="55"/>
        <v>-</v>
      </c>
      <c r="M212" s="505">
        <f t="shared" si="55"/>
        <v>0</v>
      </c>
      <c r="N212" s="443"/>
      <c r="O212" s="501">
        <v>10</v>
      </c>
      <c r="P212" s="506">
        <f>O102</f>
        <v>0.3</v>
      </c>
      <c r="Q212" s="506">
        <f>O103</f>
        <v>1.5</v>
      </c>
    </row>
    <row r="213" spans="1:17" x14ac:dyDescent="0.25">
      <c r="A213" s="1604"/>
      <c r="B213" s="502">
        <v>10</v>
      </c>
      <c r="C213" s="505">
        <f>C104</f>
        <v>15</v>
      </c>
      <c r="D213" s="505">
        <f t="shared" ref="D213:F213" si="56">D104</f>
        <v>0.2</v>
      </c>
      <c r="E213" s="505">
        <f t="shared" si="56"/>
        <v>0.2</v>
      </c>
      <c r="F213" s="505">
        <f t="shared" si="56"/>
        <v>0</v>
      </c>
      <c r="G213" s="443"/>
      <c r="H213" s="1605"/>
      <c r="I213" s="502">
        <v>10</v>
      </c>
      <c r="J213" s="505">
        <f>I104</f>
        <v>30</v>
      </c>
      <c r="K213" s="505">
        <f t="shared" ref="K213:M213" si="57">J104</f>
        <v>-2.9</v>
      </c>
      <c r="L213" s="505">
        <f t="shared" si="57"/>
        <v>-5.8</v>
      </c>
      <c r="M213" s="505">
        <f t="shared" si="57"/>
        <v>1.45</v>
      </c>
      <c r="N213" s="443"/>
      <c r="O213" s="501">
        <v>11</v>
      </c>
      <c r="P213" s="506">
        <f>O113</f>
        <v>0.3</v>
      </c>
      <c r="Q213" s="506">
        <f>O114</f>
        <v>1.8</v>
      </c>
    </row>
    <row r="214" spans="1:17" x14ac:dyDescent="0.25">
      <c r="A214" s="1604"/>
      <c r="B214" s="502">
        <v>11</v>
      </c>
      <c r="C214" s="505">
        <f>C115</f>
        <v>15</v>
      </c>
      <c r="D214" s="505">
        <f t="shared" ref="D214:F214" si="58">D115</f>
        <v>0.3</v>
      </c>
      <c r="E214" s="505" t="str">
        <f t="shared" si="58"/>
        <v>-</v>
      </c>
      <c r="F214" s="505">
        <f t="shared" si="58"/>
        <v>0</v>
      </c>
      <c r="G214" s="443"/>
      <c r="H214" s="1605"/>
      <c r="I214" s="502">
        <v>11</v>
      </c>
      <c r="J214" s="505">
        <f>I115</f>
        <v>35</v>
      </c>
      <c r="K214" s="505">
        <f t="shared" ref="K214:M214" si="59">J115</f>
        <v>-5.2</v>
      </c>
      <c r="L214" s="505" t="str">
        <f t="shared" si="59"/>
        <v>-</v>
      </c>
      <c r="M214" s="505">
        <f t="shared" si="59"/>
        <v>0</v>
      </c>
      <c r="N214" s="443"/>
      <c r="O214" s="501">
        <v>12</v>
      </c>
      <c r="P214" s="506">
        <f>O124</f>
        <v>0.3</v>
      </c>
      <c r="Q214" s="897">
        <f>O125</f>
        <v>2.7</v>
      </c>
    </row>
    <row r="215" spans="1:17" x14ac:dyDescent="0.25">
      <c r="A215" s="1604"/>
      <c r="B215" s="502">
        <v>12</v>
      </c>
      <c r="C215" s="505">
        <f>C126</f>
        <v>15</v>
      </c>
      <c r="D215" s="505">
        <f t="shared" ref="D215:F215" si="60">D126</f>
        <v>-0.6</v>
      </c>
      <c r="E215" s="505" t="str">
        <f t="shared" si="60"/>
        <v>-</v>
      </c>
      <c r="F215" s="505">
        <f t="shared" si="60"/>
        <v>0</v>
      </c>
      <c r="G215" s="443"/>
      <c r="H215" s="1605"/>
      <c r="I215" s="507">
        <v>12</v>
      </c>
      <c r="J215" s="505">
        <f>I126</f>
        <v>35</v>
      </c>
      <c r="K215" s="505">
        <f t="shared" ref="K215:M215" si="61">J126</f>
        <v>-0.4</v>
      </c>
      <c r="L215" s="505" t="str">
        <f t="shared" si="61"/>
        <v>-</v>
      </c>
      <c r="M215" s="505">
        <f t="shared" si="61"/>
        <v>0</v>
      </c>
      <c r="N215" s="443"/>
      <c r="O215" s="501">
        <v>13</v>
      </c>
      <c r="P215" s="506">
        <f>O135</f>
        <v>0.4</v>
      </c>
      <c r="Q215" s="506">
        <f>O136</f>
        <v>2.2000000000000002</v>
      </c>
    </row>
    <row r="216" spans="1:17" x14ac:dyDescent="0.25">
      <c r="A216" s="1604"/>
      <c r="B216" s="502">
        <v>13</v>
      </c>
      <c r="C216" s="505">
        <f>C137</f>
        <v>15</v>
      </c>
      <c r="D216" s="505">
        <f t="shared" ref="D216:F216" si="62">D137</f>
        <v>-0.2</v>
      </c>
      <c r="E216" s="505" t="str">
        <f t="shared" si="62"/>
        <v>-</v>
      </c>
      <c r="F216" s="505">
        <f t="shared" si="62"/>
        <v>0</v>
      </c>
      <c r="G216" s="443"/>
      <c r="H216" s="1605"/>
      <c r="I216" s="502">
        <v>13</v>
      </c>
      <c r="J216" s="505">
        <f>I137</f>
        <v>35</v>
      </c>
      <c r="K216" s="505">
        <f t="shared" ref="K216:M216" si="63">J137</f>
        <v>0.6</v>
      </c>
      <c r="L216" s="505" t="str">
        <f t="shared" si="63"/>
        <v>-</v>
      </c>
      <c r="M216" s="505">
        <f t="shared" si="63"/>
        <v>0</v>
      </c>
      <c r="N216" s="443"/>
      <c r="O216" s="501">
        <v>14</v>
      </c>
      <c r="P216" s="506">
        <f>O146</f>
        <v>0.3</v>
      </c>
      <c r="Q216" s="506">
        <f>O147</f>
        <v>2.7</v>
      </c>
    </row>
    <row r="217" spans="1:17" x14ac:dyDescent="0.25">
      <c r="A217" s="1604"/>
      <c r="B217" s="502">
        <v>14</v>
      </c>
      <c r="C217" s="505">
        <f>C148</f>
        <v>15</v>
      </c>
      <c r="D217" s="505">
        <f t="shared" ref="D217:F217" si="64">D148</f>
        <v>-0.7</v>
      </c>
      <c r="E217" s="505" t="str">
        <f t="shared" si="64"/>
        <v>-</v>
      </c>
      <c r="F217" s="505">
        <f t="shared" si="64"/>
        <v>0</v>
      </c>
      <c r="G217" s="443"/>
      <c r="H217" s="1605"/>
      <c r="I217" s="502">
        <v>14</v>
      </c>
      <c r="J217" s="505">
        <f>I148</f>
        <v>35</v>
      </c>
      <c r="K217" s="505">
        <f t="shared" ref="K217:M217" si="65">J148</f>
        <v>-1.4</v>
      </c>
      <c r="L217" s="505" t="str">
        <f t="shared" si="65"/>
        <v>-</v>
      </c>
      <c r="M217" s="505">
        <f t="shared" si="65"/>
        <v>0</v>
      </c>
      <c r="N217" s="443"/>
      <c r="O217" s="501">
        <v>15</v>
      </c>
      <c r="P217" s="506">
        <f>O157</f>
        <v>0.3</v>
      </c>
      <c r="Q217" s="506">
        <f>O158</f>
        <v>2.8</v>
      </c>
    </row>
    <row r="218" spans="1:17" x14ac:dyDescent="0.25">
      <c r="A218" s="1604"/>
      <c r="B218" s="502">
        <v>15</v>
      </c>
      <c r="C218" s="505">
        <f>C159</f>
        <v>15</v>
      </c>
      <c r="D218" s="505">
        <f t="shared" ref="D218:F218" si="66">D159</f>
        <v>0.1</v>
      </c>
      <c r="E218" s="505" t="str">
        <f t="shared" si="66"/>
        <v>-</v>
      </c>
      <c r="F218" s="505">
        <f t="shared" si="66"/>
        <v>0</v>
      </c>
      <c r="G218" s="443"/>
      <c r="H218" s="1605"/>
      <c r="I218" s="502">
        <v>15</v>
      </c>
      <c r="J218" s="505">
        <f>I159</f>
        <v>30</v>
      </c>
      <c r="K218" s="505">
        <f t="shared" ref="K218:M218" si="67">J159</f>
        <v>0.1</v>
      </c>
      <c r="L218" s="505" t="str">
        <f t="shared" si="67"/>
        <v>-</v>
      </c>
      <c r="M218" s="505">
        <f t="shared" si="67"/>
        <v>0</v>
      </c>
      <c r="N218" s="443"/>
      <c r="O218" s="501">
        <v>16</v>
      </c>
      <c r="P218" s="506">
        <f>O168</f>
        <v>0.4</v>
      </c>
      <c r="Q218" s="898">
        <f>O169</f>
        <v>2.2000000000000002</v>
      </c>
    </row>
    <row r="219" spans="1:17" x14ac:dyDescent="0.25">
      <c r="A219" s="1604"/>
      <c r="B219" s="502">
        <v>16</v>
      </c>
      <c r="C219" s="505">
        <f>C170</f>
        <v>15</v>
      </c>
      <c r="D219" s="505">
        <f t="shared" ref="D219:F219" si="68">D170</f>
        <v>0.1</v>
      </c>
      <c r="E219" s="505" t="str">
        <f t="shared" si="68"/>
        <v>-</v>
      </c>
      <c r="F219" s="505">
        <f t="shared" si="68"/>
        <v>0</v>
      </c>
      <c r="G219" s="443"/>
      <c r="H219" s="1605"/>
      <c r="I219" s="502">
        <v>16</v>
      </c>
      <c r="J219" s="505">
        <f>I170</f>
        <v>30</v>
      </c>
      <c r="K219" s="505">
        <f t="shared" ref="K219:M219" si="69">J170</f>
        <v>-1.6</v>
      </c>
      <c r="L219" s="505" t="str">
        <f t="shared" si="69"/>
        <v>-</v>
      </c>
      <c r="M219" s="505">
        <f t="shared" si="69"/>
        <v>0</v>
      </c>
      <c r="N219" s="443"/>
      <c r="O219" s="501">
        <v>17</v>
      </c>
      <c r="P219" s="506">
        <f>O179</f>
        <v>0.3</v>
      </c>
      <c r="Q219" s="898">
        <f>O180</f>
        <v>1.6</v>
      </c>
    </row>
    <row r="220" spans="1:17" x14ac:dyDescent="0.25">
      <c r="A220" s="1604"/>
      <c r="B220" s="502">
        <v>17</v>
      </c>
      <c r="C220" s="505">
        <f>C181</f>
        <v>15</v>
      </c>
      <c r="D220" s="505">
        <f t="shared" ref="D220:F220" si="70">D181</f>
        <v>9.9999999999999995E-7</v>
      </c>
      <c r="E220" s="505" t="str">
        <f t="shared" si="70"/>
        <v>-</v>
      </c>
      <c r="F220" s="505">
        <f t="shared" si="70"/>
        <v>0</v>
      </c>
      <c r="G220" s="443"/>
      <c r="H220" s="1605"/>
      <c r="I220" s="502">
        <v>17</v>
      </c>
      <c r="J220" s="505">
        <f>I181</f>
        <v>30</v>
      </c>
      <c r="K220" s="505">
        <f t="shared" ref="K220:M220" si="71">J181</f>
        <v>-0.4</v>
      </c>
      <c r="L220" s="505" t="str">
        <f t="shared" si="71"/>
        <v>-</v>
      </c>
      <c r="M220" s="505">
        <f t="shared" si="71"/>
        <v>0</v>
      </c>
      <c r="N220" s="443"/>
      <c r="O220" s="501">
        <v>18</v>
      </c>
      <c r="P220" s="506">
        <f>O190</f>
        <v>0.3</v>
      </c>
      <c r="Q220" s="898">
        <f>O191</f>
        <v>2</v>
      </c>
    </row>
    <row r="221" spans="1:17" x14ac:dyDescent="0.25">
      <c r="A221" s="1604"/>
      <c r="B221" s="502">
        <v>18</v>
      </c>
      <c r="C221" s="505">
        <f>C192</f>
        <v>15</v>
      </c>
      <c r="D221" s="505">
        <f t="shared" ref="D221:F221" si="72">D192</f>
        <v>9.9999999999999995E-7</v>
      </c>
      <c r="E221" s="505" t="str">
        <f t="shared" si="72"/>
        <v>-</v>
      </c>
      <c r="F221" s="505">
        <f t="shared" si="72"/>
        <v>0</v>
      </c>
      <c r="G221" s="443"/>
      <c r="H221" s="1605"/>
      <c r="I221" s="502">
        <v>18</v>
      </c>
      <c r="J221" s="505">
        <f>I192</f>
        <v>30</v>
      </c>
      <c r="K221" s="505">
        <f t="shared" ref="K221:M221" si="73">J192</f>
        <v>-0.4</v>
      </c>
      <c r="L221" s="505" t="str">
        <f t="shared" si="73"/>
        <v>-</v>
      </c>
      <c r="M221" s="505">
        <f t="shared" si="73"/>
        <v>0</v>
      </c>
      <c r="N221" s="443"/>
      <c r="O221" s="501">
        <v>19</v>
      </c>
      <c r="P221" s="508"/>
      <c r="Q221" s="508"/>
    </row>
    <row r="222" spans="1:17" x14ac:dyDescent="0.25">
      <c r="A222" s="509"/>
      <c r="B222" s="510"/>
      <c r="C222" s="511"/>
      <c r="D222" s="511"/>
      <c r="E222" s="511"/>
      <c r="F222" s="512"/>
      <c r="G222" s="513"/>
      <c r="H222" s="514"/>
      <c r="I222" s="514"/>
      <c r="J222" s="515"/>
      <c r="K222" s="515"/>
      <c r="L222" s="515"/>
      <c r="M222" s="515"/>
      <c r="N222" s="513"/>
      <c r="O222" s="513"/>
      <c r="P222" s="513"/>
    </row>
    <row r="223" spans="1:17" x14ac:dyDescent="0.25">
      <c r="A223" s="1604" t="s">
        <v>238</v>
      </c>
      <c r="B223" s="502">
        <v>1</v>
      </c>
      <c r="C223" s="505">
        <f>C6</f>
        <v>20</v>
      </c>
      <c r="D223" s="505">
        <f t="shared" ref="D223:F223" si="74">D6</f>
        <v>-0.2</v>
      </c>
      <c r="E223" s="505">
        <f t="shared" si="74"/>
        <v>0.2</v>
      </c>
      <c r="F223" s="505">
        <f t="shared" si="74"/>
        <v>0.2</v>
      </c>
      <c r="G223" s="443"/>
      <c r="H223" s="1605" t="s">
        <v>238</v>
      </c>
      <c r="I223" s="502">
        <v>1</v>
      </c>
      <c r="J223" s="505">
        <f>I6</f>
        <v>40</v>
      </c>
      <c r="K223" s="505">
        <f t="shared" ref="K223:M223" si="75">J50</f>
        <v>-7.2</v>
      </c>
      <c r="L223" s="505">
        <f t="shared" si="75"/>
        <v>-8</v>
      </c>
      <c r="M223" s="505">
        <f t="shared" si="75"/>
        <v>0.39999999999999991</v>
      </c>
      <c r="N223" s="443"/>
      <c r="O223" s="1608" t="s">
        <v>137</v>
      </c>
      <c r="P223" s="1609"/>
    </row>
    <row r="224" spans="1:17" x14ac:dyDescent="0.25">
      <c r="A224" s="1604"/>
      <c r="B224" s="502">
        <v>2</v>
      </c>
      <c r="C224" s="505">
        <f>C17</f>
        <v>20</v>
      </c>
      <c r="D224" s="505">
        <f t="shared" ref="D224:F224" si="76">D17</f>
        <v>-0.1</v>
      </c>
      <c r="E224" s="505">
        <f t="shared" si="76"/>
        <v>0</v>
      </c>
      <c r="F224" s="505">
        <f t="shared" si="76"/>
        <v>0.05</v>
      </c>
      <c r="G224" s="443"/>
      <c r="H224" s="1605"/>
      <c r="I224" s="502">
        <v>2</v>
      </c>
      <c r="J224" s="505">
        <f>I17</f>
        <v>40</v>
      </c>
      <c r="K224" s="505">
        <f t="shared" ref="K224:M224" si="77">J17</f>
        <v>-1.6</v>
      </c>
      <c r="L224" s="505">
        <f t="shared" si="77"/>
        <v>-1.1000000000000001</v>
      </c>
      <c r="M224" s="505">
        <f t="shared" si="77"/>
        <v>0.25</v>
      </c>
      <c r="N224" s="443"/>
      <c r="O224" s="1610" t="s">
        <v>516</v>
      </c>
      <c r="P224" s="1611"/>
    </row>
    <row r="225" spans="1:15" x14ac:dyDescent="0.25">
      <c r="A225" s="1604"/>
      <c r="B225" s="502">
        <v>3</v>
      </c>
      <c r="C225" s="503">
        <f>C28</f>
        <v>20</v>
      </c>
      <c r="D225" s="503">
        <f t="shared" ref="D225:F225" si="78">D28</f>
        <v>0</v>
      </c>
      <c r="E225" s="503">
        <f t="shared" si="78"/>
        <v>0</v>
      </c>
      <c r="F225" s="503">
        <f t="shared" si="78"/>
        <v>0</v>
      </c>
      <c r="G225" s="443"/>
      <c r="H225" s="1605"/>
      <c r="I225" s="502">
        <v>3</v>
      </c>
      <c r="J225" s="503">
        <f>I28</f>
        <v>40</v>
      </c>
      <c r="K225" s="503">
        <f t="shared" ref="K225:M225" si="79">J28</f>
        <v>-5.3</v>
      </c>
      <c r="L225" s="503">
        <f t="shared" si="79"/>
        <v>-1.9</v>
      </c>
      <c r="M225" s="503">
        <f t="shared" si="79"/>
        <v>1.7</v>
      </c>
      <c r="N225" s="443"/>
      <c r="O225" s="501">
        <v>1</v>
      </c>
    </row>
    <row r="226" spans="1:15" x14ac:dyDescent="0.25">
      <c r="A226" s="1604"/>
      <c r="B226" s="502">
        <v>4</v>
      </c>
      <c r="C226" s="503">
        <f>C39</f>
        <v>20</v>
      </c>
      <c r="D226" s="503">
        <f t="shared" ref="D226:F226" si="80">D39</f>
        <v>-0.3</v>
      </c>
      <c r="E226" s="503">
        <f t="shared" si="80"/>
        <v>0</v>
      </c>
      <c r="F226" s="503">
        <f t="shared" si="80"/>
        <v>0.15</v>
      </c>
      <c r="G226" s="443"/>
      <c r="H226" s="1605"/>
      <c r="I226" s="502">
        <v>4</v>
      </c>
      <c r="J226" s="503">
        <f>I39</f>
        <v>40</v>
      </c>
      <c r="K226" s="503">
        <f t="shared" ref="K226:M226" si="81">J39</f>
        <v>-1.5</v>
      </c>
      <c r="L226" s="503">
        <f t="shared" si="81"/>
        <v>-0.9</v>
      </c>
      <c r="M226" s="503">
        <f t="shared" si="81"/>
        <v>0.3</v>
      </c>
      <c r="N226" s="443"/>
      <c r="O226" s="504">
        <v>2</v>
      </c>
    </row>
    <row r="227" spans="1:15" x14ac:dyDescent="0.25">
      <c r="A227" s="1604"/>
      <c r="B227" s="502">
        <v>5</v>
      </c>
      <c r="C227" s="503">
        <f>C50</f>
        <v>20</v>
      </c>
      <c r="D227" s="503">
        <f t="shared" ref="D227:F227" si="82">D50</f>
        <v>0.1</v>
      </c>
      <c r="E227" s="503">
        <f t="shared" si="82"/>
        <v>0.3</v>
      </c>
      <c r="F227" s="503">
        <f t="shared" si="82"/>
        <v>9.9999999999999992E-2</v>
      </c>
      <c r="G227" s="443"/>
      <c r="H227" s="1605"/>
      <c r="I227" s="502">
        <v>5</v>
      </c>
      <c r="J227" s="503">
        <f>I50</f>
        <v>40</v>
      </c>
      <c r="K227" s="503">
        <f t="shared" ref="K227:M227" si="83">J50</f>
        <v>-7.2</v>
      </c>
      <c r="L227" s="503">
        <f t="shared" si="83"/>
        <v>-8</v>
      </c>
      <c r="M227" s="503">
        <f t="shared" si="83"/>
        <v>0.39999999999999991</v>
      </c>
      <c r="N227" s="443"/>
      <c r="O227" s="504">
        <v>3</v>
      </c>
    </row>
    <row r="228" spans="1:15" x14ac:dyDescent="0.25">
      <c r="A228" s="1604"/>
      <c r="B228" s="502">
        <v>6</v>
      </c>
      <c r="C228" s="503">
        <f>C61</f>
        <v>20</v>
      </c>
      <c r="D228" s="503">
        <f t="shared" ref="D228:F228" si="84">D61</f>
        <v>0.3</v>
      </c>
      <c r="E228" s="503">
        <f t="shared" si="84"/>
        <v>0.2</v>
      </c>
      <c r="F228" s="503">
        <f t="shared" si="84"/>
        <v>4.9999999999999989E-2</v>
      </c>
      <c r="G228" s="443"/>
      <c r="H228" s="1605"/>
      <c r="I228" s="502">
        <v>6</v>
      </c>
      <c r="J228" s="503">
        <f>I61</f>
        <v>40</v>
      </c>
      <c r="K228" s="503">
        <f t="shared" ref="K228:M228" si="85">J61</f>
        <v>-3.8</v>
      </c>
      <c r="L228" s="503">
        <f t="shared" si="85"/>
        <v>-3.4</v>
      </c>
      <c r="M228" s="503">
        <f t="shared" si="85"/>
        <v>0.19999999999999996</v>
      </c>
      <c r="N228" s="443"/>
      <c r="O228" s="504">
        <v>4</v>
      </c>
    </row>
    <row r="229" spans="1:15" x14ac:dyDescent="0.25">
      <c r="A229" s="1604"/>
      <c r="B229" s="502">
        <v>7</v>
      </c>
      <c r="C229" s="503">
        <f>C72</f>
        <v>20</v>
      </c>
      <c r="D229" s="503">
        <f t="shared" ref="D229:F229" si="86">D72</f>
        <v>0.1</v>
      </c>
      <c r="E229" s="503">
        <f t="shared" si="86"/>
        <v>0.1</v>
      </c>
      <c r="F229" s="503">
        <f t="shared" si="86"/>
        <v>0</v>
      </c>
      <c r="G229" s="443"/>
      <c r="H229" s="1605"/>
      <c r="I229" s="502">
        <v>7</v>
      </c>
      <c r="J229" s="503">
        <f>I72</f>
        <v>40</v>
      </c>
      <c r="K229" s="503">
        <f t="shared" ref="K229:M229" si="87">J72</f>
        <v>1.2</v>
      </c>
      <c r="L229" s="503">
        <f t="shared" si="87"/>
        <v>0</v>
      </c>
      <c r="M229" s="503">
        <f t="shared" si="87"/>
        <v>0.6</v>
      </c>
      <c r="N229" s="443"/>
      <c r="O229" s="504">
        <v>5</v>
      </c>
    </row>
    <row r="230" spans="1:15" x14ac:dyDescent="0.25">
      <c r="A230" s="1604"/>
      <c r="B230" s="502">
        <v>8</v>
      </c>
      <c r="C230" s="503">
        <f>C83</f>
        <v>20</v>
      </c>
      <c r="D230" s="503">
        <f t="shared" ref="D230:F230" si="88">D83</f>
        <v>-0.2</v>
      </c>
      <c r="E230" s="503">
        <f t="shared" si="88"/>
        <v>-0.2</v>
      </c>
      <c r="F230" s="503">
        <f t="shared" si="88"/>
        <v>0</v>
      </c>
      <c r="G230" s="443"/>
      <c r="H230" s="1605"/>
      <c r="I230" s="502">
        <v>8</v>
      </c>
      <c r="J230" s="503">
        <f>I83</f>
        <v>40</v>
      </c>
      <c r="K230" s="503">
        <f t="shared" ref="K230:M230" si="89">J83</f>
        <v>-1.2</v>
      </c>
      <c r="L230" s="503">
        <f t="shared" si="89"/>
        <v>1.1000000000000001</v>
      </c>
      <c r="M230" s="503">
        <f t="shared" si="89"/>
        <v>1.1499999999999999</v>
      </c>
      <c r="N230" s="443"/>
      <c r="O230" s="501">
        <v>6</v>
      </c>
    </row>
    <row r="231" spans="1:15" x14ac:dyDescent="0.25">
      <c r="A231" s="1604"/>
      <c r="B231" s="502">
        <v>9</v>
      </c>
      <c r="C231" s="503">
        <f>C94</f>
        <v>20</v>
      </c>
      <c r="D231" s="503">
        <f t="shared" ref="D231:F231" si="90">D94</f>
        <v>-0.2</v>
      </c>
      <c r="E231" s="503" t="str">
        <f t="shared" si="90"/>
        <v>-</v>
      </c>
      <c r="F231" s="503">
        <f t="shared" si="90"/>
        <v>0</v>
      </c>
      <c r="G231" s="443"/>
      <c r="H231" s="1605"/>
      <c r="I231" s="502">
        <v>9</v>
      </c>
      <c r="J231" s="503">
        <f>I94</f>
        <v>40</v>
      </c>
      <c r="K231" s="503">
        <f t="shared" ref="K231:M231" si="91">J94</f>
        <v>-1</v>
      </c>
      <c r="L231" s="503" t="str">
        <f t="shared" si="91"/>
        <v>-</v>
      </c>
      <c r="M231" s="503">
        <f t="shared" si="91"/>
        <v>0</v>
      </c>
      <c r="N231" s="443"/>
      <c r="O231" s="501">
        <v>7</v>
      </c>
    </row>
    <row r="232" spans="1:15" x14ac:dyDescent="0.25">
      <c r="A232" s="1604"/>
      <c r="B232" s="502">
        <v>10</v>
      </c>
      <c r="C232" s="503">
        <f>C105</f>
        <v>20</v>
      </c>
      <c r="D232" s="503">
        <f t="shared" ref="D232:F232" si="92">D105</f>
        <v>0.2</v>
      </c>
      <c r="E232" s="503">
        <f t="shared" si="92"/>
        <v>-0.7</v>
      </c>
      <c r="F232" s="503">
        <f t="shared" si="92"/>
        <v>0.44999999999999996</v>
      </c>
      <c r="G232" s="443"/>
      <c r="H232" s="1605"/>
      <c r="I232" s="502">
        <v>10</v>
      </c>
      <c r="J232" s="503">
        <f>I105</f>
        <v>40</v>
      </c>
      <c r="K232" s="503">
        <f t="shared" ref="K232:M232" si="93">J105</f>
        <v>-3.3</v>
      </c>
      <c r="L232" s="503">
        <f t="shared" si="93"/>
        <v>-6.4</v>
      </c>
      <c r="M232" s="503">
        <f t="shared" si="93"/>
        <v>1.5500000000000003</v>
      </c>
      <c r="N232" s="443"/>
      <c r="O232" s="501">
        <v>8</v>
      </c>
    </row>
    <row r="233" spans="1:15" x14ac:dyDescent="0.25">
      <c r="A233" s="1604"/>
      <c r="B233" s="502">
        <v>11</v>
      </c>
      <c r="C233" s="503">
        <f>C116</f>
        <v>20</v>
      </c>
      <c r="D233" s="503">
        <f t="shared" ref="D233:F233" si="94">D116</f>
        <v>0.4</v>
      </c>
      <c r="E233" s="503" t="str">
        <f t="shared" si="94"/>
        <v>-</v>
      </c>
      <c r="F233" s="503">
        <f t="shared" si="94"/>
        <v>0</v>
      </c>
      <c r="G233" s="443"/>
      <c r="H233" s="1605"/>
      <c r="I233" s="502">
        <v>11</v>
      </c>
      <c r="J233" s="503">
        <f>I116</f>
        <v>40</v>
      </c>
      <c r="K233" s="503">
        <f t="shared" ref="K233:M233" si="95">J116</f>
        <v>-5.5</v>
      </c>
      <c r="L233" s="503" t="str">
        <f t="shared" si="95"/>
        <v>-</v>
      </c>
      <c r="M233" s="503">
        <f t="shared" si="95"/>
        <v>0</v>
      </c>
      <c r="N233" s="443"/>
      <c r="O233" s="501">
        <v>9</v>
      </c>
    </row>
    <row r="234" spans="1:15" x14ac:dyDescent="0.25">
      <c r="A234" s="1604"/>
      <c r="B234" s="502">
        <v>12</v>
      </c>
      <c r="C234" s="503">
        <f>C127</f>
        <v>20</v>
      </c>
      <c r="D234" s="503">
        <f t="shared" ref="D234:F234" si="96">D127</f>
        <v>-0.5</v>
      </c>
      <c r="E234" s="503" t="str">
        <f t="shared" si="96"/>
        <v>-</v>
      </c>
      <c r="F234" s="503">
        <f t="shared" si="96"/>
        <v>0</v>
      </c>
      <c r="G234" s="443"/>
      <c r="H234" s="1605"/>
      <c r="I234" s="502">
        <v>12</v>
      </c>
      <c r="J234" s="503">
        <f>I127</f>
        <v>40</v>
      </c>
      <c r="K234" s="503">
        <f t="shared" ref="K234:M234" si="97">J127</f>
        <v>-0.3</v>
      </c>
      <c r="L234" s="503" t="str">
        <f t="shared" si="97"/>
        <v>-</v>
      </c>
      <c r="M234" s="503">
        <f t="shared" si="97"/>
        <v>0</v>
      </c>
      <c r="N234" s="443"/>
      <c r="O234" s="501">
        <v>10</v>
      </c>
    </row>
    <row r="235" spans="1:15" x14ac:dyDescent="0.25">
      <c r="A235" s="1604"/>
      <c r="B235" s="502">
        <v>13</v>
      </c>
      <c r="C235" s="503">
        <f>C138</f>
        <v>20</v>
      </c>
      <c r="D235" s="503">
        <f t="shared" ref="D235:F235" si="98">D138</f>
        <v>-0.1</v>
      </c>
      <c r="E235" s="503" t="str">
        <f t="shared" si="98"/>
        <v>-</v>
      </c>
      <c r="F235" s="503">
        <f t="shared" si="98"/>
        <v>0</v>
      </c>
      <c r="G235" s="443"/>
      <c r="H235" s="1605"/>
      <c r="I235" s="502">
        <v>13</v>
      </c>
      <c r="J235" s="503">
        <f>I138</f>
        <v>40</v>
      </c>
      <c r="K235" s="503">
        <f t="shared" ref="K235:M235" si="99">J138</f>
        <v>0.3</v>
      </c>
      <c r="L235" s="503" t="str">
        <f t="shared" si="99"/>
        <v>-</v>
      </c>
      <c r="M235" s="503">
        <f t="shared" si="99"/>
        <v>0</v>
      </c>
      <c r="N235" s="443"/>
      <c r="O235" s="501">
        <v>11</v>
      </c>
    </row>
    <row r="236" spans="1:15" x14ac:dyDescent="0.25">
      <c r="A236" s="1604"/>
      <c r="B236" s="502">
        <v>14</v>
      </c>
      <c r="C236" s="503">
        <f>C149</f>
        <v>20</v>
      </c>
      <c r="D236" s="503">
        <f t="shared" ref="D236:F236" si="100">D149</f>
        <v>-0.4</v>
      </c>
      <c r="E236" s="503" t="str">
        <f t="shared" si="100"/>
        <v>-</v>
      </c>
      <c r="F236" s="503">
        <f t="shared" si="100"/>
        <v>0</v>
      </c>
      <c r="G236" s="443"/>
      <c r="H236" s="1605"/>
      <c r="I236" s="502">
        <v>14</v>
      </c>
      <c r="J236" s="503">
        <f>I149</f>
        <v>40</v>
      </c>
      <c r="K236" s="503">
        <f t="shared" ref="K236:M236" si="101">J149</f>
        <v>-1.3</v>
      </c>
      <c r="L236" s="503" t="str">
        <f t="shared" si="101"/>
        <v>-</v>
      </c>
      <c r="M236" s="503">
        <f t="shared" si="101"/>
        <v>0</v>
      </c>
      <c r="N236" s="443"/>
      <c r="O236" s="501">
        <v>12</v>
      </c>
    </row>
    <row r="237" spans="1:15" x14ac:dyDescent="0.25">
      <c r="A237" s="1604"/>
      <c r="B237" s="502">
        <v>15</v>
      </c>
      <c r="C237" s="503">
        <f>C160</f>
        <v>20</v>
      </c>
      <c r="D237" s="503">
        <f t="shared" ref="D237:F237" si="102">D160</f>
        <v>0.1</v>
      </c>
      <c r="E237" s="503" t="str">
        <f t="shared" si="102"/>
        <v>-</v>
      </c>
      <c r="F237" s="503">
        <f t="shared" si="102"/>
        <v>0</v>
      </c>
      <c r="G237" s="443"/>
      <c r="H237" s="1605"/>
      <c r="I237" s="502">
        <v>15</v>
      </c>
      <c r="J237" s="503">
        <f>I160</f>
        <v>40</v>
      </c>
      <c r="K237" s="503">
        <f t="shared" ref="K237:M237" si="103">J160</f>
        <v>0.2</v>
      </c>
      <c r="L237" s="503" t="str">
        <f t="shared" si="103"/>
        <v>-</v>
      </c>
      <c r="M237" s="503">
        <f t="shared" si="103"/>
        <v>0</v>
      </c>
      <c r="N237" s="443"/>
      <c r="O237" s="501">
        <v>13</v>
      </c>
    </row>
    <row r="238" spans="1:15" x14ac:dyDescent="0.25">
      <c r="A238" s="1604"/>
      <c r="B238" s="502">
        <v>16</v>
      </c>
      <c r="C238" s="503">
        <f>C171</f>
        <v>20</v>
      </c>
      <c r="D238" s="503">
        <f t="shared" ref="D238:F238" si="104">D171</f>
        <v>0.2</v>
      </c>
      <c r="E238" s="503" t="str">
        <f t="shared" si="104"/>
        <v>-</v>
      </c>
      <c r="F238" s="503">
        <f t="shared" si="104"/>
        <v>0</v>
      </c>
      <c r="G238" s="443"/>
      <c r="H238" s="1605"/>
      <c r="I238" s="502">
        <v>16</v>
      </c>
      <c r="J238" s="503">
        <f>I171</f>
        <v>40</v>
      </c>
      <c r="K238" s="503">
        <f t="shared" ref="K238:M238" si="105">J171</f>
        <v>-1.4</v>
      </c>
      <c r="L238" s="503" t="str">
        <f t="shared" si="105"/>
        <v>-</v>
      </c>
      <c r="M238" s="503">
        <f t="shared" si="105"/>
        <v>0</v>
      </c>
      <c r="N238" s="443"/>
      <c r="O238" s="501">
        <v>14</v>
      </c>
    </row>
    <row r="239" spans="1:15" x14ac:dyDescent="0.25">
      <c r="A239" s="1604"/>
      <c r="B239" s="502">
        <v>17</v>
      </c>
      <c r="C239" s="503">
        <f>C182</f>
        <v>20</v>
      </c>
      <c r="D239" s="503">
        <f t="shared" ref="D239:F239" si="106">D182</f>
        <v>-0.1</v>
      </c>
      <c r="E239" s="503" t="str">
        <f t="shared" si="106"/>
        <v>-</v>
      </c>
      <c r="F239" s="503">
        <f t="shared" si="106"/>
        <v>0</v>
      </c>
      <c r="G239" s="443"/>
      <c r="H239" s="1605"/>
      <c r="I239" s="502">
        <v>17</v>
      </c>
      <c r="J239" s="503">
        <f>I182</f>
        <v>40</v>
      </c>
      <c r="K239" s="503">
        <f t="shared" ref="K239:M239" si="107">J182</f>
        <v>-0.2</v>
      </c>
      <c r="L239" s="503" t="str">
        <f t="shared" si="107"/>
        <v>-</v>
      </c>
      <c r="M239" s="503">
        <f t="shared" si="107"/>
        <v>0</v>
      </c>
      <c r="N239" s="443"/>
      <c r="O239" s="516">
        <v>15</v>
      </c>
    </row>
    <row r="240" spans="1:15" x14ac:dyDescent="0.25">
      <c r="A240" s="1604"/>
      <c r="B240" s="502">
        <v>18</v>
      </c>
      <c r="C240" s="503">
        <f>C193</f>
        <v>20</v>
      </c>
      <c r="D240" s="503">
        <f t="shared" ref="D240:F240" si="108">D193</f>
        <v>9.9999999999999995E-7</v>
      </c>
      <c r="E240" s="503" t="str">
        <f t="shared" si="108"/>
        <v>-</v>
      </c>
      <c r="F240" s="503">
        <f t="shared" si="108"/>
        <v>0</v>
      </c>
      <c r="G240" s="443"/>
      <c r="H240" s="1605"/>
      <c r="I240" s="502">
        <v>18</v>
      </c>
      <c r="J240" s="503">
        <f>I193</f>
        <v>40</v>
      </c>
      <c r="K240" s="503">
        <f t="shared" ref="K240:M240" si="109">J193</f>
        <v>-0.1</v>
      </c>
      <c r="L240" s="503" t="str">
        <f t="shared" si="109"/>
        <v>-</v>
      </c>
      <c r="M240" s="503">
        <f t="shared" si="109"/>
        <v>0</v>
      </c>
      <c r="N240" s="443"/>
      <c r="O240" s="501">
        <v>16</v>
      </c>
    </row>
    <row r="241" spans="1:16" x14ac:dyDescent="0.25">
      <c r="A241" s="509"/>
      <c r="B241" s="510"/>
      <c r="C241" s="517"/>
      <c r="D241" s="517"/>
      <c r="E241" s="517"/>
      <c r="F241" s="518"/>
      <c r="G241" s="513"/>
      <c r="H241" s="509"/>
      <c r="I241" s="510"/>
      <c r="J241" s="517"/>
      <c r="K241" s="517"/>
      <c r="L241" s="517"/>
      <c r="M241" s="518"/>
      <c r="N241" s="443"/>
      <c r="O241" s="516">
        <v>17</v>
      </c>
    </row>
    <row r="242" spans="1:16" x14ac:dyDescent="0.25">
      <c r="A242" s="1604" t="s">
        <v>239</v>
      </c>
      <c r="B242" s="502">
        <v>1</v>
      </c>
      <c r="C242" s="503">
        <f>C7</f>
        <v>25</v>
      </c>
      <c r="D242" s="503">
        <f t="shared" ref="D242:F242" si="110">D7</f>
        <v>0</v>
      </c>
      <c r="E242" s="503">
        <f t="shared" si="110"/>
        <v>0.1</v>
      </c>
      <c r="F242" s="503">
        <f t="shared" si="110"/>
        <v>0.05</v>
      </c>
      <c r="G242" s="443"/>
      <c r="H242" s="1605" t="s">
        <v>239</v>
      </c>
      <c r="I242" s="502">
        <v>1</v>
      </c>
      <c r="J242" s="503">
        <f>I7</f>
        <v>50</v>
      </c>
      <c r="K242" s="503">
        <f t="shared" ref="K242:M242" si="111">J7</f>
        <v>-5.3</v>
      </c>
      <c r="L242" s="503">
        <f t="shared" si="111"/>
        <v>-7.2</v>
      </c>
      <c r="M242" s="503">
        <f t="shared" si="111"/>
        <v>0.95000000000000018</v>
      </c>
      <c r="N242" s="443"/>
      <c r="O242" s="501">
        <v>18</v>
      </c>
    </row>
    <row r="243" spans="1:16" x14ac:dyDescent="0.25">
      <c r="A243" s="1604"/>
      <c r="B243" s="502">
        <v>2</v>
      </c>
      <c r="C243" s="503">
        <f>C18</f>
        <v>25</v>
      </c>
      <c r="D243" s="503">
        <f t="shared" ref="D243:F243" si="112">D18</f>
        <v>-0.2</v>
      </c>
      <c r="E243" s="503">
        <f t="shared" si="112"/>
        <v>-0.5</v>
      </c>
      <c r="F243" s="503">
        <f t="shared" si="112"/>
        <v>0.15</v>
      </c>
      <c r="G243" s="443"/>
      <c r="H243" s="1605"/>
      <c r="I243" s="502">
        <v>2</v>
      </c>
      <c r="J243" s="503">
        <f>I18</f>
        <v>50</v>
      </c>
      <c r="K243" s="503">
        <f t="shared" ref="K243:M243" si="113">J18</f>
        <v>-1.5</v>
      </c>
      <c r="L243" s="503">
        <f t="shared" si="113"/>
        <v>-1.4</v>
      </c>
      <c r="M243" s="503">
        <f t="shared" si="113"/>
        <v>5.0000000000000044E-2</v>
      </c>
      <c r="N243" s="443"/>
    </row>
    <row r="244" spans="1:16" x14ac:dyDescent="0.25">
      <c r="A244" s="1604"/>
      <c r="B244" s="502">
        <v>3</v>
      </c>
      <c r="C244" s="503">
        <f>C29</f>
        <v>25</v>
      </c>
      <c r="D244" s="503">
        <f t="shared" ref="D244:F244" si="114">D29</f>
        <v>-0.1</v>
      </c>
      <c r="E244" s="503">
        <f t="shared" si="114"/>
        <v>-0.2</v>
      </c>
      <c r="F244" s="503">
        <f t="shared" si="114"/>
        <v>0.05</v>
      </c>
      <c r="G244" s="443"/>
      <c r="H244" s="1605"/>
      <c r="I244" s="502">
        <v>3</v>
      </c>
      <c r="J244" s="503">
        <f>I29</f>
        <v>50</v>
      </c>
      <c r="K244" s="503">
        <f t="shared" ref="K244:M244" si="115">J29</f>
        <v>-4.9000000000000004</v>
      </c>
      <c r="L244" s="503">
        <f t="shared" si="115"/>
        <v>-2.2999999999999998</v>
      </c>
      <c r="M244" s="503">
        <f t="shared" si="115"/>
        <v>1.3000000000000003</v>
      </c>
      <c r="N244" s="443"/>
      <c r="O244" s="443"/>
      <c r="P244" s="443"/>
    </row>
    <row r="245" spans="1:16" x14ac:dyDescent="0.25">
      <c r="A245" s="1604"/>
      <c r="B245" s="502">
        <v>4</v>
      </c>
      <c r="C245" s="503">
        <f>C40</f>
        <v>25</v>
      </c>
      <c r="D245" s="503">
        <f t="shared" ref="D245:F245" si="116">D40</f>
        <v>-0.5</v>
      </c>
      <c r="E245" s="503">
        <f t="shared" si="116"/>
        <v>-0.5</v>
      </c>
      <c r="F245" s="503">
        <f t="shared" si="116"/>
        <v>0</v>
      </c>
      <c r="G245" s="443"/>
      <c r="H245" s="1605"/>
      <c r="I245" s="502">
        <v>4</v>
      </c>
      <c r="J245" s="503">
        <f>I40</f>
        <v>50</v>
      </c>
      <c r="K245" s="503">
        <f t="shared" ref="K245:M245" si="117">J40</f>
        <v>-1</v>
      </c>
      <c r="L245" s="503">
        <f t="shared" si="117"/>
        <v>-1</v>
      </c>
      <c r="M245" s="503">
        <f t="shared" si="117"/>
        <v>0</v>
      </c>
      <c r="N245" s="443"/>
      <c r="O245" s="443"/>
      <c r="P245" s="443"/>
    </row>
    <row r="246" spans="1:16" x14ac:dyDescent="0.25">
      <c r="A246" s="1604"/>
      <c r="B246" s="502">
        <v>5</v>
      </c>
      <c r="C246" s="503">
        <f>C51</f>
        <v>25</v>
      </c>
      <c r="D246" s="503">
        <f t="shared" ref="D246:F246" si="118">D51</f>
        <v>0.4</v>
      </c>
      <c r="E246" s="503">
        <f t="shared" si="118"/>
        <v>0.2</v>
      </c>
      <c r="F246" s="503">
        <f t="shared" si="118"/>
        <v>0.1</v>
      </c>
      <c r="G246" s="443"/>
      <c r="H246" s="1605"/>
      <c r="I246" s="502">
        <v>5</v>
      </c>
      <c r="J246" s="503">
        <f>I51</f>
        <v>50</v>
      </c>
      <c r="K246" s="503">
        <f t="shared" ref="K246:M246" si="119">J51</f>
        <v>-6.2</v>
      </c>
      <c r="L246" s="503">
        <f t="shared" si="119"/>
        <v>-6.2</v>
      </c>
      <c r="M246" s="503">
        <f t="shared" si="119"/>
        <v>0</v>
      </c>
      <c r="N246" s="443"/>
      <c r="O246" s="443"/>
      <c r="P246" s="443"/>
    </row>
    <row r="247" spans="1:16" x14ac:dyDescent="0.25">
      <c r="A247" s="1604"/>
      <c r="B247" s="502">
        <v>6</v>
      </c>
      <c r="C247" s="503">
        <f>C62</f>
        <v>25</v>
      </c>
      <c r="D247" s="503">
        <f t="shared" ref="D247:F247" si="120">D62</f>
        <v>0.2</v>
      </c>
      <c r="E247" s="503">
        <f t="shared" si="120"/>
        <v>-0.1</v>
      </c>
      <c r="F247" s="503">
        <f t="shared" si="120"/>
        <v>0.15000000000000002</v>
      </c>
      <c r="G247" s="443"/>
      <c r="H247" s="1605"/>
      <c r="I247" s="502">
        <v>6</v>
      </c>
      <c r="J247" s="503">
        <f>I62</f>
        <v>50</v>
      </c>
      <c r="K247" s="503">
        <f t="shared" ref="K247:M247" si="121">J62</f>
        <v>-5.4</v>
      </c>
      <c r="L247" s="503">
        <f t="shared" si="121"/>
        <v>-2.5</v>
      </c>
      <c r="M247" s="503">
        <f t="shared" si="121"/>
        <v>1.4500000000000002</v>
      </c>
      <c r="N247" s="443"/>
      <c r="O247" s="443"/>
      <c r="P247" s="443"/>
    </row>
    <row r="248" spans="1:16" x14ac:dyDescent="0.25">
      <c r="A248" s="1604"/>
      <c r="B248" s="502">
        <v>7</v>
      </c>
      <c r="C248" s="503">
        <f>C73</f>
        <v>25</v>
      </c>
      <c r="D248" s="503">
        <f t="shared" ref="D248:F248" si="122">D73</f>
        <v>-0.2</v>
      </c>
      <c r="E248" s="503">
        <f t="shared" si="122"/>
        <v>9.9999999999999995E-7</v>
      </c>
      <c r="F248" s="503">
        <f t="shared" si="122"/>
        <v>0.10000050000000001</v>
      </c>
      <c r="G248" s="443"/>
      <c r="H248" s="1605"/>
      <c r="I248" s="502">
        <v>7</v>
      </c>
      <c r="J248" s="503">
        <f>I73</f>
        <v>50</v>
      </c>
      <c r="K248" s="503">
        <f t="shared" ref="K248:M248" si="123">J73</f>
        <v>0.8</v>
      </c>
      <c r="L248" s="503">
        <f t="shared" si="123"/>
        <v>0.6</v>
      </c>
      <c r="M248" s="503">
        <f t="shared" si="123"/>
        <v>0.10000000000000003</v>
      </c>
      <c r="N248" s="443"/>
      <c r="O248" s="443"/>
      <c r="P248" s="443"/>
    </row>
    <row r="249" spans="1:16" x14ac:dyDescent="0.25">
      <c r="A249" s="1604"/>
      <c r="B249" s="502">
        <v>8</v>
      </c>
      <c r="C249" s="503">
        <f>C84</f>
        <v>25</v>
      </c>
      <c r="D249" s="503">
        <f t="shared" ref="D249:F249" si="124">D84</f>
        <v>-0.4</v>
      </c>
      <c r="E249" s="503">
        <f t="shared" si="124"/>
        <v>-0.2</v>
      </c>
      <c r="F249" s="503">
        <f t="shared" si="124"/>
        <v>0.1</v>
      </c>
      <c r="G249" s="443"/>
      <c r="H249" s="1605"/>
      <c r="I249" s="502">
        <v>8</v>
      </c>
      <c r="J249" s="503">
        <f>I84</f>
        <v>50</v>
      </c>
      <c r="K249" s="503">
        <f t="shared" ref="K249:M249" si="125">J84</f>
        <v>-1.2</v>
      </c>
      <c r="L249" s="503">
        <f t="shared" si="125"/>
        <v>1.3</v>
      </c>
      <c r="M249" s="503">
        <f t="shared" si="125"/>
        <v>1.25</v>
      </c>
      <c r="N249" s="443"/>
      <c r="O249" s="443"/>
      <c r="P249" s="443"/>
    </row>
    <row r="250" spans="1:16" x14ac:dyDescent="0.25">
      <c r="A250" s="1604"/>
      <c r="B250" s="502">
        <v>9</v>
      </c>
      <c r="C250" s="503">
        <f>C95</f>
        <v>25</v>
      </c>
      <c r="D250" s="503">
        <f t="shared" ref="D250:F250" si="126">D95</f>
        <v>-0.4</v>
      </c>
      <c r="E250" s="503" t="str">
        <f t="shared" si="126"/>
        <v>-</v>
      </c>
      <c r="F250" s="503">
        <f t="shared" si="126"/>
        <v>0</v>
      </c>
      <c r="G250" s="443"/>
      <c r="H250" s="1605"/>
      <c r="I250" s="502">
        <v>9</v>
      </c>
      <c r="J250" s="503">
        <f>I95</f>
        <v>50</v>
      </c>
      <c r="K250" s="503">
        <f t="shared" ref="K250:M250" si="127">J95</f>
        <v>-0.9</v>
      </c>
      <c r="L250" s="503" t="str">
        <f t="shared" si="127"/>
        <v>-</v>
      </c>
      <c r="M250" s="503">
        <f t="shared" si="127"/>
        <v>0</v>
      </c>
      <c r="N250" s="443"/>
      <c r="O250" s="443"/>
      <c r="P250" s="443"/>
    </row>
    <row r="251" spans="1:16" x14ac:dyDescent="0.25">
      <c r="A251" s="1604"/>
      <c r="B251" s="502">
        <v>10</v>
      </c>
      <c r="C251" s="503">
        <f>C106</f>
        <v>25</v>
      </c>
      <c r="D251" s="503">
        <f t="shared" ref="D251:F251" si="128">D106</f>
        <v>0.1</v>
      </c>
      <c r="E251" s="503">
        <f t="shared" si="128"/>
        <v>-0.5</v>
      </c>
      <c r="F251" s="503">
        <f t="shared" si="128"/>
        <v>0.3</v>
      </c>
      <c r="G251" s="443"/>
      <c r="H251" s="1605"/>
      <c r="I251" s="502">
        <v>10</v>
      </c>
      <c r="J251" s="503">
        <f>I106</f>
        <v>50</v>
      </c>
      <c r="K251" s="503">
        <f t="shared" ref="K251:M251" si="129">J106</f>
        <v>-3.1</v>
      </c>
      <c r="L251" s="503">
        <f t="shared" si="129"/>
        <v>-6.1</v>
      </c>
      <c r="M251" s="503">
        <f t="shared" si="129"/>
        <v>1.4999999999999998</v>
      </c>
      <c r="N251" s="443"/>
      <c r="O251" s="443"/>
      <c r="P251" s="443"/>
    </row>
    <row r="252" spans="1:16" x14ac:dyDescent="0.25">
      <c r="A252" s="1604"/>
      <c r="B252" s="502">
        <v>11</v>
      </c>
      <c r="C252" s="503">
        <f>C117</f>
        <v>25</v>
      </c>
      <c r="D252" s="503">
        <f t="shared" ref="D252:F252" si="130">D117</f>
        <v>0.4</v>
      </c>
      <c r="E252" s="503" t="str">
        <f t="shared" si="130"/>
        <v>-</v>
      </c>
      <c r="F252" s="503">
        <f t="shared" si="130"/>
        <v>0</v>
      </c>
      <c r="G252" s="443"/>
      <c r="H252" s="1605"/>
      <c r="I252" s="502">
        <v>11</v>
      </c>
      <c r="J252" s="503">
        <f>I117</f>
        <v>50</v>
      </c>
      <c r="K252" s="503">
        <f t="shared" ref="K252:M252" si="131">J117</f>
        <v>-5.5</v>
      </c>
      <c r="L252" s="503" t="str">
        <f t="shared" si="131"/>
        <v>-</v>
      </c>
      <c r="M252" s="503">
        <f t="shared" si="131"/>
        <v>0</v>
      </c>
      <c r="N252" s="443"/>
      <c r="O252" s="443"/>
      <c r="P252" s="443"/>
    </row>
    <row r="253" spans="1:16" x14ac:dyDescent="0.25">
      <c r="A253" s="1604"/>
      <c r="B253" s="502">
        <v>12</v>
      </c>
      <c r="C253" s="503">
        <f>C128</f>
        <v>25</v>
      </c>
      <c r="D253" s="503">
        <f t="shared" ref="D253:F253" si="132">D128</f>
        <v>-0.4</v>
      </c>
      <c r="E253" s="503" t="str">
        <f t="shared" si="132"/>
        <v>-</v>
      </c>
      <c r="F253" s="503">
        <f t="shared" si="132"/>
        <v>0</v>
      </c>
      <c r="G253" s="443"/>
      <c r="H253" s="1605"/>
      <c r="I253" s="502">
        <v>12</v>
      </c>
      <c r="J253" s="503">
        <f>I128</f>
        <v>50</v>
      </c>
      <c r="K253" s="503">
        <f t="shared" ref="K253:M253" si="133">J128</f>
        <v>-0.3</v>
      </c>
      <c r="L253" s="503" t="str">
        <f t="shared" si="133"/>
        <v>-</v>
      </c>
      <c r="M253" s="503">
        <f t="shared" si="133"/>
        <v>0</v>
      </c>
      <c r="N253" s="443"/>
      <c r="O253" s="443"/>
      <c r="P253" s="443"/>
    </row>
    <row r="254" spans="1:16" x14ac:dyDescent="0.25">
      <c r="A254" s="1604"/>
      <c r="B254" s="502">
        <v>13</v>
      </c>
      <c r="C254" s="503">
        <f>C139</f>
        <v>25</v>
      </c>
      <c r="D254" s="503">
        <f t="shared" ref="D254:F254" si="134">D139</f>
        <v>-0.1</v>
      </c>
      <c r="E254" s="503" t="str">
        <f t="shared" si="134"/>
        <v>-</v>
      </c>
      <c r="F254" s="503">
        <f t="shared" si="134"/>
        <v>0</v>
      </c>
      <c r="G254" s="443"/>
      <c r="H254" s="1605"/>
      <c r="I254" s="502">
        <v>13</v>
      </c>
      <c r="J254" s="503">
        <f>I139</f>
        <v>50</v>
      </c>
      <c r="K254" s="503">
        <f t="shared" ref="K254:M254" si="135">J139</f>
        <v>-0.2</v>
      </c>
      <c r="L254" s="503" t="str">
        <f t="shared" si="135"/>
        <v>-</v>
      </c>
      <c r="M254" s="503">
        <f t="shared" si="135"/>
        <v>0</v>
      </c>
      <c r="N254" s="443"/>
      <c r="O254" s="443"/>
      <c r="P254" s="443"/>
    </row>
    <row r="255" spans="1:16" x14ac:dyDescent="0.25">
      <c r="A255" s="1604"/>
      <c r="B255" s="502">
        <v>14</v>
      </c>
      <c r="C255" s="503">
        <f>C150</f>
        <v>25</v>
      </c>
      <c r="D255" s="503">
        <f t="shared" ref="D255:F255" si="136">D150</f>
        <v>-0.2</v>
      </c>
      <c r="E255" s="503" t="str">
        <f t="shared" si="136"/>
        <v>-</v>
      </c>
      <c r="F255" s="503">
        <f t="shared" si="136"/>
        <v>0</v>
      </c>
      <c r="G255" s="443"/>
      <c r="H255" s="1605"/>
      <c r="I255" s="502">
        <v>14</v>
      </c>
      <c r="J255" s="503">
        <f>I150</f>
        <v>50</v>
      </c>
      <c r="K255" s="503">
        <f t="shared" ref="K255:M255" si="137">J150</f>
        <v>-1.3</v>
      </c>
      <c r="L255" s="503" t="str">
        <f t="shared" si="137"/>
        <v>-</v>
      </c>
      <c r="M255" s="503">
        <f t="shared" si="137"/>
        <v>0</v>
      </c>
      <c r="N255" s="443"/>
      <c r="O255" s="443"/>
      <c r="P255" s="443"/>
    </row>
    <row r="256" spans="1:16" x14ac:dyDescent="0.25">
      <c r="A256" s="1604"/>
      <c r="B256" s="502">
        <v>15</v>
      </c>
      <c r="C256" s="503">
        <f>C161</f>
        <v>25</v>
      </c>
      <c r="D256" s="503">
        <f t="shared" ref="D256:F256" si="138">D161</f>
        <v>9.9999999999999995E-7</v>
      </c>
      <c r="E256" s="503" t="str">
        <f t="shared" si="138"/>
        <v>-</v>
      </c>
      <c r="F256" s="503">
        <f t="shared" si="138"/>
        <v>0</v>
      </c>
      <c r="G256" s="443"/>
      <c r="H256" s="1605"/>
      <c r="I256" s="502">
        <v>15</v>
      </c>
      <c r="J256" s="503">
        <f>I161</f>
        <v>50</v>
      </c>
      <c r="K256" s="503">
        <f t="shared" ref="K256:M256" si="139">J161</f>
        <v>0.2</v>
      </c>
      <c r="L256" s="503" t="str">
        <f t="shared" si="139"/>
        <v>-</v>
      </c>
      <c r="M256" s="503">
        <f t="shared" si="139"/>
        <v>0</v>
      </c>
      <c r="N256" s="443"/>
      <c r="O256" s="443"/>
      <c r="P256" s="443"/>
    </row>
    <row r="257" spans="1:16" x14ac:dyDescent="0.25">
      <c r="A257" s="1604"/>
      <c r="B257" s="502">
        <v>16</v>
      </c>
      <c r="C257" s="503">
        <f>C172</f>
        <v>25</v>
      </c>
      <c r="D257" s="503">
        <f t="shared" ref="D257:F257" si="140">D172</f>
        <v>0.2</v>
      </c>
      <c r="E257" s="503" t="str">
        <f t="shared" si="140"/>
        <v>-</v>
      </c>
      <c r="F257" s="503">
        <f t="shared" si="140"/>
        <v>0</v>
      </c>
      <c r="G257" s="443"/>
      <c r="H257" s="1605"/>
      <c r="I257" s="502">
        <v>16</v>
      </c>
      <c r="J257" s="503">
        <f>I172</f>
        <v>50</v>
      </c>
      <c r="K257" s="503">
        <f t="shared" ref="K257:M257" si="141">J172</f>
        <v>-1.4</v>
      </c>
      <c r="L257" s="503" t="str">
        <f t="shared" si="141"/>
        <v>-</v>
      </c>
      <c r="M257" s="503">
        <f t="shared" si="141"/>
        <v>0</v>
      </c>
      <c r="N257" s="443"/>
      <c r="O257" s="443"/>
      <c r="P257" s="443"/>
    </row>
    <row r="258" spans="1:16" x14ac:dyDescent="0.25">
      <c r="A258" s="1604"/>
      <c r="B258" s="502">
        <v>17</v>
      </c>
      <c r="C258" s="503">
        <f>C183</f>
        <v>25</v>
      </c>
      <c r="D258" s="503">
        <f t="shared" ref="D258:F258" si="142">D183</f>
        <v>-0.2</v>
      </c>
      <c r="E258" s="503" t="str">
        <f t="shared" si="142"/>
        <v>-</v>
      </c>
      <c r="F258" s="503">
        <f t="shared" si="142"/>
        <v>0</v>
      </c>
      <c r="G258" s="443"/>
      <c r="H258" s="1605"/>
      <c r="I258" s="502">
        <v>17</v>
      </c>
      <c r="J258" s="503">
        <f>I183</f>
        <v>50</v>
      </c>
      <c r="K258" s="503">
        <f t="shared" ref="K258:M258" si="143">J183</f>
        <v>-0.2</v>
      </c>
      <c r="L258" s="503" t="str">
        <f t="shared" si="143"/>
        <v>-</v>
      </c>
      <c r="M258" s="503">
        <f t="shared" si="143"/>
        <v>0</v>
      </c>
      <c r="N258" s="443"/>
      <c r="O258" s="443"/>
      <c r="P258" s="443"/>
    </row>
    <row r="259" spans="1:16" x14ac:dyDescent="0.25">
      <c r="A259" s="1604"/>
      <c r="B259" s="502">
        <v>18</v>
      </c>
      <c r="C259" s="503">
        <f>C194</f>
        <v>25</v>
      </c>
      <c r="D259" s="503">
        <f t="shared" ref="D259:F259" si="144">D194</f>
        <v>9.9999999999999995E-7</v>
      </c>
      <c r="E259" s="503" t="str">
        <f t="shared" si="144"/>
        <v>-</v>
      </c>
      <c r="F259" s="503">
        <f t="shared" si="144"/>
        <v>0</v>
      </c>
      <c r="G259" s="443"/>
      <c r="H259" s="1605"/>
      <c r="I259" s="502">
        <v>18</v>
      </c>
      <c r="J259" s="503">
        <f>I194</f>
        <v>50</v>
      </c>
      <c r="K259" s="503">
        <f t="shared" ref="K259:M259" si="145">J194</f>
        <v>0</v>
      </c>
      <c r="L259" s="503" t="str">
        <f t="shared" si="145"/>
        <v>-</v>
      </c>
      <c r="M259" s="503">
        <f t="shared" si="145"/>
        <v>0</v>
      </c>
      <c r="N259" s="443"/>
      <c r="O259" s="443"/>
      <c r="P259" s="443"/>
    </row>
    <row r="260" spans="1:16" x14ac:dyDescent="0.25">
      <c r="A260" s="509"/>
      <c r="B260" s="510"/>
      <c r="C260" s="517"/>
      <c r="D260" s="517"/>
      <c r="E260" s="517"/>
      <c r="F260" s="518"/>
      <c r="G260" s="513"/>
      <c r="H260" s="509"/>
      <c r="I260" s="519"/>
      <c r="J260" s="517"/>
      <c r="K260" s="517"/>
      <c r="L260" s="517"/>
      <c r="M260" s="518"/>
      <c r="N260" s="443"/>
      <c r="O260" s="443"/>
      <c r="P260" s="443"/>
    </row>
    <row r="261" spans="1:16" x14ac:dyDescent="0.25">
      <c r="A261" s="1604" t="s">
        <v>250</v>
      </c>
      <c r="B261" s="502">
        <v>1</v>
      </c>
      <c r="C261" s="503">
        <f>C8</f>
        <v>30</v>
      </c>
      <c r="D261" s="503">
        <f t="shared" ref="D261:F261" si="146">D8</f>
        <v>0</v>
      </c>
      <c r="E261" s="503">
        <f t="shared" si="146"/>
        <v>-0.2</v>
      </c>
      <c r="F261" s="503">
        <f t="shared" si="146"/>
        <v>0.1</v>
      </c>
      <c r="G261" s="443"/>
      <c r="H261" s="1605" t="s">
        <v>250</v>
      </c>
      <c r="I261" s="502">
        <v>1</v>
      </c>
      <c r="J261" s="503">
        <f>I8</f>
        <v>60</v>
      </c>
      <c r="K261" s="503">
        <f t="shared" ref="K261:M261" si="147">J8</f>
        <v>-4.4000000000000004</v>
      </c>
      <c r="L261" s="503">
        <f t="shared" si="147"/>
        <v>-5.2</v>
      </c>
      <c r="M261" s="503">
        <f t="shared" si="147"/>
        <v>0.39999999999999991</v>
      </c>
      <c r="N261" s="443"/>
      <c r="O261" s="443"/>
      <c r="P261" s="443"/>
    </row>
    <row r="262" spans="1:16" x14ac:dyDescent="0.25">
      <c r="A262" s="1604"/>
      <c r="B262" s="502">
        <v>2</v>
      </c>
      <c r="C262" s="503">
        <f>C19</f>
        <v>30</v>
      </c>
      <c r="D262" s="503">
        <f t="shared" ref="D262:F262" si="148">D19</f>
        <v>-0.3</v>
      </c>
      <c r="E262" s="503">
        <f t="shared" si="148"/>
        <v>-1</v>
      </c>
      <c r="F262" s="503">
        <f t="shared" si="148"/>
        <v>0.35</v>
      </c>
      <c r="G262" s="443"/>
      <c r="H262" s="1605"/>
      <c r="I262" s="502">
        <v>2</v>
      </c>
      <c r="J262" s="503">
        <f>I19</f>
        <v>60</v>
      </c>
      <c r="K262" s="503">
        <f t="shared" ref="K262:M262" si="149">J19</f>
        <v>-1.3</v>
      </c>
      <c r="L262" s="503">
        <f t="shared" si="149"/>
        <v>-1.3</v>
      </c>
      <c r="M262" s="503">
        <f t="shared" si="149"/>
        <v>0</v>
      </c>
      <c r="N262" s="443"/>
      <c r="O262" s="443"/>
      <c r="P262" s="443"/>
    </row>
    <row r="263" spans="1:16" x14ac:dyDescent="0.25">
      <c r="A263" s="1604"/>
      <c r="B263" s="502">
        <v>3</v>
      </c>
      <c r="C263" s="503">
        <f>C30</f>
        <v>30</v>
      </c>
      <c r="D263" s="503">
        <f t="shared" ref="D263:F263" si="150">D30</f>
        <v>-0.3</v>
      </c>
      <c r="E263" s="503">
        <f t="shared" si="150"/>
        <v>-0.3</v>
      </c>
      <c r="F263" s="503">
        <f t="shared" si="150"/>
        <v>0</v>
      </c>
      <c r="G263" s="443"/>
      <c r="H263" s="1605"/>
      <c r="I263" s="502">
        <v>3</v>
      </c>
      <c r="J263" s="503">
        <f>I30</f>
        <v>60</v>
      </c>
      <c r="K263" s="503">
        <f t="shared" ref="K263:M263" si="151">J30</f>
        <v>-4.3</v>
      </c>
      <c r="L263" s="503">
        <f t="shared" si="151"/>
        <v>-2.2000000000000002</v>
      </c>
      <c r="M263" s="503">
        <f t="shared" si="151"/>
        <v>1.0499999999999998</v>
      </c>
      <c r="N263" s="443"/>
      <c r="O263" s="443"/>
      <c r="P263" s="443"/>
    </row>
    <row r="264" spans="1:16" x14ac:dyDescent="0.25">
      <c r="A264" s="1604"/>
      <c r="B264" s="502">
        <v>4</v>
      </c>
      <c r="C264" s="503">
        <f>C41</f>
        <v>30</v>
      </c>
      <c r="D264" s="503">
        <f t="shared" ref="D264:F264" si="152">D41</f>
        <v>-0.6</v>
      </c>
      <c r="E264" s="503">
        <f t="shared" si="152"/>
        <v>-1</v>
      </c>
      <c r="F264" s="503">
        <f t="shared" si="152"/>
        <v>0.2</v>
      </c>
      <c r="G264" s="443"/>
      <c r="H264" s="1605"/>
      <c r="I264" s="502">
        <v>4</v>
      </c>
      <c r="J264" s="503">
        <f>I41</f>
        <v>60</v>
      </c>
      <c r="K264" s="503">
        <f t="shared" ref="K264:M264" si="153">J41</f>
        <v>-0.3</v>
      </c>
      <c r="L264" s="503">
        <f t="shared" si="153"/>
        <v>-0.9</v>
      </c>
      <c r="M264" s="503">
        <f t="shared" si="153"/>
        <v>0.30000000000000004</v>
      </c>
      <c r="N264" s="443"/>
      <c r="O264" s="443"/>
      <c r="P264" s="443"/>
    </row>
    <row r="265" spans="1:16" x14ac:dyDescent="0.25">
      <c r="A265" s="1604"/>
      <c r="B265" s="502">
        <v>5</v>
      </c>
      <c r="C265" s="503">
        <f>C52</f>
        <v>30</v>
      </c>
      <c r="D265" s="503">
        <f t="shared" ref="D265:F265" si="154">D52</f>
        <v>0.6</v>
      </c>
      <c r="E265" s="503">
        <f t="shared" si="154"/>
        <v>0.1</v>
      </c>
      <c r="F265" s="503">
        <f t="shared" si="154"/>
        <v>0.25</v>
      </c>
      <c r="G265" s="443"/>
      <c r="H265" s="1605"/>
      <c r="I265" s="502">
        <v>5</v>
      </c>
      <c r="J265" s="503">
        <f>I52</f>
        <v>60</v>
      </c>
      <c r="K265" s="503">
        <f t="shared" ref="K265:M265" si="155">J52</f>
        <v>-5.2</v>
      </c>
      <c r="L265" s="503">
        <f t="shared" si="155"/>
        <v>-4.2</v>
      </c>
      <c r="M265" s="503">
        <f t="shared" si="155"/>
        <v>0.5</v>
      </c>
      <c r="N265" s="443"/>
      <c r="O265" s="443"/>
      <c r="P265" s="443"/>
    </row>
    <row r="266" spans="1:16" x14ac:dyDescent="0.25">
      <c r="A266" s="1604"/>
      <c r="B266" s="502">
        <v>6</v>
      </c>
      <c r="C266" s="503">
        <f>C63</f>
        <v>30</v>
      </c>
      <c r="D266" s="503">
        <f t="shared" ref="D266:F266" si="156">D63</f>
        <v>0.1</v>
      </c>
      <c r="E266" s="503">
        <f t="shared" si="156"/>
        <v>-0.5</v>
      </c>
      <c r="F266" s="503">
        <f t="shared" si="156"/>
        <v>0.3</v>
      </c>
      <c r="G266" s="443"/>
      <c r="H266" s="1605"/>
      <c r="I266" s="502">
        <v>6</v>
      </c>
      <c r="J266" s="503">
        <f>I63</f>
        <v>60</v>
      </c>
      <c r="K266" s="503">
        <f t="shared" ref="K266:M266" si="157">J63</f>
        <v>-6.4</v>
      </c>
      <c r="L266" s="503">
        <f t="shared" si="157"/>
        <v>-2</v>
      </c>
      <c r="M266" s="503">
        <f t="shared" si="157"/>
        <v>2.2000000000000002</v>
      </c>
      <c r="N266" s="443"/>
      <c r="O266" s="443"/>
      <c r="P266" s="443"/>
    </row>
    <row r="267" spans="1:16" x14ac:dyDescent="0.25">
      <c r="A267" s="1604"/>
      <c r="B267" s="502">
        <v>7</v>
      </c>
      <c r="C267" s="503">
        <f>C74</f>
        <v>30</v>
      </c>
      <c r="D267" s="503">
        <f t="shared" ref="D267:F267" si="158">D74</f>
        <v>-0.6</v>
      </c>
      <c r="E267" s="503">
        <f t="shared" si="158"/>
        <v>-0.1</v>
      </c>
      <c r="F267" s="503">
        <f t="shared" si="158"/>
        <v>0.25</v>
      </c>
      <c r="G267" s="443"/>
      <c r="H267" s="1605"/>
      <c r="I267" s="502">
        <v>7</v>
      </c>
      <c r="J267" s="503">
        <f>I74</f>
        <v>60</v>
      </c>
      <c r="K267" s="503">
        <f t="shared" ref="K267:M267" si="159">J74</f>
        <v>0.7</v>
      </c>
      <c r="L267" s="503">
        <f t="shared" si="159"/>
        <v>1.5</v>
      </c>
      <c r="M267" s="503">
        <f t="shared" si="159"/>
        <v>0.4</v>
      </c>
      <c r="N267" s="443"/>
      <c r="O267" s="443"/>
      <c r="P267" s="443"/>
    </row>
    <row r="268" spans="1:16" x14ac:dyDescent="0.25">
      <c r="A268" s="1604"/>
      <c r="B268" s="502">
        <v>8</v>
      </c>
      <c r="C268" s="503">
        <f>C85</f>
        <v>30</v>
      </c>
      <c r="D268" s="503">
        <f t="shared" ref="D268:F268" si="160">D85</f>
        <v>-0.4</v>
      </c>
      <c r="E268" s="503">
        <f t="shared" si="160"/>
        <v>-0.2</v>
      </c>
      <c r="F268" s="503">
        <f t="shared" si="160"/>
        <v>0.1</v>
      </c>
      <c r="G268" s="443"/>
      <c r="H268" s="1605"/>
      <c r="I268" s="502">
        <v>8</v>
      </c>
      <c r="J268" s="503">
        <f>I85</f>
        <v>60</v>
      </c>
      <c r="K268" s="503">
        <f t="shared" ref="K268:M268" si="161">J85</f>
        <v>-1.1000000000000001</v>
      </c>
      <c r="L268" s="503">
        <f t="shared" si="161"/>
        <v>1.7</v>
      </c>
      <c r="M268" s="503">
        <f t="shared" si="161"/>
        <v>1.4</v>
      </c>
      <c r="N268" s="443"/>
      <c r="O268" s="443"/>
      <c r="P268" s="443"/>
    </row>
    <row r="269" spans="1:16" x14ac:dyDescent="0.25">
      <c r="A269" s="1604"/>
      <c r="B269" s="502">
        <v>9</v>
      </c>
      <c r="C269" s="503">
        <f>C96</f>
        <v>30</v>
      </c>
      <c r="D269" s="503">
        <f t="shared" ref="D269:F269" si="162">D96</f>
        <v>-0.5</v>
      </c>
      <c r="E269" s="503" t="str">
        <f t="shared" si="162"/>
        <v>-</v>
      </c>
      <c r="F269" s="503">
        <f t="shared" si="162"/>
        <v>0</v>
      </c>
      <c r="G269" s="443"/>
      <c r="H269" s="1605"/>
      <c r="I269" s="502">
        <v>9</v>
      </c>
      <c r="J269" s="503">
        <f>I96</f>
        <v>60</v>
      </c>
      <c r="K269" s="503">
        <f t="shared" ref="K269:M269" si="163">J96</f>
        <v>-0.8</v>
      </c>
      <c r="L269" s="503" t="str">
        <f t="shared" si="163"/>
        <v>-</v>
      </c>
      <c r="M269" s="503">
        <f t="shared" si="163"/>
        <v>0</v>
      </c>
      <c r="N269" s="443"/>
      <c r="O269" s="443"/>
      <c r="P269" s="443"/>
    </row>
    <row r="270" spans="1:16" x14ac:dyDescent="0.25">
      <c r="A270" s="1604"/>
      <c r="B270" s="502">
        <v>10</v>
      </c>
      <c r="C270" s="503">
        <f>C107</f>
        <v>30</v>
      </c>
      <c r="D270" s="503">
        <f t="shared" ref="D270:F270" si="164">D107</f>
        <v>0.1</v>
      </c>
      <c r="E270" s="503">
        <f t="shared" si="164"/>
        <v>0.2</v>
      </c>
      <c r="F270" s="503">
        <f t="shared" si="164"/>
        <v>0.05</v>
      </c>
      <c r="G270" s="443"/>
      <c r="H270" s="1605"/>
      <c r="I270" s="502">
        <v>10</v>
      </c>
      <c r="J270" s="503">
        <f>I107</f>
        <v>60</v>
      </c>
      <c r="K270" s="503">
        <f t="shared" ref="K270:M270" si="165">J107</f>
        <v>-2.1</v>
      </c>
      <c r="L270" s="503">
        <f t="shared" si="165"/>
        <v>-5.6</v>
      </c>
      <c r="M270" s="503">
        <f t="shared" si="165"/>
        <v>1.7499999999999998</v>
      </c>
      <c r="N270" s="443"/>
      <c r="O270" s="443"/>
      <c r="P270" s="443"/>
    </row>
    <row r="271" spans="1:16" x14ac:dyDescent="0.25">
      <c r="A271" s="1604"/>
      <c r="B271" s="502">
        <v>11</v>
      </c>
      <c r="C271" s="503">
        <f>C118</f>
        <v>30</v>
      </c>
      <c r="D271" s="503">
        <f t="shared" ref="D271:F271" si="166">D118</f>
        <v>0.5</v>
      </c>
      <c r="E271" s="503" t="str">
        <f t="shared" si="166"/>
        <v>-</v>
      </c>
      <c r="F271" s="503">
        <f t="shared" si="166"/>
        <v>0</v>
      </c>
      <c r="G271" s="443"/>
      <c r="H271" s="1605"/>
      <c r="I271" s="502">
        <v>11</v>
      </c>
      <c r="J271" s="503">
        <f>I118</f>
        <v>60</v>
      </c>
      <c r="K271" s="503">
        <f t="shared" ref="K271:M271" si="167">J118</f>
        <v>-4.8</v>
      </c>
      <c r="L271" s="503" t="str">
        <f t="shared" si="167"/>
        <v>-</v>
      </c>
      <c r="M271" s="503">
        <f t="shared" si="167"/>
        <v>0</v>
      </c>
      <c r="N271" s="443"/>
      <c r="O271" s="443"/>
      <c r="P271" s="443"/>
    </row>
    <row r="272" spans="1:16" x14ac:dyDescent="0.25">
      <c r="A272" s="1604"/>
      <c r="B272" s="502">
        <v>12</v>
      </c>
      <c r="C272" s="503">
        <f>C129</f>
        <v>30</v>
      </c>
      <c r="D272" s="503">
        <f t="shared" ref="D272:F272" si="168">D129</f>
        <v>-0.2</v>
      </c>
      <c r="E272" s="503" t="str">
        <f t="shared" si="168"/>
        <v>-</v>
      </c>
      <c r="F272" s="503">
        <f t="shared" si="168"/>
        <v>0</v>
      </c>
      <c r="G272" s="443"/>
      <c r="H272" s="1605"/>
      <c r="I272" s="502">
        <v>12</v>
      </c>
      <c r="J272" s="503">
        <f>I129</f>
        <v>60</v>
      </c>
      <c r="K272" s="503">
        <f t="shared" ref="K272:M272" si="169">J129</f>
        <v>-0.5</v>
      </c>
      <c r="L272" s="503" t="str">
        <f t="shared" si="169"/>
        <v>-</v>
      </c>
      <c r="M272" s="503">
        <f t="shared" si="169"/>
        <v>0</v>
      </c>
      <c r="N272" s="443"/>
      <c r="O272" s="443"/>
      <c r="P272" s="443"/>
    </row>
    <row r="273" spans="1:16" x14ac:dyDescent="0.25">
      <c r="A273" s="1604"/>
      <c r="B273" s="502">
        <v>13</v>
      </c>
      <c r="C273" s="503">
        <f>C140</f>
        <v>30</v>
      </c>
      <c r="D273" s="503">
        <f t="shared" ref="D273:F273" si="170">D140</f>
        <v>-0.3</v>
      </c>
      <c r="E273" s="503" t="str">
        <f t="shared" si="170"/>
        <v>-</v>
      </c>
      <c r="F273" s="503">
        <f t="shared" si="170"/>
        <v>0</v>
      </c>
      <c r="G273" s="443"/>
      <c r="H273" s="1605"/>
      <c r="I273" s="502">
        <v>13</v>
      </c>
      <c r="J273" s="503">
        <f>I140</f>
        <v>60</v>
      </c>
      <c r="K273" s="503">
        <f t="shared" ref="K273:M273" si="171">J140</f>
        <v>-0.6</v>
      </c>
      <c r="L273" s="503" t="str">
        <f t="shared" si="171"/>
        <v>-</v>
      </c>
      <c r="M273" s="503">
        <f t="shared" si="171"/>
        <v>0</v>
      </c>
      <c r="N273" s="443"/>
      <c r="O273" s="443"/>
      <c r="P273" s="443"/>
    </row>
    <row r="274" spans="1:16" x14ac:dyDescent="0.25">
      <c r="A274" s="1604"/>
      <c r="B274" s="502">
        <v>14</v>
      </c>
      <c r="C274" s="503">
        <f>C151</f>
        <v>30</v>
      </c>
      <c r="D274" s="503">
        <f t="shared" ref="D274:F274" si="172">D151</f>
        <v>0.1</v>
      </c>
      <c r="E274" s="503" t="str">
        <f t="shared" si="172"/>
        <v>-</v>
      </c>
      <c r="F274" s="503">
        <f t="shared" si="172"/>
        <v>0</v>
      </c>
      <c r="G274" s="443"/>
      <c r="H274" s="1605"/>
      <c r="I274" s="502">
        <v>14</v>
      </c>
      <c r="J274" s="503">
        <f>I151</f>
        <v>60</v>
      </c>
      <c r="K274" s="503">
        <f t="shared" ref="K274:M274" si="173">J151</f>
        <v>-1.5</v>
      </c>
      <c r="L274" s="503" t="str">
        <f t="shared" si="173"/>
        <v>-</v>
      </c>
      <c r="M274" s="503">
        <f t="shared" si="173"/>
        <v>0</v>
      </c>
      <c r="N274" s="443"/>
      <c r="O274" s="443"/>
      <c r="P274" s="443"/>
    </row>
    <row r="275" spans="1:16" x14ac:dyDescent="0.25">
      <c r="A275" s="1604"/>
      <c r="B275" s="502">
        <v>15</v>
      </c>
      <c r="C275" s="503">
        <f>C162</f>
        <v>30</v>
      </c>
      <c r="D275" s="503">
        <f t="shared" ref="D275:F275" si="174">D162</f>
        <v>-0.2</v>
      </c>
      <c r="E275" s="503" t="str">
        <f t="shared" si="174"/>
        <v>-</v>
      </c>
      <c r="F275" s="503">
        <f t="shared" si="174"/>
        <v>0</v>
      </c>
      <c r="G275" s="443"/>
      <c r="H275" s="1605"/>
      <c r="I275" s="502">
        <v>15</v>
      </c>
      <c r="J275" s="503">
        <f>I162</f>
        <v>60</v>
      </c>
      <c r="K275" s="503">
        <f t="shared" ref="K275:M275" si="175">J162</f>
        <v>0</v>
      </c>
      <c r="L275" s="503" t="str">
        <f t="shared" si="175"/>
        <v>-</v>
      </c>
      <c r="M275" s="503">
        <f t="shared" si="175"/>
        <v>0</v>
      </c>
      <c r="N275" s="443"/>
      <c r="O275" s="443"/>
      <c r="P275" s="443"/>
    </row>
    <row r="276" spans="1:16" x14ac:dyDescent="0.25">
      <c r="A276" s="1604"/>
      <c r="B276" s="502">
        <v>16</v>
      </c>
      <c r="C276" s="503">
        <f>C173</f>
        <v>30</v>
      </c>
      <c r="D276" s="503">
        <f t="shared" ref="D276:F276" si="176">D173</f>
        <v>0.2</v>
      </c>
      <c r="E276" s="503" t="str">
        <f t="shared" si="176"/>
        <v>-</v>
      </c>
      <c r="F276" s="503">
        <f t="shared" si="176"/>
        <v>0</v>
      </c>
      <c r="G276" s="443"/>
      <c r="H276" s="1605"/>
      <c r="I276" s="502">
        <v>16</v>
      </c>
      <c r="J276" s="503">
        <f>I173</f>
        <v>60</v>
      </c>
      <c r="K276" s="503">
        <f t="shared" ref="K276:M276" si="177">J173</f>
        <v>-1.5</v>
      </c>
      <c r="L276" s="503" t="str">
        <f t="shared" si="177"/>
        <v>-</v>
      </c>
      <c r="M276" s="503">
        <f t="shared" si="177"/>
        <v>0</v>
      </c>
      <c r="N276" s="443"/>
      <c r="O276" s="443"/>
      <c r="P276" s="443"/>
    </row>
    <row r="277" spans="1:16" x14ac:dyDescent="0.25">
      <c r="A277" s="1604"/>
      <c r="B277" s="502">
        <v>17</v>
      </c>
      <c r="C277" s="503">
        <f>C184</f>
        <v>30</v>
      </c>
      <c r="D277" s="503">
        <f t="shared" ref="D277:F277" si="178">D184</f>
        <v>-0.2</v>
      </c>
      <c r="E277" s="503" t="str">
        <f t="shared" si="178"/>
        <v>-</v>
      </c>
      <c r="F277" s="503">
        <f t="shared" si="178"/>
        <v>0</v>
      </c>
      <c r="G277" s="443"/>
      <c r="H277" s="1605"/>
      <c r="I277" s="502">
        <v>17</v>
      </c>
      <c r="J277" s="503">
        <f>I184</f>
        <v>60</v>
      </c>
      <c r="K277" s="503">
        <f t="shared" ref="K277:M277" si="179">J184</f>
        <v>-0.2</v>
      </c>
      <c r="L277" s="503" t="str">
        <f t="shared" si="179"/>
        <v>-</v>
      </c>
      <c r="M277" s="503">
        <f t="shared" si="179"/>
        <v>0</v>
      </c>
      <c r="N277" s="443"/>
      <c r="O277" s="443"/>
      <c r="P277" s="443"/>
    </row>
    <row r="278" spans="1:16" x14ac:dyDescent="0.25">
      <c r="A278" s="1604"/>
      <c r="B278" s="502">
        <v>18</v>
      </c>
      <c r="C278" s="503">
        <f>C195</f>
        <v>30</v>
      </c>
      <c r="D278" s="503">
        <f t="shared" ref="D278:F278" si="180">D195</f>
        <v>-0.1</v>
      </c>
      <c r="E278" s="503" t="str">
        <f t="shared" si="180"/>
        <v>-</v>
      </c>
      <c r="F278" s="503">
        <f t="shared" si="180"/>
        <v>0</v>
      </c>
      <c r="G278" s="443"/>
      <c r="H278" s="1605"/>
      <c r="I278" s="502">
        <v>18</v>
      </c>
      <c r="J278" s="503">
        <f>I195</f>
        <v>60</v>
      </c>
      <c r="K278" s="503">
        <f t="shared" ref="K278:M278" si="181">J195</f>
        <v>0</v>
      </c>
      <c r="L278" s="503" t="str">
        <f t="shared" si="181"/>
        <v>-</v>
      </c>
      <c r="M278" s="503">
        <f t="shared" si="181"/>
        <v>0</v>
      </c>
      <c r="N278" s="443"/>
      <c r="O278" s="443"/>
      <c r="P278" s="443"/>
    </row>
    <row r="279" spans="1:16" x14ac:dyDescent="0.25">
      <c r="A279" s="509"/>
      <c r="B279" s="510"/>
      <c r="C279" s="517"/>
      <c r="D279" s="517"/>
      <c r="E279" s="517"/>
      <c r="F279" s="518"/>
      <c r="G279" s="513"/>
      <c r="H279" s="509"/>
      <c r="I279" s="519"/>
      <c r="J279" s="517"/>
      <c r="K279" s="517"/>
      <c r="L279" s="517"/>
      <c r="M279" s="518"/>
      <c r="N279" s="443"/>
      <c r="O279" s="443"/>
      <c r="P279" s="443"/>
    </row>
    <row r="280" spans="1:16" x14ac:dyDescent="0.25">
      <c r="A280" s="1604" t="s">
        <v>251</v>
      </c>
      <c r="B280" s="502">
        <v>1</v>
      </c>
      <c r="C280" s="503">
        <f>C9</f>
        <v>35</v>
      </c>
      <c r="D280" s="503">
        <f t="shared" ref="D280:F280" si="182">D9</f>
        <v>-0.1</v>
      </c>
      <c r="E280" s="503">
        <f t="shared" si="182"/>
        <v>-0.5</v>
      </c>
      <c r="F280" s="503">
        <f t="shared" si="182"/>
        <v>0.2</v>
      </c>
      <c r="G280" s="443"/>
      <c r="H280" s="1605" t="s">
        <v>251</v>
      </c>
      <c r="I280" s="502">
        <v>1</v>
      </c>
      <c r="J280" s="503">
        <f>I20</f>
        <v>70</v>
      </c>
      <c r="K280" s="503">
        <f t="shared" ref="K280:M280" si="183">J20</f>
        <v>-1.1000000000000001</v>
      </c>
      <c r="L280" s="503">
        <f t="shared" si="183"/>
        <v>-1</v>
      </c>
      <c r="M280" s="503">
        <f t="shared" si="183"/>
        <v>5.0000000000000044E-2</v>
      </c>
      <c r="N280" s="443"/>
      <c r="O280" s="443"/>
      <c r="P280" s="443"/>
    </row>
    <row r="281" spans="1:16" x14ac:dyDescent="0.25">
      <c r="A281" s="1604"/>
      <c r="B281" s="502">
        <v>2</v>
      </c>
      <c r="C281" s="503">
        <f>C20</f>
        <v>35</v>
      </c>
      <c r="D281" s="503">
        <f t="shared" ref="D281:F281" si="184">D20</f>
        <v>-0.3</v>
      </c>
      <c r="E281" s="503">
        <f t="shared" si="184"/>
        <v>-1.6</v>
      </c>
      <c r="F281" s="503">
        <f t="shared" si="184"/>
        <v>0.65</v>
      </c>
      <c r="G281" s="443"/>
      <c r="H281" s="1605"/>
      <c r="I281" s="502">
        <v>2</v>
      </c>
      <c r="J281" s="503">
        <f>I20</f>
        <v>70</v>
      </c>
      <c r="K281" s="503">
        <f t="shared" ref="K281:M281" si="185">J20</f>
        <v>-1.1000000000000001</v>
      </c>
      <c r="L281" s="503">
        <f t="shared" si="185"/>
        <v>-1</v>
      </c>
      <c r="M281" s="503">
        <f t="shared" si="185"/>
        <v>5.0000000000000044E-2</v>
      </c>
      <c r="N281" s="443"/>
      <c r="O281" s="443"/>
      <c r="P281" s="443"/>
    </row>
    <row r="282" spans="1:16" x14ac:dyDescent="0.25">
      <c r="A282" s="1604"/>
      <c r="B282" s="502">
        <v>3</v>
      </c>
      <c r="C282" s="503">
        <f>C31</f>
        <v>35</v>
      </c>
      <c r="D282" s="503">
        <f t="shared" ref="D282:F282" si="186">D31</f>
        <v>-0.5</v>
      </c>
      <c r="E282" s="503">
        <f t="shared" si="186"/>
        <v>-0.4</v>
      </c>
      <c r="F282" s="503">
        <f t="shared" si="186"/>
        <v>4.9999999999999989E-2</v>
      </c>
      <c r="G282" s="443"/>
      <c r="H282" s="1605"/>
      <c r="I282" s="502">
        <v>3</v>
      </c>
      <c r="J282" s="503">
        <f>I31</f>
        <v>70</v>
      </c>
      <c r="K282" s="503">
        <f t="shared" ref="K282:M282" si="187">J31</f>
        <v>-3.6</v>
      </c>
      <c r="L282" s="503">
        <f t="shared" si="187"/>
        <v>-1.6</v>
      </c>
      <c r="M282" s="503">
        <f t="shared" si="187"/>
        <v>1</v>
      </c>
      <c r="N282" s="443"/>
      <c r="O282" s="443"/>
      <c r="P282" s="443"/>
    </row>
    <row r="283" spans="1:16" x14ac:dyDescent="0.25">
      <c r="A283" s="1604"/>
      <c r="B283" s="502">
        <v>4</v>
      </c>
      <c r="C283" s="503">
        <f>C42</f>
        <v>35</v>
      </c>
      <c r="D283" s="503">
        <f t="shared" ref="D283:F283" si="188">D42</f>
        <v>-0.6</v>
      </c>
      <c r="E283" s="503">
        <f t="shared" si="188"/>
        <v>-1.5</v>
      </c>
      <c r="F283" s="503">
        <f t="shared" si="188"/>
        <v>0.45</v>
      </c>
      <c r="G283" s="443"/>
      <c r="H283" s="1605"/>
      <c r="I283" s="502">
        <v>4</v>
      </c>
      <c r="J283" s="503">
        <f>I42</f>
        <v>70</v>
      </c>
      <c r="K283" s="503">
        <f t="shared" ref="K283:M283" si="189">J42</f>
        <v>0.7</v>
      </c>
      <c r="L283" s="503">
        <f t="shared" si="189"/>
        <v>-0.7</v>
      </c>
      <c r="M283" s="503">
        <f t="shared" si="189"/>
        <v>0.7</v>
      </c>
      <c r="N283" s="443"/>
      <c r="O283" s="443"/>
      <c r="P283" s="443"/>
    </row>
    <row r="284" spans="1:16" x14ac:dyDescent="0.25">
      <c r="A284" s="1604"/>
      <c r="B284" s="502">
        <v>5</v>
      </c>
      <c r="C284" s="503">
        <f>C53</f>
        <v>35</v>
      </c>
      <c r="D284" s="503">
        <f t="shared" ref="D284:F284" si="190">D53</f>
        <v>0.7</v>
      </c>
      <c r="E284" s="503">
        <f t="shared" si="190"/>
        <v>0</v>
      </c>
      <c r="F284" s="503">
        <f t="shared" si="190"/>
        <v>0.35</v>
      </c>
      <c r="G284" s="443"/>
      <c r="H284" s="1605"/>
      <c r="I284" s="502">
        <v>5</v>
      </c>
      <c r="J284" s="503">
        <f>I53</f>
        <v>70</v>
      </c>
      <c r="K284" s="503">
        <f t="shared" ref="K284:M284" si="191">J53</f>
        <v>-4.0999999999999996</v>
      </c>
      <c r="L284" s="503">
        <f t="shared" si="191"/>
        <v>-2.1</v>
      </c>
      <c r="M284" s="503">
        <f t="shared" si="191"/>
        <v>0.99999999999999978</v>
      </c>
      <c r="N284" s="443"/>
      <c r="O284" s="443"/>
      <c r="P284" s="443"/>
    </row>
    <row r="285" spans="1:16" x14ac:dyDescent="0.25">
      <c r="A285" s="1604"/>
      <c r="B285" s="502">
        <v>6</v>
      </c>
      <c r="C285" s="503">
        <f>C64</f>
        <v>35</v>
      </c>
      <c r="D285" s="503">
        <f t="shared" ref="D285:F285" si="192">D64</f>
        <v>0.1</v>
      </c>
      <c r="E285" s="503">
        <f t="shared" si="192"/>
        <v>-0.9</v>
      </c>
      <c r="F285" s="503">
        <f t="shared" si="192"/>
        <v>0.5</v>
      </c>
      <c r="G285" s="443"/>
      <c r="H285" s="1605"/>
      <c r="I285" s="502">
        <v>6</v>
      </c>
      <c r="J285" s="503">
        <f>I64</f>
        <v>70</v>
      </c>
      <c r="K285" s="503">
        <f t="shared" ref="K285:M285" si="193">J64</f>
        <v>-6.7</v>
      </c>
      <c r="L285" s="503">
        <f t="shared" si="193"/>
        <v>-2.1</v>
      </c>
      <c r="M285" s="503">
        <f t="shared" si="193"/>
        <v>2.2999999999999998</v>
      </c>
      <c r="N285" s="443"/>
      <c r="O285" s="443"/>
      <c r="P285" s="443"/>
    </row>
    <row r="286" spans="1:16" x14ac:dyDescent="0.25">
      <c r="A286" s="1604"/>
      <c r="B286" s="502">
        <v>7</v>
      </c>
      <c r="C286" s="503">
        <f>C75</f>
        <v>35</v>
      </c>
      <c r="D286" s="503">
        <f t="shared" ref="D286:F286" si="194">D75</f>
        <v>-1.1000000000000001</v>
      </c>
      <c r="E286" s="503">
        <f t="shared" si="194"/>
        <v>-0.1</v>
      </c>
      <c r="F286" s="503">
        <f t="shared" si="194"/>
        <v>0.5</v>
      </c>
      <c r="G286" s="443"/>
      <c r="H286" s="1605"/>
      <c r="I286" s="502">
        <v>7</v>
      </c>
      <c r="J286" s="503">
        <f>I75</f>
        <v>70</v>
      </c>
      <c r="K286" s="503">
        <f t="shared" ref="K286:M286" si="195">J75</f>
        <v>0.9</v>
      </c>
      <c r="L286" s="503">
        <f t="shared" si="195"/>
        <v>2.8</v>
      </c>
      <c r="M286" s="503">
        <f t="shared" si="195"/>
        <v>0.95</v>
      </c>
      <c r="N286" s="443"/>
      <c r="O286" s="443"/>
      <c r="P286" s="443"/>
    </row>
    <row r="287" spans="1:16" x14ac:dyDescent="0.25">
      <c r="A287" s="1604"/>
      <c r="B287" s="502">
        <v>8</v>
      </c>
      <c r="C287" s="503">
        <f>C86</f>
        <v>35</v>
      </c>
      <c r="D287" s="503">
        <f t="shared" ref="D287:F287" si="196">D86</f>
        <v>-0.5</v>
      </c>
      <c r="E287" s="503">
        <f t="shared" si="196"/>
        <v>-0.3</v>
      </c>
      <c r="F287" s="503">
        <f t="shared" si="196"/>
        <v>0.1</v>
      </c>
      <c r="G287" s="443"/>
      <c r="H287" s="1605"/>
      <c r="I287" s="502">
        <v>8</v>
      </c>
      <c r="J287" s="503">
        <f>I86</f>
        <v>70</v>
      </c>
      <c r="K287" s="503">
        <f t="shared" ref="K287:M287" si="197">J86</f>
        <v>-1.2</v>
      </c>
      <c r="L287" s="503">
        <f t="shared" si="197"/>
        <v>2.1</v>
      </c>
      <c r="M287" s="503">
        <f t="shared" si="197"/>
        <v>1.65</v>
      </c>
      <c r="N287" s="443"/>
      <c r="O287" s="443"/>
      <c r="P287" s="443"/>
    </row>
    <row r="288" spans="1:16" x14ac:dyDescent="0.25">
      <c r="A288" s="1604"/>
      <c r="B288" s="502">
        <v>9</v>
      </c>
      <c r="C288" s="503">
        <f>C97</f>
        <v>35</v>
      </c>
      <c r="D288" s="503">
        <f t="shared" ref="D288:F288" si="198">D97</f>
        <v>-0.5</v>
      </c>
      <c r="E288" s="503" t="str">
        <f t="shared" si="198"/>
        <v>-</v>
      </c>
      <c r="F288" s="503">
        <f t="shared" si="198"/>
        <v>0</v>
      </c>
      <c r="G288" s="443"/>
      <c r="H288" s="1605"/>
      <c r="I288" s="502">
        <v>9</v>
      </c>
      <c r="J288" s="503">
        <f>I97</f>
        <v>70</v>
      </c>
      <c r="K288" s="503">
        <f t="shared" ref="K288:M288" si="199">J97</f>
        <v>-0.6</v>
      </c>
      <c r="L288" s="503" t="str">
        <f t="shared" si="199"/>
        <v>-</v>
      </c>
      <c r="M288" s="503">
        <f t="shared" si="199"/>
        <v>0</v>
      </c>
      <c r="N288" s="443"/>
      <c r="O288" s="443"/>
      <c r="P288" s="443"/>
    </row>
    <row r="289" spans="1:16" x14ac:dyDescent="0.25">
      <c r="A289" s="1604"/>
      <c r="B289" s="502">
        <v>10</v>
      </c>
      <c r="C289" s="503">
        <f>C108</f>
        <v>35</v>
      </c>
      <c r="D289" s="503">
        <f t="shared" ref="D289:F289" si="200">D108</f>
        <v>0.2</v>
      </c>
      <c r="E289" s="503">
        <f t="shared" si="200"/>
        <v>0.8</v>
      </c>
      <c r="F289" s="503">
        <f t="shared" si="200"/>
        <v>0.30000000000000004</v>
      </c>
      <c r="G289" s="443"/>
      <c r="H289" s="1605"/>
      <c r="I289" s="502">
        <v>10</v>
      </c>
      <c r="J289" s="503">
        <f>I108</f>
        <v>70</v>
      </c>
      <c r="K289" s="503">
        <f t="shared" ref="K289:M289" si="201">J108</f>
        <v>-0.3</v>
      </c>
      <c r="L289" s="503">
        <f t="shared" si="201"/>
        <v>-5.0999999999999996</v>
      </c>
      <c r="M289" s="503">
        <f t="shared" si="201"/>
        <v>2.4</v>
      </c>
      <c r="N289" s="443"/>
      <c r="O289" s="443"/>
      <c r="P289" s="443"/>
    </row>
    <row r="290" spans="1:16" x14ac:dyDescent="0.25">
      <c r="A290" s="1604"/>
      <c r="B290" s="502">
        <v>11</v>
      </c>
      <c r="C290" s="503">
        <f>C119</f>
        <v>35</v>
      </c>
      <c r="D290" s="503">
        <f t="shared" ref="D290:F290" si="202">D119</f>
        <v>0.5</v>
      </c>
      <c r="E290" s="503" t="str">
        <f t="shared" si="202"/>
        <v>-</v>
      </c>
      <c r="F290" s="503">
        <f t="shared" si="202"/>
        <v>0</v>
      </c>
      <c r="G290" s="443"/>
      <c r="H290" s="1605"/>
      <c r="I290" s="502">
        <v>11</v>
      </c>
      <c r="J290" s="503">
        <f>I119</f>
        <v>70</v>
      </c>
      <c r="K290" s="503">
        <f t="shared" ref="K290:M290" si="203">J119</f>
        <v>-3.4</v>
      </c>
      <c r="L290" s="503" t="str">
        <f t="shared" si="203"/>
        <v>-</v>
      </c>
      <c r="M290" s="503">
        <f t="shared" si="203"/>
        <v>0</v>
      </c>
      <c r="N290" s="443"/>
      <c r="O290" s="443"/>
      <c r="P290" s="443"/>
    </row>
    <row r="291" spans="1:16" x14ac:dyDescent="0.25">
      <c r="A291" s="1604"/>
      <c r="B291" s="502">
        <v>12</v>
      </c>
      <c r="C291" s="503">
        <f>C130</f>
        <v>35</v>
      </c>
      <c r="D291" s="503">
        <f t="shared" ref="D291:F291" si="204">D130</f>
        <v>-0.1</v>
      </c>
      <c r="E291" s="503" t="str">
        <f t="shared" si="204"/>
        <v>-</v>
      </c>
      <c r="F291" s="503">
        <f t="shared" si="204"/>
        <v>0</v>
      </c>
      <c r="G291" s="443"/>
      <c r="H291" s="1605"/>
      <c r="I291" s="502">
        <v>12</v>
      </c>
      <c r="J291" s="503">
        <f>I130</f>
        <v>70</v>
      </c>
      <c r="K291" s="503">
        <f t="shared" ref="K291:M291" si="205">J130</f>
        <v>-0.8</v>
      </c>
      <c r="L291" s="503" t="str">
        <f t="shared" si="205"/>
        <v>-</v>
      </c>
      <c r="M291" s="503">
        <f t="shared" si="205"/>
        <v>0</v>
      </c>
      <c r="N291" s="443"/>
      <c r="O291" s="443"/>
      <c r="P291" s="443"/>
    </row>
    <row r="292" spans="1:16" x14ac:dyDescent="0.25">
      <c r="A292" s="1604"/>
      <c r="B292" s="502">
        <v>13</v>
      </c>
      <c r="C292" s="503">
        <f>C141</f>
        <v>35</v>
      </c>
      <c r="D292" s="503">
        <f t="shared" ref="D292:F292" si="206">D141</f>
        <v>-0.6</v>
      </c>
      <c r="E292" s="503" t="str">
        <f t="shared" si="206"/>
        <v>-</v>
      </c>
      <c r="F292" s="503">
        <f t="shared" si="206"/>
        <v>0</v>
      </c>
      <c r="G292" s="443"/>
      <c r="H292" s="1605"/>
      <c r="I292" s="502">
        <v>13</v>
      </c>
      <c r="J292" s="503">
        <f>I141</f>
        <v>70</v>
      </c>
      <c r="K292" s="503">
        <f t="shared" ref="K292:M292" si="207">J141</f>
        <v>-0.8</v>
      </c>
      <c r="L292" s="503" t="str">
        <f t="shared" si="207"/>
        <v>-</v>
      </c>
      <c r="M292" s="503">
        <f t="shared" si="207"/>
        <v>0</v>
      </c>
      <c r="N292" s="443"/>
      <c r="O292" s="443"/>
      <c r="P292" s="443"/>
    </row>
    <row r="293" spans="1:16" x14ac:dyDescent="0.25">
      <c r="A293" s="1604"/>
      <c r="B293" s="502">
        <v>14</v>
      </c>
      <c r="C293" s="503">
        <f>C152</f>
        <v>35</v>
      </c>
      <c r="D293" s="503">
        <f t="shared" ref="D293:F293" si="208">D152</f>
        <v>0.3</v>
      </c>
      <c r="E293" s="503" t="str">
        <f t="shared" si="208"/>
        <v>-</v>
      </c>
      <c r="F293" s="503">
        <f t="shared" si="208"/>
        <v>0</v>
      </c>
      <c r="G293" s="443"/>
      <c r="H293" s="1605"/>
      <c r="I293" s="502">
        <v>14</v>
      </c>
      <c r="J293" s="503">
        <f>I152</f>
        <v>70</v>
      </c>
      <c r="K293" s="503">
        <f t="shared" ref="K293:M293" si="209">J152</f>
        <v>-1.9</v>
      </c>
      <c r="L293" s="503" t="str">
        <f t="shared" si="209"/>
        <v>-</v>
      </c>
      <c r="M293" s="503">
        <f t="shared" si="209"/>
        <v>0</v>
      </c>
      <c r="N293" s="443"/>
      <c r="O293" s="443"/>
      <c r="P293" s="443"/>
    </row>
    <row r="294" spans="1:16" x14ac:dyDescent="0.25">
      <c r="A294" s="1604"/>
      <c r="B294" s="502">
        <v>15</v>
      </c>
      <c r="C294" s="503">
        <f>C163</f>
        <v>35</v>
      </c>
      <c r="D294" s="503">
        <f t="shared" ref="D294:F294" si="210">D163</f>
        <v>-0.5</v>
      </c>
      <c r="E294" s="503" t="str">
        <f t="shared" si="210"/>
        <v>-</v>
      </c>
      <c r="F294" s="503">
        <f t="shared" si="210"/>
        <v>0</v>
      </c>
      <c r="G294" s="443"/>
      <c r="H294" s="1605"/>
      <c r="I294" s="502">
        <v>15</v>
      </c>
      <c r="J294" s="503">
        <f>I163</f>
        <v>70</v>
      </c>
      <c r="K294" s="503">
        <f t="shared" ref="K294:M294" si="211">J163</f>
        <v>-0.3</v>
      </c>
      <c r="L294" s="503" t="str">
        <f t="shared" si="211"/>
        <v>-</v>
      </c>
      <c r="M294" s="503">
        <f t="shared" si="211"/>
        <v>0</v>
      </c>
      <c r="N294" s="443"/>
      <c r="O294" s="443"/>
      <c r="P294" s="443"/>
    </row>
    <row r="295" spans="1:16" x14ac:dyDescent="0.25">
      <c r="A295" s="1604"/>
      <c r="B295" s="502">
        <v>16</v>
      </c>
      <c r="C295" s="503">
        <f>C174</f>
        <v>35</v>
      </c>
      <c r="D295" s="503">
        <f t="shared" ref="D295:F295" si="212">D174</f>
        <v>0.1</v>
      </c>
      <c r="E295" s="503" t="str">
        <f t="shared" si="212"/>
        <v>-</v>
      </c>
      <c r="F295" s="503">
        <f t="shared" si="212"/>
        <v>0</v>
      </c>
      <c r="G295" s="443"/>
      <c r="H295" s="1605"/>
      <c r="I295" s="502">
        <v>16</v>
      </c>
      <c r="J295" s="503">
        <f>I174</f>
        <v>70</v>
      </c>
      <c r="K295" s="503">
        <f t="shared" ref="K295:M295" si="213">J174</f>
        <v>-1.8</v>
      </c>
      <c r="L295" s="503" t="str">
        <f t="shared" si="213"/>
        <v>-</v>
      </c>
      <c r="M295" s="503">
        <f t="shared" si="213"/>
        <v>0</v>
      </c>
      <c r="N295" s="443"/>
      <c r="O295" s="443"/>
      <c r="P295" s="443"/>
    </row>
    <row r="296" spans="1:16" x14ac:dyDescent="0.25">
      <c r="A296" s="1604"/>
      <c r="B296" s="502">
        <v>17</v>
      </c>
      <c r="C296" s="503">
        <f>C185</f>
        <v>35</v>
      </c>
      <c r="D296" s="503">
        <f t="shared" ref="D296:F296" si="214">D185</f>
        <v>-0.3</v>
      </c>
      <c r="E296" s="503" t="str">
        <f t="shared" si="214"/>
        <v>-</v>
      </c>
      <c r="F296" s="503">
        <f t="shared" si="214"/>
        <v>0</v>
      </c>
      <c r="G296" s="443"/>
      <c r="H296" s="1605"/>
      <c r="I296" s="502">
        <v>17</v>
      </c>
      <c r="J296" s="503">
        <f>I185</f>
        <v>70</v>
      </c>
      <c r="K296" s="503">
        <f t="shared" ref="K296:M296" si="215">J185</f>
        <v>-0.3</v>
      </c>
      <c r="L296" s="503" t="str">
        <f t="shared" si="215"/>
        <v>-</v>
      </c>
      <c r="M296" s="503">
        <f t="shared" si="215"/>
        <v>0</v>
      </c>
      <c r="N296" s="443"/>
      <c r="O296" s="443"/>
      <c r="P296" s="443"/>
    </row>
    <row r="297" spans="1:16" x14ac:dyDescent="0.25">
      <c r="A297" s="1604"/>
      <c r="B297" s="502">
        <v>18</v>
      </c>
      <c r="C297" s="503">
        <f>C196</f>
        <v>35</v>
      </c>
      <c r="D297" s="503">
        <f t="shared" ref="D297:F297" si="216">D196</f>
        <v>-0.2</v>
      </c>
      <c r="E297" s="503" t="str">
        <f t="shared" si="216"/>
        <v>-</v>
      </c>
      <c r="F297" s="503">
        <f t="shared" si="216"/>
        <v>0</v>
      </c>
      <c r="G297" s="443"/>
      <c r="H297" s="1605"/>
      <c r="I297" s="502">
        <v>18</v>
      </c>
      <c r="J297" s="503">
        <f>I196</f>
        <v>70</v>
      </c>
      <c r="K297" s="503">
        <f t="shared" ref="K297:M297" si="217">J196</f>
        <v>-0.1</v>
      </c>
      <c r="L297" s="503" t="str">
        <f t="shared" si="217"/>
        <v>-</v>
      </c>
      <c r="M297" s="503">
        <f t="shared" si="217"/>
        <v>0</v>
      </c>
      <c r="N297" s="443"/>
      <c r="O297" s="443"/>
      <c r="P297" s="443"/>
    </row>
    <row r="298" spans="1:16" x14ac:dyDescent="0.25">
      <c r="A298" s="509"/>
      <c r="B298" s="510"/>
      <c r="C298" s="517"/>
      <c r="D298" s="517"/>
      <c r="E298" s="517"/>
      <c r="F298" s="518"/>
      <c r="G298" s="513"/>
      <c r="H298" s="509"/>
      <c r="I298" s="510"/>
      <c r="J298" s="517"/>
      <c r="K298" s="517"/>
      <c r="L298" s="517"/>
      <c r="M298" s="518"/>
      <c r="N298" s="443"/>
      <c r="O298" s="443"/>
      <c r="P298" s="443"/>
    </row>
    <row r="299" spans="1:16" x14ac:dyDescent="0.25">
      <c r="A299" s="1604" t="s">
        <v>252</v>
      </c>
      <c r="B299" s="502">
        <v>1</v>
      </c>
      <c r="C299" s="503">
        <f>C10</f>
        <v>37</v>
      </c>
      <c r="D299" s="503">
        <f t="shared" ref="D299:F299" si="218">D10</f>
        <v>-0.2</v>
      </c>
      <c r="E299" s="503">
        <f t="shared" si="218"/>
        <v>-0.6</v>
      </c>
      <c r="F299" s="503">
        <f t="shared" si="218"/>
        <v>0.19999999999999998</v>
      </c>
      <c r="G299" s="443"/>
      <c r="H299" s="1605" t="s">
        <v>252</v>
      </c>
      <c r="I299" s="502">
        <v>1</v>
      </c>
      <c r="J299" s="503">
        <f>I10</f>
        <v>80</v>
      </c>
      <c r="K299" s="503">
        <f t="shared" ref="K299:M299" si="219">J10</f>
        <v>-1.6</v>
      </c>
      <c r="L299" s="503">
        <f t="shared" si="219"/>
        <v>0.7</v>
      </c>
      <c r="M299" s="503">
        <f t="shared" si="219"/>
        <v>1.1499999999999999</v>
      </c>
      <c r="N299" s="443"/>
      <c r="O299" s="443"/>
      <c r="P299" s="443"/>
    </row>
    <row r="300" spans="1:16" x14ac:dyDescent="0.25">
      <c r="A300" s="1604"/>
      <c r="B300" s="502">
        <v>2</v>
      </c>
      <c r="C300" s="503">
        <f>C21</f>
        <v>37</v>
      </c>
      <c r="D300" s="503">
        <f t="shared" ref="D300:F300" si="220">D21</f>
        <v>-0.3</v>
      </c>
      <c r="E300" s="503">
        <f t="shared" si="220"/>
        <v>-1.8</v>
      </c>
      <c r="F300" s="503">
        <f t="shared" si="220"/>
        <v>0.75</v>
      </c>
      <c r="G300" s="443"/>
      <c r="H300" s="1605"/>
      <c r="I300" s="502">
        <v>2</v>
      </c>
      <c r="J300" s="503">
        <f>I21</f>
        <v>80</v>
      </c>
      <c r="K300" s="503">
        <f t="shared" ref="K300:M300" si="221">J21</f>
        <v>-0.7</v>
      </c>
      <c r="L300" s="503">
        <f t="shared" si="221"/>
        <v>-0.4</v>
      </c>
      <c r="M300" s="503">
        <f t="shared" si="221"/>
        <v>0.14999999999999997</v>
      </c>
      <c r="N300" s="443"/>
      <c r="O300" s="443"/>
      <c r="P300" s="443"/>
    </row>
    <row r="301" spans="1:16" x14ac:dyDescent="0.25">
      <c r="A301" s="1604"/>
      <c r="B301" s="502">
        <v>3</v>
      </c>
      <c r="C301" s="503">
        <f>C32</f>
        <v>37</v>
      </c>
      <c r="D301" s="503">
        <f t="shared" ref="D301:F301" si="222">D32</f>
        <v>-0.6</v>
      </c>
      <c r="E301" s="503">
        <f t="shared" si="222"/>
        <v>-0.5</v>
      </c>
      <c r="F301" s="503">
        <f t="shared" si="222"/>
        <v>4.9999999999999989E-2</v>
      </c>
      <c r="G301" s="443"/>
      <c r="H301" s="1605"/>
      <c r="I301" s="502">
        <v>3</v>
      </c>
      <c r="J301" s="503">
        <f>I32</f>
        <v>80</v>
      </c>
      <c r="K301" s="503">
        <f t="shared" ref="K301:M301" si="223">J32</f>
        <v>-2.9</v>
      </c>
      <c r="L301" s="503">
        <f t="shared" si="223"/>
        <v>-0.6</v>
      </c>
      <c r="M301" s="503">
        <f t="shared" si="223"/>
        <v>1.1499999999999999</v>
      </c>
      <c r="N301" s="443"/>
      <c r="O301" s="443"/>
      <c r="P301" s="443"/>
    </row>
    <row r="302" spans="1:16" x14ac:dyDescent="0.25">
      <c r="A302" s="1604"/>
      <c r="B302" s="502">
        <v>4</v>
      </c>
      <c r="C302" s="503">
        <f>C43</f>
        <v>37</v>
      </c>
      <c r="D302" s="503">
        <f t="shared" ref="D302:F302" si="224">D43</f>
        <v>-0.6</v>
      </c>
      <c r="E302" s="503">
        <f t="shared" si="224"/>
        <v>-1.8</v>
      </c>
      <c r="F302" s="503">
        <f t="shared" si="224"/>
        <v>0.60000000000000009</v>
      </c>
      <c r="G302" s="443"/>
      <c r="H302" s="1605"/>
      <c r="I302" s="502">
        <v>4</v>
      </c>
      <c r="J302" s="503">
        <f>I43</f>
        <v>80</v>
      </c>
      <c r="K302" s="503">
        <f t="shared" ref="K302:M302" si="225">J43</f>
        <v>1.9</v>
      </c>
      <c r="L302" s="503">
        <f t="shared" si="225"/>
        <v>-0.4</v>
      </c>
      <c r="M302" s="503">
        <f t="shared" si="225"/>
        <v>1.1499999999999999</v>
      </c>
      <c r="N302" s="443"/>
      <c r="O302" s="443"/>
      <c r="P302" s="443"/>
    </row>
    <row r="303" spans="1:16" x14ac:dyDescent="0.25">
      <c r="A303" s="1604"/>
      <c r="B303" s="502">
        <v>5</v>
      </c>
      <c r="C303" s="503">
        <f>C54</f>
        <v>37</v>
      </c>
      <c r="D303" s="503">
        <f t="shared" ref="D303:F303" si="226">D54</f>
        <v>0.7</v>
      </c>
      <c r="E303" s="503">
        <f t="shared" si="226"/>
        <v>0</v>
      </c>
      <c r="F303" s="503">
        <f t="shared" si="226"/>
        <v>0.35</v>
      </c>
      <c r="G303" s="443"/>
      <c r="H303" s="1605"/>
      <c r="I303" s="502">
        <v>5</v>
      </c>
      <c r="J303" s="503">
        <f>I54</f>
        <v>80</v>
      </c>
      <c r="K303" s="503">
        <f t="shared" ref="K303:M303" si="227">J54</f>
        <v>-3</v>
      </c>
      <c r="L303" s="503">
        <f t="shared" si="227"/>
        <v>0.2</v>
      </c>
      <c r="M303" s="503">
        <f t="shared" si="227"/>
        <v>1.6</v>
      </c>
      <c r="N303" s="443"/>
      <c r="O303" s="443"/>
      <c r="P303" s="443"/>
    </row>
    <row r="304" spans="1:16" x14ac:dyDescent="0.25">
      <c r="A304" s="1604"/>
      <c r="B304" s="502">
        <v>6</v>
      </c>
      <c r="C304" s="503">
        <f>C65</f>
        <v>37</v>
      </c>
      <c r="D304" s="503">
        <f t="shared" ref="D304:F304" si="228">D65</f>
        <v>0.1</v>
      </c>
      <c r="E304" s="503">
        <f t="shared" si="228"/>
        <v>-1.1000000000000001</v>
      </c>
      <c r="F304" s="503">
        <f t="shared" si="228"/>
        <v>0.60000000000000009</v>
      </c>
      <c r="G304" s="443"/>
      <c r="H304" s="1605"/>
      <c r="I304" s="502">
        <v>6</v>
      </c>
      <c r="J304" s="503">
        <f>I65</f>
        <v>80</v>
      </c>
      <c r="K304" s="503">
        <f t="shared" ref="K304:M304" si="229">J65</f>
        <v>-6.3</v>
      </c>
      <c r="L304" s="503">
        <f t="shared" si="229"/>
        <v>-2.6</v>
      </c>
      <c r="M304" s="503">
        <f t="shared" si="229"/>
        <v>1.8499999999999999</v>
      </c>
      <c r="N304" s="443"/>
      <c r="O304" s="443"/>
      <c r="P304" s="443"/>
    </row>
    <row r="305" spans="1:16" x14ac:dyDescent="0.25">
      <c r="A305" s="1604"/>
      <c r="B305" s="502">
        <v>7</v>
      </c>
      <c r="C305" s="503">
        <f>C76</f>
        <v>37</v>
      </c>
      <c r="D305" s="503">
        <f t="shared" ref="D305:F305" si="230">D76</f>
        <v>-1.4</v>
      </c>
      <c r="E305" s="503">
        <f t="shared" si="230"/>
        <v>-0.1</v>
      </c>
      <c r="F305" s="503">
        <f t="shared" si="230"/>
        <v>0.64999999999999991</v>
      </c>
      <c r="G305" s="443"/>
      <c r="H305" s="1605"/>
      <c r="I305" s="502">
        <v>7</v>
      </c>
      <c r="J305" s="503">
        <f>I76</f>
        <v>80</v>
      </c>
      <c r="K305" s="503">
        <f t="shared" ref="K305:M305" si="231">J76</f>
        <v>1.2</v>
      </c>
      <c r="L305" s="503">
        <f t="shared" si="231"/>
        <v>4.4000000000000004</v>
      </c>
      <c r="M305" s="503">
        <f t="shared" si="231"/>
        <v>1.6</v>
      </c>
      <c r="N305" s="443"/>
      <c r="O305" s="443"/>
      <c r="P305" s="443"/>
    </row>
    <row r="306" spans="1:16" x14ac:dyDescent="0.25">
      <c r="A306" s="1604"/>
      <c r="B306" s="502">
        <v>8</v>
      </c>
      <c r="C306" s="503">
        <f>C87</f>
        <v>37</v>
      </c>
      <c r="D306" s="503">
        <f t="shared" ref="D306:F306" si="232">D87</f>
        <v>-0.5</v>
      </c>
      <c r="E306" s="503">
        <f t="shared" si="232"/>
        <v>-0.3</v>
      </c>
      <c r="F306" s="503">
        <f t="shared" si="232"/>
        <v>0.1</v>
      </c>
      <c r="G306" s="443"/>
      <c r="H306" s="1605"/>
      <c r="I306" s="502">
        <v>8</v>
      </c>
      <c r="J306" s="503">
        <f>I87</f>
        <v>80</v>
      </c>
      <c r="K306" s="503">
        <f t="shared" ref="K306:M306" si="233">J87</f>
        <v>-1.2</v>
      </c>
      <c r="L306" s="503">
        <f t="shared" si="233"/>
        <v>2.6</v>
      </c>
      <c r="M306" s="503">
        <f t="shared" si="233"/>
        <v>1.9</v>
      </c>
      <c r="N306" s="443"/>
      <c r="O306" s="443"/>
      <c r="P306" s="443"/>
    </row>
    <row r="307" spans="1:16" x14ac:dyDescent="0.25">
      <c r="A307" s="1604"/>
      <c r="B307" s="502">
        <v>9</v>
      </c>
      <c r="C307" s="503">
        <f>C98</f>
        <v>37</v>
      </c>
      <c r="D307" s="503">
        <f t="shared" ref="D307:F307" si="234">D98</f>
        <v>-0.5</v>
      </c>
      <c r="E307" s="503" t="str">
        <f t="shared" si="234"/>
        <v>-</v>
      </c>
      <c r="F307" s="503">
        <f t="shared" si="234"/>
        <v>0</v>
      </c>
      <c r="G307" s="443"/>
      <c r="H307" s="1605"/>
      <c r="I307" s="502">
        <v>9</v>
      </c>
      <c r="J307" s="503">
        <f>I98</f>
        <v>80</v>
      </c>
      <c r="K307" s="503">
        <f t="shared" ref="K307:M307" si="235">J98</f>
        <v>-0.5</v>
      </c>
      <c r="L307" s="503" t="str">
        <f t="shared" si="235"/>
        <v>-</v>
      </c>
      <c r="M307" s="503">
        <f t="shared" si="235"/>
        <v>0</v>
      </c>
      <c r="N307" s="443"/>
      <c r="O307" s="443"/>
      <c r="P307" s="443"/>
    </row>
    <row r="308" spans="1:16" x14ac:dyDescent="0.25">
      <c r="A308" s="1604"/>
      <c r="B308" s="502">
        <v>10</v>
      </c>
      <c r="C308" s="503">
        <f>C109</f>
        <v>37</v>
      </c>
      <c r="D308" s="503">
        <f t="shared" ref="D308:F308" si="236">D109</f>
        <v>0.2</v>
      </c>
      <c r="E308" s="503">
        <f t="shared" si="236"/>
        <v>0.4</v>
      </c>
      <c r="F308" s="503">
        <f t="shared" si="236"/>
        <v>0.1</v>
      </c>
      <c r="G308" s="443"/>
      <c r="H308" s="1605"/>
      <c r="I308" s="502">
        <v>10</v>
      </c>
      <c r="J308" s="503">
        <f>I109</f>
        <v>80</v>
      </c>
      <c r="K308" s="503">
        <f t="shared" ref="K308:M308" si="237">J109</f>
        <v>2.2000000000000002</v>
      </c>
      <c r="L308" s="503">
        <f t="shared" si="237"/>
        <v>-4.7</v>
      </c>
      <c r="M308" s="503">
        <f t="shared" si="237"/>
        <v>3.45</v>
      </c>
      <c r="N308" s="443"/>
      <c r="O308" s="443"/>
      <c r="P308" s="443"/>
    </row>
    <row r="309" spans="1:16" x14ac:dyDescent="0.25">
      <c r="A309" s="1604"/>
      <c r="B309" s="502">
        <v>11</v>
      </c>
      <c r="C309" s="503">
        <f>C120</f>
        <v>37</v>
      </c>
      <c r="D309" s="503">
        <f t="shared" ref="D309:F309" si="238">D120</f>
        <v>0.5</v>
      </c>
      <c r="E309" s="503" t="str">
        <f t="shared" si="238"/>
        <v>-</v>
      </c>
      <c r="F309" s="503">
        <f t="shared" si="238"/>
        <v>0</v>
      </c>
      <c r="G309" s="443"/>
      <c r="H309" s="1605"/>
      <c r="I309" s="502">
        <v>11</v>
      </c>
      <c r="J309" s="503">
        <f>I120</f>
        <v>80</v>
      </c>
      <c r="K309" s="503">
        <f t="shared" ref="K309:M309" si="239">J120</f>
        <v>-1.4</v>
      </c>
      <c r="L309" s="503" t="str">
        <f t="shared" si="239"/>
        <v>-</v>
      </c>
      <c r="M309" s="503">
        <f t="shared" si="239"/>
        <v>0</v>
      </c>
      <c r="N309" s="443"/>
      <c r="O309" s="443"/>
      <c r="P309" s="443"/>
    </row>
    <row r="310" spans="1:16" x14ac:dyDescent="0.25">
      <c r="A310" s="1604"/>
      <c r="B310" s="502">
        <v>12</v>
      </c>
      <c r="C310" s="503">
        <f>C131</f>
        <v>37</v>
      </c>
      <c r="D310" s="503">
        <f t="shared" ref="D310:F310" si="240">D131</f>
        <v>-0.1</v>
      </c>
      <c r="E310" s="503" t="str">
        <f t="shared" si="240"/>
        <v>-</v>
      </c>
      <c r="F310" s="503">
        <f t="shared" si="240"/>
        <v>0</v>
      </c>
      <c r="G310" s="443"/>
      <c r="H310" s="1605"/>
      <c r="I310" s="502">
        <v>12</v>
      </c>
      <c r="J310" s="503">
        <f>I131</f>
        <v>80</v>
      </c>
      <c r="K310" s="503">
        <f t="shared" ref="K310:M310" si="241">J131</f>
        <v>-1.3</v>
      </c>
      <c r="L310" s="503" t="str">
        <f t="shared" si="241"/>
        <v>-</v>
      </c>
      <c r="M310" s="503">
        <f t="shared" si="241"/>
        <v>0</v>
      </c>
      <c r="N310" s="443"/>
      <c r="O310" s="443"/>
      <c r="P310" s="443"/>
    </row>
    <row r="311" spans="1:16" x14ac:dyDescent="0.25">
      <c r="A311" s="1604"/>
      <c r="B311" s="502">
        <v>13</v>
      </c>
      <c r="C311" s="503">
        <f>C142</f>
        <v>37</v>
      </c>
      <c r="D311" s="503">
        <f t="shared" ref="D311:F311" si="242">D142</f>
        <v>-0.8</v>
      </c>
      <c r="E311" s="503" t="str">
        <f t="shared" si="242"/>
        <v>-</v>
      </c>
      <c r="F311" s="503">
        <f t="shared" si="242"/>
        <v>0</v>
      </c>
      <c r="G311" s="443"/>
      <c r="H311" s="1605"/>
      <c r="I311" s="502">
        <v>13</v>
      </c>
      <c r="J311" s="503">
        <f>I142</f>
        <v>80</v>
      </c>
      <c r="K311" s="503">
        <f t="shared" ref="K311:M311" si="243">J142</f>
        <v>-0.9</v>
      </c>
      <c r="L311" s="503" t="str">
        <f t="shared" si="243"/>
        <v>-</v>
      </c>
      <c r="M311" s="503">
        <f t="shared" si="243"/>
        <v>0</v>
      </c>
      <c r="N311" s="443"/>
      <c r="O311" s="443"/>
      <c r="P311" s="443"/>
    </row>
    <row r="312" spans="1:16" x14ac:dyDescent="0.25">
      <c r="A312" s="1604"/>
      <c r="B312" s="502">
        <v>14</v>
      </c>
      <c r="C312" s="503">
        <f>C153</f>
        <v>37</v>
      </c>
      <c r="D312" s="503">
        <f t="shared" ref="D312:F312" si="244">D153</f>
        <v>0.4</v>
      </c>
      <c r="E312" s="503" t="str">
        <f t="shared" si="244"/>
        <v>-</v>
      </c>
      <c r="F312" s="503">
        <f t="shared" si="244"/>
        <v>0</v>
      </c>
      <c r="G312" s="443"/>
      <c r="H312" s="1605"/>
      <c r="I312" s="502">
        <v>14</v>
      </c>
      <c r="J312" s="503">
        <f>I153</f>
        <v>80</v>
      </c>
      <c r="K312" s="503">
        <f t="shared" ref="K312:M312" si="245">J153</f>
        <v>-2.5</v>
      </c>
      <c r="L312" s="503" t="str">
        <f t="shared" si="245"/>
        <v>-</v>
      </c>
      <c r="M312" s="503">
        <f t="shared" si="245"/>
        <v>0</v>
      </c>
      <c r="N312" s="443"/>
      <c r="O312" s="443"/>
      <c r="P312" s="443"/>
    </row>
    <row r="313" spans="1:16" x14ac:dyDescent="0.25">
      <c r="A313" s="1604"/>
      <c r="B313" s="502">
        <v>15</v>
      </c>
      <c r="C313" s="503">
        <f>C164</f>
        <v>37</v>
      </c>
      <c r="D313" s="503">
        <f t="shared" ref="D313:F313" si="246">D164</f>
        <v>-0.6</v>
      </c>
      <c r="E313" s="503" t="str">
        <f t="shared" si="246"/>
        <v>-</v>
      </c>
      <c r="F313" s="503">
        <f t="shared" si="246"/>
        <v>0</v>
      </c>
      <c r="G313" s="443"/>
      <c r="H313" s="1605"/>
      <c r="I313" s="502">
        <v>15</v>
      </c>
      <c r="J313" s="503">
        <f>I164</f>
        <v>80</v>
      </c>
      <c r="K313" s="503">
        <f t="shared" ref="K313:M313" si="247">J164</f>
        <v>-0.8</v>
      </c>
      <c r="L313" s="503" t="str">
        <f t="shared" si="247"/>
        <v>-</v>
      </c>
      <c r="M313" s="503">
        <f t="shared" si="247"/>
        <v>0</v>
      </c>
      <c r="N313" s="443"/>
      <c r="O313" s="443"/>
      <c r="P313" s="443"/>
    </row>
    <row r="314" spans="1:16" x14ac:dyDescent="0.25">
      <c r="A314" s="1604"/>
      <c r="B314" s="502">
        <v>16</v>
      </c>
      <c r="C314" s="503">
        <f>C175</f>
        <v>37</v>
      </c>
      <c r="D314" s="503">
        <f t="shared" ref="D314:F314" si="248">D175</f>
        <v>9.9999999999999995E-7</v>
      </c>
      <c r="E314" s="503" t="str">
        <f t="shared" si="248"/>
        <v>-</v>
      </c>
      <c r="F314" s="503">
        <f t="shared" si="248"/>
        <v>0</v>
      </c>
      <c r="G314" s="443"/>
      <c r="H314" s="1605"/>
      <c r="I314" s="502">
        <v>16</v>
      </c>
      <c r="J314" s="503">
        <f>I175</f>
        <v>80</v>
      </c>
      <c r="K314" s="503">
        <f t="shared" ref="K314:M314" si="249">J175</f>
        <v>-2.2999999999999998</v>
      </c>
      <c r="L314" s="503" t="str">
        <f t="shared" si="249"/>
        <v>-</v>
      </c>
      <c r="M314" s="503">
        <f t="shared" si="249"/>
        <v>0</v>
      </c>
      <c r="N314" s="443"/>
      <c r="O314" s="443"/>
      <c r="P314" s="443"/>
    </row>
    <row r="315" spans="1:16" x14ac:dyDescent="0.25">
      <c r="A315" s="1604"/>
      <c r="B315" s="502">
        <v>17</v>
      </c>
      <c r="C315" s="503">
        <f>C186</f>
        <v>37</v>
      </c>
      <c r="D315" s="503">
        <f t="shared" ref="D315:F315" si="250">D186</f>
        <v>-0.3</v>
      </c>
      <c r="E315" s="503" t="str">
        <f t="shared" si="250"/>
        <v>-</v>
      </c>
      <c r="F315" s="503">
        <f t="shared" si="250"/>
        <v>0</v>
      </c>
      <c r="G315" s="443"/>
      <c r="H315" s="1605"/>
      <c r="I315" s="502">
        <v>17</v>
      </c>
      <c r="J315" s="503">
        <f>I186</f>
        <v>80</v>
      </c>
      <c r="K315" s="503">
        <f t="shared" ref="K315:M315" si="251">J186</f>
        <v>-0.5</v>
      </c>
      <c r="L315" s="503" t="str">
        <f t="shared" si="251"/>
        <v>-</v>
      </c>
      <c r="M315" s="503">
        <f t="shared" si="251"/>
        <v>0</v>
      </c>
      <c r="N315" s="503"/>
      <c r="O315" s="443"/>
      <c r="P315" s="443"/>
    </row>
    <row r="316" spans="1:16" x14ac:dyDescent="0.25">
      <c r="A316" s="1604"/>
      <c r="B316" s="502">
        <v>18</v>
      </c>
      <c r="C316" s="503">
        <f>C197</f>
        <v>37</v>
      </c>
      <c r="D316" s="503">
        <f t="shared" ref="D316:F316" si="252">D197</f>
        <v>-0.3</v>
      </c>
      <c r="E316" s="503" t="str">
        <f t="shared" si="252"/>
        <v>-</v>
      </c>
      <c r="F316" s="503">
        <f t="shared" si="252"/>
        <v>0</v>
      </c>
      <c r="G316" s="443"/>
      <c r="H316" s="1605"/>
      <c r="I316" s="502">
        <v>18</v>
      </c>
      <c r="J316" s="503">
        <f>I197</f>
        <v>80</v>
      </c>
      <c r="K316" s="503">
        <f t="shared" ref="K316:M316" si="253">J197</f>
        <v>-0.5</v>
      </c>
      <c r="L316" s="503" t="str">
        <f t="shared" si="253"/>
        <v>-</v>
      </c>
      <c r="M316" s="503">
        <f t="shared" si="253"/>
        <v>0</v>
      </c>
      <c r="N316" s="443"/>
      <c r="O316" s="443"/>
      <c r="P316" s="443"/>
    </row>
    <row r="317" spans="1:16" x14ac:dyDescent="0.25">
      <c r="A317" s="509"/>
      <c r="B317" s="510"/>
      <c r="C317" s="517"/>
      <c r="D317" s="517"/>
      <c r="E317" s="517"/>
      <c r="F317" s="518"/>
      <c r="G317" s="513"/>
      <c r="H317" s="520"/>
      <c r="I317" s="510"/>
      <c r="J317" s="517"/>
      <c r="K317" s="517"/>
      <c r="L317" s="517"/>
      <c r="M317" s="518"/>
      <c r="N317" s="443"/>
      <c r="O317" s="443"/>
      <c r="P317" s="443"/>
    </row>
    <row r="318" spans="1:16" x14ac:dyDescent="0.25">
      <c r="A318" s="1604" t="s">
        <v>253</v>
      </c>
      <c r="B318" s="502">
        <v>1</v>
      </c>
      <c r="C318" s="503">
        <f>C11</f>
        <v>40</v>
      </c>
      <c r="D318" s="503">
        <f t="shared" ref="D318:F318" si="254">D11</f>
        <v>-0.3</v>
      </c>
      <c r="E318" s="503">
        <f t="shared" si="254"/>
        <v>-0.8</v>
      </c>
      <c r="F318" s="503">
        <f t="shared" si="254"/>
        <v>0.25</v>
      </c>
      <c r="G318" s="443"/>
      <c r="H318" s="1605" t="s">
        <v>253</v>
      </c>
      <c r="I318" s="502">
        <v>1</v>
      </c>
      <c r="J318" s="503">
        <f>I11</f>
        <v>90</v>
      </c>
      <c r="K318" s="503">
        <f t="shared" ref="K318:M318" si="255">J11</f>
        <v>0.3</v>
      </c>
      <c r="L318" s="503">
        <f t="shared" si="255"/>
        <v>4.5</v>
      </c>
      <c r="M318" s="503">
        <f t="shared" si="255"/>
        <v>2.1</v>
      </c>
      <c r="N318" s="443"/>
      <c r="O318" s="443"/>
      <c r="P318" s="443"/>
    </row>
    <row r="319" spans="1:16" x14ac:dyDescent="0.25">
      <c r="A319" s="1604"/>
      <c r="B319" s="502">
        <v>2</v>
      </c>
      <c r="C319" s="503">
        <f>C22</f>
        <v>40</v>
      </c>
      <c r="D319" s="503">
        <f t="shared" ref="D319:F319" si="256">D22</f>
        <v>-0.3</v>
      </c>
      <c r="E319" s="503">
        <f t="shared" si="256"/>
        <v>-2.1</v>
      </c>
      <c r="F319" s="503">
        <f t="shared" si="256"/>
        <v>0.9</v>
      </c>
      <c r="G319" s="443"/>
      <c r="H319" s="1605"/>
      <c r="I319" s="502">
        <v>2</v>
      </c>
      <c r="J319" s="503">
        <f>I22</f>
        <v>90</v>
      </c>
      <c r="K319" s="503">
        <f t="shared" ref="K319:M319" si="257">J22</f>
        <v>-0.3</v>
      </c>
      <c r="L319" s="503">
        <f t="shared" si="257"/>
        <v>0.6</v>
      </c>
      <c r="M319" s="503">
        <f t="shared" si="257"/>
        <v>0.44999999999999996</v>
      </c>
      <c r="N319" s="443"/>
      <c r="O319" s="443"/>
      <c r="P319" s="443"/>
    </row>
    <row r="320" spans="1:16" x14ac:dyDescent="0.25">
      <c r="A320" s="1604"/>
      <c r="B320" s="502">
        <v>3</v>
      </c>
      <c r="C320" s="503">
        <f>C33</f>
        <v>40</v>
      </c>
      <c r="D320" s="503">
        <f t="shared" ref="D320:F320" si="258">D33</f>
        <v>-0.7</v>
      </c>
      <c r="E320" s="503">
        <f t="shared" si="258"/>
        <v>-0.5</v>
      </c>
      <c r="F320" s="503">
        <f t="shared" si="258"/>
        <v>9.9999999999999978E-2</v>
      </c>
      <c r="G320" s="443"/>
      <c r="H320" s="1605"/>
      <c r="I320" s="502">
        <v>3</v>
      </c>
      <c r="J320" s="503">
        <f>I33</f>
        <v>90</v>
      </c>
      <c r="K320" s="503">
        <f t="shared" ref="K320:M320" si="259">J33</f>
        <v>-2</v>
      </c>
      <c r="L320" s="503">
        <f t="shared" si="259"/>
        <v>0.9</v>
      </c>
      <c r="M320" s="503">
        <f t="shared" si="259"/>
        <v>1.45</v>
      </c>
      <c r="N320" s="443"/>
      <c r="O320" s="443"/>
      <c r="P320" s="443"/>
    </row>
    <row r="321" spans="1:16" x14ac:dyDescent="0.25">
      <c r="A321" s="1604"/>
      <c r="B321" s="502">
        <v>4</v>
      </c>
      <c r="C321" s="503">
        <f>C44</f>
        <v>40</v>
      </c>
      <c r="D321" s="503">
        <f t="shared" ref="D321:F321" si="260">D44</f>
        <v>-0.6</v>
      </c>
      <c r="E321" s="503">
        <f t="shared" si="260"/>
        <v>-2.1</v>
      </c>
      <c r="F321" s="503">
        <f t="shared" si="260"/>
        <v>0.75</v>
      </c>
      <c r="G321" s="443"/>
      <c r="H321" s="1605"/>
      <c r="I321" s="502">
        <v>4</v>
      </c>
      <c r="J321" s="503">
        <f>I44</f>
        <v>90</v>
      </c>
      <c r="K321" s="503">
        <f t="shared" ref="K321:M321" si="261">J44</f>
        <v>3.3</v>
      </c>
      <c r="L321" s="503">
        <f t="shared" si="261"/>
        <v>0.2</v>
      </c>
      <c r="M321" s="503">
        <f t="shared" si="261"/>
        <v>1.5499999999999998</v>
      </c>
      <c r="N321" s="443"/>
      <c r="O321" s="443"/>
      <c r="P321" s="443"/>
    </row>
    <row r="322" spans="1:16" x14ac:dyDescent="0.25">
      <c r="A322" s="1604"/>
      <c r="B322" s="502">
        <v>5</v>
      </c>
      <c r="C322" s="503">
        <f>C55</f>
        <v>40</v>
      </c>
      <c r="D322" s="503">
        <f t="shared" ref="D322:F322" si="262">D55</f>
        <v>0.7</v>
      </c>
      <c r="E322" s="503">
        <f t="shared" si="262"/>
        <v>-0.1</v>
      </c>
      <c r="F322" s="503">
        <f t="shared" si="262"/>
        <v>0.39999999999999997</v>
      </c>
      <c r="G322" s="443"/>
      <c r="H322" s="1605"/>
      <c r="I322" s="502">
        <v>5</v>
      </c>
      <c r="J322" s="503">
        <f>I55</f>
        <v>90</v>
      </c>
      <c r="K322" s="503">
        <f t="shared" ref="K322:M322" si="263">J55</f>
        <v>-1.8</v>
      </c>
      <c r="L322" s="503">
        <f t="shared" si="263"/>
        <v>2.7</v>
      </c>
      <c r="M322" s="503">
        <f t="shared" si="263"/>
        <v>2.25</v>
      </c>
      <c r="N322" s="443"/>
      <c r="O322" s="443"/>
      <c r="P322" s="443"/>
    </row>
    <row r="323" spans="1:16" x14ac:dyDescent="0.25">
      <c r="A323" s="1604"/>
      <c r="B323" s="502">
        <v>6</v>
      </c>
      <c r="C323" s="503">
        <f>C66</f>
        <v>40</v>
      </c>
      <c r="D323" s="503">
        <f t="shared" ref="D323:F323" si="264">D66</f>
        <v>0.1</v>
      </c>
      <c r="E323" s="503">
        <f t="shared" si="264"/>
        <v>-1.4</v>
      </c>
      <c r="F323" s="503">
        <f t="shared" si="264"/>
        <v>0.75</v>
      </c>
      <c r="G323" s="443"/>
      <c r="H323" s="1605"/>
      <c r="I323" s="502">
        <v>6</v>
      </c>
      <c r="J323" s="503">
        <f>I66</f>
        <v>90</v>
      </c>
      <c r="K323" s="503">
        <f t="shared" ref="K323:M323" si="265">J66</f>
        <v>-5.2</v>
      </c>
      <c r="L323" s="503">
        <f t="shared" si="265"/>
        <v>-2.6</v>
      </c>
      <c r="M323" s="503">
        <f t="shared" si="265"/>
        <v>1.3</v>
      </c>
      <c r="N323" s="443"/>
      <c r="O323" s="443"/>
      <c r="P323" s="443"/>
    </row>
    <row r="324" spans="1:16" x14ac:dyDescent="0.25">
      <c r="A324" s="1604"/>
      <c r="B324" s="502">
        <v>7</v>
      </c>
      <c r="C324" s="503">
        <f>C77</f>
        <v>40</v>
      </c>
      <c r="D324" s="503">
        <f t="shared" ref="D324:F324" si="266">D77</f>
        <v>-1.7</v>
      </c>
      <c r="E324" s="503">
        <f t="shared" si="266"/>
        <v>-0.1</v>
      </c>
      <c r="F324" s="503">
        <f t="shared" si="266"/>
        <v>0.79999999999999993</v>
      </c>
      <c r="G324" s="443"/>
      <c r="H324" s="1605"/>
      <c r="I324" s="502">
        <v>7</v>
      </c>
      <c r="J324" s="503">
        <f>I77</f>
        <v>90</v>
      </c>
      <c r="K324" s="503">
        <f t="shared" ref="K324:M324" si="267">J77</f>
        <v>1.8</v>
      </c>
      <c r="L324" s="503">
        <f t="shared" si="267"/>
        <v>4.4000000000000004</v>
      </c>
      <c r="M324" s="503">
        <f t="shared" si="267"/>
        <v>1.3000000000000003</v>
      </c>
      <c r="N324" s="443"/>
      <c r="O324" s="443"/>
      <c r="P324" s="443"/>
    </row>
    <row r="325" spans="1:16" x14ac:dyDescent="0.25">
      <c r="A325" s="1604"/>
      <c r="B325" s="502">
        <v>8</v>
      </c>
      <c r="C325" s="503">
        <f>C88</f>
        <v>40</v>
      </c>
      <c r="D325" s="503">
        <f t="shared" ref="D325:F325" si="268">D88</f>
        <v>-0.4</v>
      </c>
      <c r="E325" s="503">
        <f t="shared" si="268"/>
        <v>-0.4</v>
      </c>
      <c r="F325" s="503">
        <f t="shared" si="268"/>
        <v>0</v>
      </c>
      <c r="G325" s="443"/>
      <c r="H325" s="1605"/>
      <c r="I325" s="502">
        <v>8</v>
      </c>
      <c r="J325" s="503">
        <f>I88</f>
        <v>90</v>
      </c>
      <c r="K325" s="503">
        <f t="shared" ref="K325:M325" si="269">J88</f>
        <v>-1.3</v>
      </c>
      <c r="L325" s="503">
        <f t="shared" si="269"/>
        <v>2.6</v>
      </c>
      <c r="M325" s="503">
        <f t="shared" si="269"/>
        <v>1.9500000000000002</v>
      </c>
      <c r="N325" s="443"/>
      <c r="O325" s="443"/>
      <c r="P325" s="443"/>
    </row>
    <row r="326" spans="1:16" x14ac:dyDescent="0.25">
      <c r="A326" s="1604"/>
      <c r="B326" s="502">
        <v>9</v>
      </c>
      <c r="C326" s="503">
        <f>C99</f>
        <v>40</v>
      </c>
      <c r="D326" s="503">
        <f t="shared" ref="D326:F326" si="270">D99</f>
        <v>-0.4</v>
      </c>
      <c r="E326" s="503" t="str">
        <f t="shared" si="270"/>
        <v>-</v>
      </c>
      <c r="F326" s="503">
        <f t="shared" si="270"/>
        <v>0</v>
      </c>
      <c r="G326" s="443"/>
      <c r="H326" s="1605"/>
      <c r="I326" s="502">
        <v>9</v>
      </c>
      <c r="J326" s="503">
        <f>I99</f>
        <v>90</v>
      </c>
      <c r="K326" s="503">
        <f t="shared" ref="K326:M326" si="271">J99</f>
        <v>-0.2</v>
      </c>
      <c r="L326" s="503" t="str">
        <f t="shared" si="271"/>
        <v>-</v>
      </c>
      <c r="M326" s="503">
        <f t="shared" si="271"/>
        <v>0</v>
      </c>
      <c r="N326" s="443"/>
      <c r="O326" s="443"/>
      <c r="P326" s="443"/>
    </row>
    <row r="327" spans="1:16" x14ac:dyDescent="0.25">
      <c r="A327" s="1604"/>
      <c r="B327" s="502">
        <v>10</v>
      </c>
      <c r="C327" s="503">
        <f>C110</f>
        <v>40</v>
      </c>
      <c r="D327" s="503">
        <f t="shared" ref="D327:F327" si="272">D110</f>
        <v>0.2</v>
      </c>
      <c r="E327" s="503">
        <f t="shared" si="272"/>
        <v>0</v>
      </c>
      <c r="F327" s="503">
        <f t="shared" si="272"/>
        <v>0.1</v>
      </c>
      <c r="G327" s="443"/>
      <c r="H327" s="1605"/>
      <c r="I327" s="502">
        <v>10</v>
      </c>
      <c r="J327" s="503">
        <f>I110</f>
        <v>90</v>
      </c>
      <c r="K327" s="503">
        <f t="shared" ref="K327:M327" si="273">J110</f>
        <v>5.4</v>
      </c>
      <c r="L327" s="503">
        <f t="shared" si="273"/>
        <v>0</v>
      </c>
      <c r="M327" s="503">
        <f t="shared" si="273"/>
        <v>2.7</v>
      </c>
      <c r="N327" s="443"/>
      <c r="O327" s="443"/>
      <c r="P327" s="443"/>
    </row>
    <row r="328" spans="1:16" x14ac:dyDescent="0.25">
      <c r="A328" s="1604"/>
      <c r="B328" s="502">
        <v>11</v>
      </c>
      <c r="C328" s="503">
        <f>C121</f>
        <v>40</v>
      </c>
      <c r="D328" s="503">
        <f t="shared" ref="D328:F328" si="274">D121</f>
        <v>0.5</v>
      </c>
      <c r="E328" s="503" t="str">
        <f t="shared" si="274"/>
        <v>-</v>
      </c>
      <c r="F328" s="503">
        <f t="shared" si="274"/>
        <v>0</v>
      </c>
      <c r="G328" s="443"/>
      <c r="H328" s="1605"/>
      <c r="I328" s="502">
        <v>11</v>
      </c>
      <c r="J328" s="503">
        <f>I121</f>
        <v>90</v>
      </c>
      <c r="K328" s="503">
        <f t="shared" ref="K328:M328" si="275">J121</f>
        <v>1.3</v>
      </c>
      <c r="L328" s="503" t="str">
        <f t="shared" si="275"/>
        <v>-</v>
      </c>
      <c r="M328" s="503">
        <f t="shared" si="275"/>
        <v>0</v>
      </c>
      <c r="N328" s="443"/>
      <c r="O328" s="443"/>
      <c r="P328" s="443"/>
    </row>
    <row r="329" spans="1:16" x14ac:dyDescent="0.25">
      <c r="A329" s="1604"/>
      <c r="B329" s="502">
        <v>12</v>
      </c>
      <c r="C329" s="503">
        <f>C132</f>
        <v>40</v>
      </c>
      <c r="D329" s="503">
        <f t="shared" ref="D329:F329" si="276">D132</f>
        <v>9.9999999999999995E-7</v>
      </c>
      <c r="E329" s="503" t="str">
        <f t="shared" si="276"/>
        <v>-</v>
      </c>
      <c r="F329" s="503">
        <f t="shared" si="276"/>
        <v>0</v>
      </c>
      <c r="G329" s="443"/>
      <c r="H329" s="1605"/>
      <c r="I329" s="502">
        <v>12</v>
      </c>
      <c r="J329" s="503">
        <f>I132</f>
        <v>90</v>
      </c>
      <c r="K329" s="503">
        <f t="shared" ref="K329:M329" si="277">J132</f>
        <v>-2</v>
      </c>
      <c r="L329" s="503" t="str">
        <f t="shared" si="277"/>
        <v>-</v>
      </c>
      <c r="M329" s="503">
        <f t="shared" si="277"/>
        <v>0</v>
      </c>
      <c r="N329" s="443"/>
      <c r="O329" s="443"/>
      <c r="P329" s="443"/>
    </row>
    <row r="330" spans="1:16" x14ac:dyDescent="0.25">
      <c r="A330" s="1604"/>
      <c r="B330" s="502">
        <v>13</v>
      </c>
      <c r="C330" s="503">
        <f>C143</f>
        <v>40</v>
      </c>
      <c r="D330" s="503">
        <f t="shared" ref="D330:F330" si="278">D143</f>
        <v>-1.1000000000000001</v>
      </c>
      <c r="E330" s="503" t="str">
        <f t="shared" si="278"/>
        <v>-</v>
      </c>
      <c r="F330" s="503">
        <f t="shared" si="278"/>
        <v>0</v>
      </c>
      <c r="G330" s="443"/>
      <c r="H330" s="1605"/>
      <c r="I330" s="502">
        <v>13</v>
      </c>
      <c r="J330" s="503">
        <f>I143</f>
        <v>90</v>
      </c>
      <c r="K330" s="503">
        <f t="shared" ref="K330:M330" si="279">J143</f>
        <v>-0.8</v>
      </c>
      <c r="L330" s="503" t="str">
        <f t="shared" si="279"/>
        <v>-</v>
      </c>
      <c r="M330" s="503">
        <f t="shared" si="279"/>
        <v>0</v>
      </c>
      <c r="N330" s="443"/>
      <c r="O330" s="443"/>
      <c r="P330" s="443"/>
    </row>
    <row r="331" spans="1:16" x14ac:dyDescent="0.25">
      <c r="A331" s="1604"/>
      <c r="B331" s="502">
        <v>14</v>
      </c>
      <c r="C331" s="503">
        <f>C154</f>
        <v>40</v>
      </c>
      <c r="D331" s="503">
        <f t="shared" ref="D331:F331" si="280">D154</f>
        <v>0.5</v>
      </c>
      <c r="E331" s="503" t="str">
        <f t="shared" si="280"/>
        <v>-</v>
      </c>
      <c r="F331" s="503">
        <f t="shared" si="280"/>
        <v>0</v>
      </c>
      <c r="G331" s="443"/>
      <c r="H331" s="1605"/>
      <c r="I331" s="502">
        <v>14</v>
      </c>
      <c r="J331" s="503">
        <f>I154</f>
        <v>90</v>
      </c>
      <c r="K331" s="503">
        <f t="shared" ref="K331:M331" si="281">J154</f>
        <v>-3.2</v>
      </c>
      <c r="L331" s="503" t="str">
        <f t="shared" si="281"/>
        <v>-</v>
      </c>
      <c r="M331" s="503">
        <f t="shared" si="281"/>
        <v>0</v>
      </c>
      <c r="N331" s="443"/>
      <c r="O331" s="443"/>
      <c r="P331" s="443"/>
    </row>
    <row r="332" spans="1:16" x14ac:dyDescent="0.25">
      <c r="A332" s="1604"/>
      <c r="B332" s="502">
        <v>15</v>
      </c>
      <c r="C332" s="503">
        <f>C165</f>
        <v>40</v>
      </c>
      <c r="D332" s="503">
        <f t="shared" ref="D332:F332" si="282">D165</f>
        <v>-0.8</v>
      </c>
      <c r="E332" s="503" t="str">
        <f t="shared" si="282"/>
        <v>-</v>
      </c>
      <c r="F332" s="503">
        <f t="shared" si="282"/>
        <v>0</v>
      </c>
      <c r="G332" s="443"/>
      <c r="H332" s="1605"/>
      <c r="I332" s="502">
        <v>15</v>
      </c>
      <c r="J332" s="503">
        <f>I165</f>
        <v>90</v>
      </c>
      <c r="K332" s="503">
        <f t="shared" ref="K332:M332" si="283">J165</f>
        <v>-1.4</v>
      </c>
      <c r="L332" s="503" t="str">
        <f t="shared" si="283"/>
        <v>-</v>
      </c>
      <c r="M332" s="503">
        <f t="shared" si="283"/>
        <v>0</v>
      </c>
      <c r="N332" s="443"/>
      <c r="O332" s="443"/>
      <c r="P332" s="443"/>
    </row>
    <row r="333" spans="1:16" x14ac:dyDescent="0.25">
      <c r="A333" s="1604"/>
      <c r="B333" s="502">
        <v>16</v>
      </c>
      <c r="C333" s="503">
        <f>C176</f>
        <v>40</v>
      </c>
      <c r="D333" s="503">
        <f t="shared" ref="D333:F333" si="284">D176</f>
        <v>9.9999999999999995E-7</v>
      </c>
      <c r="E333" s="503" t="str">
        <f t="shared" si="284"/>
        <v>-</v>
      </c>
      <c r="F333" s="503">
        <f t="shared" si="284"/>
        <v>0</v>
      </c>
      <c r="G333" s="443"/>
      <c r="H333" s="1605"/>
      <c r="I333" s="502">
        <v>16</v>
      </c>
      <c r="J333" s="503">
        <f>I176</f>
        <v>90</v>
      </c>
      <c r="K333" s="503">
        <f t="shared" ref="K333:M333" si="285">J176</f>
        <v>-3</v>
      </c>
      <c r="L333" s="503" t="str">
        <f t="shared" si="285"/>
        <v>-</v>
      </c>
      <c r="M333" s="503">
        <f t="shared" si="285"/>
        <v>0</v>
      </c>
      <c r="N333" s="443"/>
      <c r="O333" s="443"/>
      <c r="P333" s="443"/>
    </row>
    <row r="334" spans="1:16" x14ac:dyDescent="0.25">
      <c r="A334" s="1604"/>
      <c r="B334" s="502">
        <v>17</v>
      </c>
      <c r="C334" s="503">
        <f>C187</f>
        <v>40</v>
      </c>
      <c r="D334" s="503">
        <f t="shared" ref="D334:F334" si="286">D187</f>
        <v>-0.4</v>
      </c>
      <c r="E334" s="503" t="str">
        <f t="shared" si="286"/>
        <v>-</v>
      </c>
      <c r="F334" s="503">
        <f t="shared" si="286"/>
        <v>0</v>
      </c>
      <c r="G334" s="443"/>
      <c r="H334" s="1605"/>
      <c r="I334" s="502">
        <v>17</v>
      </c>
      <c r="J334" s="503">
        <f>I187</f>
        <v>90</v>
      </c>
      <c r="K334" s="503">
        <f t="shared" ref="K334:M334" si="287">J187</f>
        <v>-0.8</v>
      </c>
      <c r="L334" s="503" t="str">
        <f t="shared" si="287"/>
        <v>-</v>
      </c>
      <c r="M334" s="503">
        <f t="shared" si="287"/>
        <v>0</v>
      </c>
      <c r="N334" s="443"/>
      <c r="O334" s="443"/>
      <c r="P334" s="443"/>
    </row>
    <row r="335" spans="1:16" x14ac:dyDescent="0.25">
      <c r="A335" s="1604"/>
      <c r="B335" s="502">
        <v>18</v>
      </c>
      <c r="C335" s="503">
        <f>C198</f>
        <v>40</v>
      </c>
      <c r="D335" s="503">
        <f t="shared" ref="D335:F335" si="288">D198</f>
        <v>-0.4</v>
      </c>
      <c r="E335" s="503" t="str">
        <f t="shared" si="288"/>
        <v>-</v>
      </c>
      <c r="F335" s="503">
        <f t="shared" si="288"/>
        <v>0</v>
      </c>
      <c r="G335" s="443"/>
      <c r="H335" s="1605"/>
      <c r="I335" s="502">
        <v>18</v>
      </c>
      <c r="J335" s="503">
        <f>I198</f>
        <v>90</v>
      </c>
      <c r="K335" s="503">
        <f t="shared" ref="K335:M335" si="289">J198</f>
        <v>-0.9</v>
      </c>
      <c r="L335" s="503" t="str">
        <f t="shared" si="289"/>
        <v>-</v>
      </c>
      <c r="M335" s="503">
        <f t="shared" si="289"/>
        <v>0</v>
      </c>
      <c r="N335" s="443"/>
      <c r="O335" s="443"/>
      <c r="P335" s="443"/>
    </row>
    <row r="336" spans="1:16" ht="13.8" thickBot="1" x14ac:dyDescent="0.3">
      <c r="A336" s="521"/>
      <c r="B336" s="522"/>
      <c r="C336" s="513"/>
      <c r="D336" s="513"/>
      <c r="E336" s="513"/>
      <c r="F336" s="513"/>
      <c r="G336" s="513"/>
      <c r="H336" s="443"/>
      <c r="I336" s="523"/>
      <c r="J336" s="522"/>
      <c r="K336" s="513"/>
      <c r="L336" s="513"/>
      <c r="M336" s="513"/>
      <c r="N336" s="513"/>
      <c r="O336" s="513"/>
      <c r="P336" s="443"/>
    </row>
    <row r="337" spans="1:16" ht="29.25" customHeight="1" x14ac:dyDescent="0.25">
      <c r="A337" s="298">
        <f>A375</f>
        <v>8</v>
      </c>
      <c r="B337" s="1606" t="str">
        <f>A356</f>
        <v>Thermohygrolight, Merek : Greisinger, Model : GFTB 200, SN : 34903051</v>
      </c>
      <c r="C337" s="1606"/>
      <c r="D337" s="1607"/>
      <c r="E337" s="299"/>
      <c r="F337" s="298">
        <f>A337</f>
        <v>8</v>
      </c>
      <c r="G337" s="1606" t="str">
        <f>B337</f>
        <v>Thermohygrolight, Merek : Greisinger, Model : GFTB 200, SN : 34903051</v>
      </c>
      <c r="H337" s="1606"/>
      <c r="I337" s="1607"/>
      <c r="J337" s="299"/>
      <c r="K337" s="298">
        <f>A337</f>
        <v>8</v>
      </c>
      <c r="L337" s="1591" t="str">
        <f>G337</f>
        <v>Thermohygrolight, Merek : Greisinger, Model : GFTB 200, SN : 34903051</v>
      </c>
      <c r="M337" s="1592"/>
      <c r="N337" s="1592"/>
      <c r="O337" s="1593"/>
      <c r="P337" s="443"/>
    </row>
    <row r="338" spans="1:16" ht="13.8" x14ac:dyDescent="0.25">
      <c r="A338" s="524" t="s">
        <v>515</v>
      </c>
      <c r="B338" s="1594" t="s">
        <v>127</v>
      </c>
      <c r="C338" s="1594"/>
      <c r="D338" s="1595" t="s">
        <v>123</v>
      </c>
      <c r="E338" s="1602" t="s">
        <v>137</v>
      </c>
      <c r="F338" s="891" t="s">
        <v>516</v>
      </c>
      <c r="G338" s="1594" t="s">
        <v>127</v>
      </c>
      <c r="H338" s="1594"/>
      <c r="I338" s="1596" t="s">
        <v>123</v>
      </c>
      <c r="J338" s="1602" t="s">
        <v>137</v>
      </c>
      <c r="K338" s="1597"/>
      <c r="L338" s="1600" t="s">
        <v>140</v>
      </c>
      <c r="M338" s="1600" t="s">
        <v>141</v>
      </c>
      <c r="N338" s="1600" t="s">
        <v>142</v>
      </c>
      <c r="O338" s="1601" t="s">
        <v>137</v>
      </c>
      <c r="P338" s="443"/>
    </row>
    <row r="339" spans="1:16" ht="14.4" x14ac:dyDescent="0.25">
      <c r="A339" s="300" t="s">
        <v>537</v>
      </c>
      <c r="B339" s="525">
        <f>VLOOKUP(B337,A357:K374,9,FALSE)</f>
        <v>2019</v>
      </c>
      <c r="C339" s="525">
        <f>VLOOKUP(B337,A357:K374,10,FALSE)</f>
        <v>2017</v>
      </c>
      <c r="D339" s="1595"/>
      <c r="E339" s="1603"/>
      <c r="F339" s="892" t="s">
        <v>19</v>
      </c>
      <c r="G339" s="525">
        <f>B339</f>
        <v>2019</v>
      </c>
      <c r="H339" s="525">
        <f>C339</f>
        <v>2017</v>
      </c>
      <c r="I339" s="1596"/>
      <c r="J339" s="1603"/>
      <c r="K339" s="1598"/>
      <c r="L339" s="1600"/>
      <c r="M339" s="1600"/>
      <c r="N339" s="1600"/>
      <c r="O339" s="1601"/>
      <c r="P339" s="443"/>
    </row>
    <row r="340" spans="1:16" x14ac:dyDescent="0.25">
      <c r="A340" s="526">
        <f>VLOOKUP($A$337,$B$204:$F$221,2,FALSE)</f>
        <v>15</v>
      </c>
      <c r="B340" s="527">
        <f>VLOOKUP($A$337,$B$204:$F$221,3,FALSE)</f>
        <v>9.9999999999999995E-7</v>
      </c>
      <c r="C340" s="527">
        <f>VLOOKUP($A$337,$B$204:$F$221,4,FALSE)</f>
        <v>-0.2</v>
      </c>
      <c r="D340" s="894">
        <f>VLOOKUP($A$337,$B$204:$F$221,5,FALSE)</f>
        <v>0.10000050000000001</v>
      </c>
      <c r="F340" s="895">
        <f>VLOOKUP($F$337,$I$204:$M$221,2,FALSE)</f>
        <v>30</v>
      </c>
      <c r="G340" s="527">
        <f>VLOOKUP($F$337,$I$204:$M$221,3,FALSE)</f>
        <v>-1.4</v>
      </c>
      <c r="H340" s="527">
        <f>VLOOKUP($F$337,$I$204:$M$221,4,FALSE)</f>
        <v>1</v>
      </c>
      <c r="I340" s="528">
        <f>VLOOKUP($F$337,$I$204:$M$221,5,FALSE)</f>
        <v>1.2</v>
      </c>
      <c r="J340" s="513"/>
      <c r="K340" s="1599"/>
      <c r="L340" s="1600"/>
      <c r="M340" s="1600"/>
      <c r="N340" s="1600"/>
      <c r="O340" s="1601"/>
      <c r="P340" s="443"/>
    </row>
    <row r="341" spans="1:16" x14ac:dyDescent="0.25">
      <c r="A341" s="526">
        <f>VLOOKUP($A$337,$B$223:$F$240,2,FALSE)</f>
        <v>20</v>
      </c>
      <c r="B341" s="527">
        <f>VLOOKUP($A$337,$B$223:$F$240,3,FALSE)</f>
        <v>-0.2</v>
      </c>
      <c r="C341" s="527">
        <f>VLOOKUP($A$337,$B$223:$F$240,4,FALSE)</f>
        <v>-0.2</v>
      </c>
      <c r="D341" s="528">
        <f>VLOOKUP($A$337,$B$223:$F$240,5,FALSE)</f>
        <v>0</v>
      </c>
      <c r="E341" s="893"/>
      <c r="F341" s="526">
        <f>VLOOKUP($F$337,$I$223:$M$240,2,FALSE)</f>
        <v>40</v>
      </c>
      <c r="G341" s="527">
        <f>VLOOKUP($F$337,$I$223:$M$240,3,FALSE)</f>
        <v>-1.2</v>
      </c>
      <c r="H341" s="527">
        <f>VLOOKUP($F$337,$I$223:$M$240,4,FALSE)</f>
        <v>1.1000000000000001</v>
      </c>
      <c r="I341" s="528">
        <f>VLOOKUP($F$337,$I$223:$M$240,5,FALSE)</f>
        <v>1.1499999999999999</v>
      </c>
      <c r="J341" s="513"/>
      <c r="K341" s="529" t="s">
        <v>515</v>
      </c>
      <c r="L341" s="530">
        <f>AVERAGE(ID!E15:F15)</f>
        <v>23.45</v>
      </c>
      <c r="M341" s="531">
        <f>L341+E350</f>
        <v>23.198962552538845</v>
      </c>
      <c r="N341" s="531">
        <f>STDEV(ID!E15:F15)</f>
        <v>7.0710678118655765E-2</v>
      </c>
      <c r="O341" s="893">
        <f>IF($A$337=$O$203,P203,IF($A$337=$O$204,P204,IF(A337=O205,P205,IF(A337=O206,P206,IF(A337=O207,P207,IF(A337=O208,P208,IF(A337=O209,P209,IF(A337=O210,P210,IF(A337=O211,P211,IF(A337=O212,P212,IF(A337=O213,P213,IF(A337=O214,P214,IF(A337=O215,P215,IF(A337=O216,P216,IF(A337=O217,P217,IF(A337=O218,P218,IF(A337=O219,P219,IF(A337=O220,P220))))))))))))))))))</f>
        <v>0.3</v>
      </c>
      <c r="P341" s="532"/>
    </row>
    <row r="342" spans="1:16" ht="13.8" thickBot="1" x14ac:dyDescent="0.3">
      <c r="A342" s="526">
        <f>VLOOKUP($A$337,$B$242:$F$259,2,FALSE)</f>
        <v>25</v>
      </c>
      <c r="B342" s="527">
        <f>VLOOKUP($A$337,$B$242:$F$259,3,FALSE)</f>
        <v>-0.4</v>
      </c>
      <c r="C342" s="527">
        <f>VLOOKUP($A$337,$B$242:$F$259,4,FALSE)</f>
        <v>-0.2</v>
      </c>
      <c r="D342" s="528">
        <f>VLOOKUP($A$337,$B$242:$F$259,5,FALSE)</f>
        <v>0.1</v>
      </c>
      <c r="E342" s="513"/>
      <c r="F342" s="526">
        <f>VLOOKUP($F$337,$I$242:$M$259,2,FALSE)</f>
        <v>50</v>
      </c>
      <c r="G342" s="527">
        <f>VLOOKUP($F$337,$I$242:$M$259,3,FALSE)</f>
        <v>-1.2</v>
      </c>
      <c r="H342" s="527">
        <f>VLOOKUP($F$337,$I$242:$M$259,4,FALSE)</f>
        <v>1.3</v>
      </c>
      <c r="I342" s="528">
        <f>VLOOKUP($F$337,$I$242:$M$259,5,FALSE)</f>
        <v>1.25</v>
      </c>
      <c r="J342" s="513"/>
      <c r="K342" s="533" t="s">
        <v>19</v>
      </c>
      <c r="L342" s="530">
        <f>AVERAGE(ID!E16:F16)</f>
        <v>57.5</v>
      </c>
      <c r="M342" s="534">
        <f>L342+J350</f>
        <v>56.268749999999997</v>
      </c>
      <c r="N342" s="531">
        <f>STDEV(ID!E16:F16)</f>
        <v>0.14142135623731153</v>
      </c>
      <c r="O342" s="893">
        <f>IF($A$337=$O$203,Q203,IF($A$337=$O$204,Q204,IF(A337=O205,Q205,IF(A337=O206,Q206,IF(A337=O207,Q207,IF(A337=O208,Q208,IF(A337=O209,Q209,IF(A337=O210,Q210,IF(A337=O211,Q211,IF(A337=O212,Q212,IF(A337=O213,Q213,IF(A337=O214,Q214,IF(A337=O215,Q215,IF(A337=O216,Q216,IF(A337=O217,Q217,IF(A337=O218,Q218,IF(A337=O219,Q219,IF(A337=O220,Q220))))))))))))))))))</f>
        <v>2.6</v>
      </c>
      <c r="P342" s="532"/>
    </row>
    <row r="343" spans="1:16" x14ac:dyDescent="0.25">
      <c r="A343" s="526">
        <f>VLOOKUP($A$337,$B$261:$F$278,2,FALSE)</f>
        <v>30</v>
      </c>
      <c r="B343" s="527">
        <f>VLOOKUP($A$337,$B$261:$F$278,3,FALSE)</f>
        <v>-0.4</v>
      </c>
      <c r="C343" s="527">
        <f>VLOOKUP($A$337,$B$261:$F$278,4,FALSE)</f>
        <v>-0.2</v>
      </c>
      <c r="D343" s="528">
        <f>VLOOKUP($A$337,$B$261:$F$278,5,FALSE)</f>
        <v>0.1</v>
      </c>
      <c r="E343" s="513"/>
      <c r="F343" s="526">
        <f>VLOOKUP($F$337,$I$261:$M$278,2,FALSE)</f>
        <v>60</v>
      </c>
      <c r="G343" s="527">
        <f>VLOOKUP($F$337,$I$261:$M$278,3,FALSE)</f>
        <v>-1.1000000000000001</v>
      </c>
      <c r="H343" s="527">
        <f>VLOOKUP($F$337,$I$261:$M$278,4,FALSE)</f>
        <v>1.7</v>
      </c>
      <c r="I343" s="528">
        <f>VLOOKUP($F$337,$I$261:$M$278,5,FALSE)</f>
        <v>1.4</v>
      </c>
      <c r="J343" s="513"/>
      <c r="K343" s="513"/>
      <c r="L343" s="301"/>
      <c r="M343" s="302"/>
      <c r="N343" s="301"/>
      <c r="O343" s="303"/>
      <c r="P343" s="532"/>
    </row>
    <row r="344" spans="1:16" ht="13.8" thickBot="1" x14ac:dyDescent="0.3">
      <c r="A344" s="526">
        <f>VLOOKUP($A$337,$B$280:$F$297,2,FALSE)</f>
        <v>35</v>
      </c>
      <c r="B344" s="527">
        <f>VLOOKUP($A$337,$B$280:$F$297,3,FALSE)</f>
        <v>-0.5</v>
      </c>
      <c r="C344" s="527">
        <f>VLOOKUP($A$337,$B$280:$F$297,4,FALSE)</f>
        <v>-0.3</v>
      </c>
      <c r="D344" s="528">
        <f>VLOOKUP($A$337,$B$280:$F$297,5,FALSE)</f>
        <v>0.1</v>
      </c>
      <c r="E344" s="513"/>
      <c r="F344" s="526">
        <f>VLOOKUP($F$337,$I$280:$M$297,2,FALSE)</f>
        <v>70</v>
      </c>
      <c r="G344" s="527">
        <f>VLOOKUP($F$337,$I$280:$M$297,3,FALSE)</f>
        <v>-1.2</v>
      </c>
      <c r="H344" s="527">
        <f>VLOOKUP($F$337,$I$280:$M$297,4,FALSE)</f>
        <v>2.1</v>
      </c>
      <c r="I344" s="528">
        <f>VLOOKUP($F$337,$I$280:$M$297,5,FALSE)</f>
        <v>1.65</v>
      </c>
      <c r="J344" s="513"/>
      <c r="K344" s="513"/>
      <c r="O344" s="304"/>
      <c r="P344" s="532"/>
    </row>
    <row r="345" spans="1:16" ht="13.8" x14ac:dyDescent="0.25">
      <c r="A345" s="526">
        <f>VLOOKUP($A$337,$B$299:$F$316,2,FALSE)</f>
        <v>37</v>
      </c>
      <c r="B345" s="527">
        <f>VLOOKUP($A$337,$B$299:$F$316,3,FALSE)</f>
        <v>-0.5</v>
      </c>
      <c r="C345" s="527">
        <f>VLOOKUP($A$337,$B$299:$F$316,4,FALSE)</f>
        <v>-0.3</v>
      </c>
      <c r="D345" s="528">
        <f>VLOOKUP($A$337,$B$299:$F$316,5,FALSE)</f>
        <v>0.1</v>
      </c>
      <c r="E345" s="513"/>
      <c r="F345" s="526">
        <f>VLOOKUP($F$337,$I$299:$M$316,2,FALSE)</f>
        <v>80</v>
      </c>
      <c r="G345" s="527">
        <f>VLOOKUP($F$337,$I$299:$M$316,3,FALSE)</f>
        <v>-1.2</v>
      </c>
      <c r="H345" s="527">
        <f>VLOOKUP($F$337,$I$299:$M$316,4,FALSE)</f>
        <v>2.6</v>
      </c>
      <c r="I345" s="528">
        <f>VLOOKUP($F$337,$I$299:$M$316,5,FALSE)</f>
        <v>1.9</v>
      </c>
      <c r="J345" s="513"/>
      <c r="K345" s="1577" t="s">
        <v>538</v>
      </c>
      <c r="L345" s="445" t="str">
        <f>M359&amp;M357&amp;N359&amp;N357&amp;O359&amp;O357</f>
        <v>( 23.2 ± 0.3 ) °C</v>
      </c>
      <c r="M345" s="535"/>
      <c r="O345" s="306"/>
      <c r="P345" s="536"/>
    </row>
    <row r="346" spans="1:16" ht="14.4" thickBot="1" x14ac:dyDescent="0.3">
      <c r="A346" s="537">
        <f>VLOOKUP($A$337,$B$318:$F$335,2,FALSE)</f>
        <v>40</v>
      </c>
      <c r="B346" s="538">
        <f>VLOOKUP($A$337,$B$318:$F$335,3,FALSE)</f>
        <v>-0.4</v>
      </c>
      <c r="C346" s="538">
        <f>VLOOKUP($A$337,$B$318:$F$335,4,FALSE)</f>
        <v>-0.4</v>
      </c>
      <c r="D346" s="539">
        <f>VLOOKUP($A$337,$B$318:$F$335,5,FALSE)</f>
        <v>0</v>
      </c>
      <c r="E346" s="513"/>
      <c r="F346" s="537">
        <f>VLOOKUP($F$337,$I$318:$M$335,2,FALSE)</f>
        <v>90</v>
      </c>
      <c r="G346" s="538">
        <f>VLOOKUP($F$337,$I$318:$M$335,3,FALSE)</f>
        <v>-1.3</v>
      </c>
      <c r="H346" s="538">
        <f>VLOOKUP($F$337,$I$318:$M$335,4,FALSE)</f>
        <v>2.6</v>
      </c>
      <c r="I346" s="539">
        <f>VLOOKUP($F$337,$I$318:$M$335,5,FALSE)</f>
        <v>1.9500000000000002</v>
      </c>
      <c r="J346" s="513"/>
      <c r="K346" s="1578"/>
      <c r="L346" s="456" t="str">
        <f>M359&amp;M358&amp;N359&amp;N358&amp;O359&amp;O358</f>
        <v>( 56.3 ± 2.6 ) %RH</v>
      </c>
      <c r="M346" s="457"/>
      <c r="O346" s="306"/>
      <c r="P346" s="532"/>
    </row>
    <row r="347" spans="1:16" ht="16.2" thickBot="1" x14ac:dyDescent="0.35">
      <c r="A347" s="540"/>
      <c r="B347" s="513"/>
      <c r="C347" s="513"/>
      <c r="D347" s="513"/>
      <c r="E347" s="513"/>
      <c r="F347" s="513"/>
      <c r="G347" s="513"/>
      <c r="H347" s="513"/>
      <c r="I347" s="513"/>
      <c r="J347" s="513"/>
      <c r="K347" s="513"/>
      <c r="O347" s="306"/>
      <c r="P347" s="541"/>
    </row>
    <row r="348" spans="1:16" ht="14.4" thickBot="1" x14ac:dyDescent="0.3">
      <c r="A348" s="1579" t="s">
        <v>539</v>
      </c>
      <c r="B348" s="1580"/>
      <c r="C348" s="1580"/>
      <c r="D348" s="1581"/>
      <c r="E348" s="307"/>
      <c r="F348" s="1579" t="s">
        <v>540</v>
      </c>
      <c r="G348" s="1580"/>
      <c r="H348" s="1580"/>
      <c r="I348" s="1581"/>
      <c r="J348" s="513"/>
      <c r="K348" s="513"/>
      <c r="L348" s="513"/>
      <c r="M348" s="308"/>
      <c r="N348" s="309"/>
      <c r="O348" s="306"/>
      <c r="P348" s="542"/>
    </row>
    <row r="349" spans="1:16" ht="13.8" x14ac:dyDescent="0.25">
      <c r="A349" s="543"/>
      <c r="B349" s="544"/>
      <c r="C349" s="544"/>
      <c r="D349" s="545"/>
      <c r="E349" s="546"/>
      <c r="F349" s="547"/>
      <c r="G349" s="544"/>
      <c r="H349" s="544"/>
      <c r="I349" s="545"/>
      <c r="J349" s="513"/>
      <c r="K349" s="513"/>
      <c r="L349" s="513"/>
      <c r="M349" s="513"/>
      <c r="N349" s="513"/>
      <c r="O349" s="548"/>
      <c r="P349" s="549"/>
    </row>
    <row r="350" spans="1:16" ht="14.4" x14ac:dyDescent="0.3">
      <c r="A350" s="550">
        <f>L341</f>
        <v>23.45</v>
      </c>
      <c r="B350" s="551"/>
      <c r="C350" s="551"/>
      <c r="D350" s="848"/>
      <c r="E350" s="851">
        <f>(FORECAST(A350,B340:B346,A340:A346))</f>
        <v>-0.25103744746115431</v>
      </c>
      <c r="F350" s="849">
        <f>L342</f>
        <v>57.5</v>
      </c>
      <c r="G350" s="551"/>
      <c r="H350" s="847"/>
      <c r="I350" s="848"/>
      <c r="J350" s="850">
        <f>(FORECAST(F350,G340:G346,F340:F346))</f>
        <v>-1.2312500000000004</v>
      </c>
      <c r="K350" s="513"/>
      <c r="L350" s="513"/>
      <c r="M350" s="513"/>
      <c r="N350" s="513"/>
      <c r="O350" s="548"/>
      <c r="P350" s="552"/>
    </row>
    <row r="351" spans="1:16" ht="13.8" thickBot="1" x14ac:dyDescent="0.3">
      <c r="A351" s="553"/>
      <c r="B351" s="554"/>
      <c r="C351" s="555"/>
      <c r="D351" s="556"/>
      <c r="E351" s="557"/>
      <c r="F351" s="553"/>
      <c r="G351" s="554"/>
      <c r="H351" s="555"/>
      <c r="I351" s="556"/>
      <c r="J351" s="558"/>
      <c r="K351" s="558"/>
      <c r="L351" s="558"/>
      <c r="M351" s="558"/>
      <c r="N351" s="558"/>
      <c r="O351" s="559"/>
      <c r="P351" s="560"/>
    </row>
    <row r="355" spans="1:15" ht="13.8" thickBot="1" x14ac:dyDescent="0.3"/>
    <row r="356" spans="1:15" s="561" customFormat="1" ht="13.8" thickBot="1" x14ac:dyDescent="0.3">
      <c r="A356" s="1582" t="str">
        <f>ID!B55</f>
        <v>Thermohygrolight, Merek : Greisinger, Model : GFTB 200, SN : 34903051</v>
      </c>
      <c r="B356" s="1583"/>
      <c r="C356" s="1583"/>
      <c r="D356" s="1583"/>
      <c r="E356" s="1583"/>
      <c r="F356" s="1583"/>
      <c r="G356" s="1583"/>
      <c r="H356" s="1583"/>
      <c r="I356" s="1584"/>
      <c r="J356" s="1584"/>
      <c r="K356" s="1585"/>
      <c r="M356" s="1586" t="s">
        <v>541</v>
      </c>
      <c r="N356" s="1586"/>
      <c r="O356" s="1586"/>
    </row>
    <row r="357" spans="1:15" s="561" customFormat="1" ht="15.6" x14ac:dyDescent="0.25">
      <c r="A357" s="562" t="s">
        <v>542</v>
      </c>
      <c r="B357" s="563"/>
      <c r="C357" s="563"/>
      <c r="D357" s="564"/>
      <c r="E357" s="564"/>
      <c r="F357" s="564"/>
      <c r="G357" s="565"/>
      <c r="H357" s="566"/>
      <c r="I357" s="567">
        <f>D4</f>
        <v>2020</v>
      </c>
      <c r="J357" s="568">
        <f>E4</f>
        <v>2017</v>
      </c>
      <c r="K357" s="569">
        <v>1</v>
      </c>
      <c r="M357" s="305" t="str">
        <f>TEXT(M341,"0.0")</f>
        <v>23.2</v>
      </c>
      <c r="N357" s="305" t="str">
        <f>TEXT(O341,"0.0")</f>
        <v>0.3</v>
      </c>
      <c r="O357" s="570" t="s">
        <v>543</v>
      </c>
    </row>
    <row r="358" spans="1:15" s="561" customFormat="1" ht="15.6" x14ac:dyDescent="0.25">
      <c r="A358" s="562" t="s">
        <v>544</v>
      </c>
      <c r="B358" s="563"/>
      <c r="C358" s="563"/>
      <c r="D358" s="564"/>
      <c r="E358" s="564"/>
      <c r="F358" s="564"/>
      <c r="G358" s="565"/>
      <c r="H358" s="566"/>
      <c r="I358" s="571">
        <f>D15</f>
        <v>2018</v>
      </c>
      <c r="J358" s="572">
        <f>E15</f>
        <v>2017</v>
      </c>
      <c r="K358" s="569">
        <v>2</v>
      </c>
      <c r="M358" s="305" t="str">
        <f>TEXT(M342,"0.0")</f>
        <v>56.3</v>
      </c>
      <c r="N358" s="305" t="str">
        <f>TEXT(O342,"0.0")</f>
        <v>2.6</v>
      </c>
      <c r="O358" s="570" t="s">
        <v>545</v>
      </c>
    </row>
    <row r="359" spans="1:15" s="561" customFormat="1" ht="15.6" x14ac:dyDescent="0.25">
      <c r="A359" s="562" t="s">
        <v>546</v>
      </c>
      <c r="B359" s="563"/>
      <c r="C359" s="563"/>
      <c r="D359" s="564"/>
      <c r="E359" s="564"/>
      <c r="F359" s="564"/>
      <c r="G359" s="565"/>
      <c r="H359" s="566"/>
      <c r="I359" s="571">
        <f>D26</f>
        <v>2018</v>
      </c>
      <c r="J359" s="572">
        <f>E26</f>
        <v>2017</v>
      </c>
      <c r="K359" s="569">
        <v>3</v>
      </c>
      <c r="M359" s="573" t="s">
        <v>261</v>
      </c>
      <c r="N359" s="574" t="s">
        <v>262</v>
      </c>
      <c r="O359" s="574" t="s">
        <v>547</v>
      </c>
    </row>
    <row r="360" spans="1:15" s="561" customFormat="1" x14ac:dyDescent="0.25">
      <c r="A360" s="562" t="s">
        <v>548</v>
      </c>
      <c r="B360" s="563"/>
      <c r="C360" s="563"/>
      <c r="D360" s="564"/>
      <c r="E360" s="564"/>
      <c r="F360" s="564"/>
      <c r="G360" s="565"/>
      <c r="H360" s="566"/>
      <c r="I360" s="571">
        <f>D37</f>
        <v>2017</v>
      </c>
      <c r="J360" s="572">
        <f>E37</f>
        <v>2015</v>
      </c>
      <c r="K360" s="569">
        <v>4</v>
      </c>
    </row>
    <row r="361" spans="1:15" s="561" customFormat="1" x14ac:dyDescent="0.25">
      <c r="A361" s="562" t="s">
        <v>549</v>
      </c>
      <c r="B361" s="563"/>
      <c r="C361" s="563"/>
      <c r="D361" s="564"/>
      <c r="E361" s="564"/>
      <c r="F361" s="564"/>
      <c r="G361" s="565"/>
      <c r="H361" s="566"/>
      <c r="I361" s="571">
        <f>D48</f>
        <v>2020</v>
      </c>
      <c r="J361" s="572">
        <f>E48</f>
        <v>2017</v>
      </c>
      <c r="K361" s="569">
        <v>5</v>
      </c>
    </row>
    <row r="362" spans="1:15" s="561" customFormat="1" x14ac:dyDescent="0.25">
      <c r="A362" s="562" t="s">
        <v>550</v>
      </c>
      <c r="B362" s="563"/>
      <c r="C362" s="563"/>
      <c r="D362" s="564"/>
      <c r="E362" s="564"/>
      <c r="F362" s="564"/>
      <c r="G362" s="565"/>
      <c r="H362" s="566"/>
      <c r="I362" s="571">
        <f>D59</f>
        <v>2019</v>
      </c>
      <c r="J362" s="572">
        <f>E59</f>
        <v>2018</v>
      </c>
      <c r="K362" s="569">
        <v>6</v>
      </c>
    </row>
    <row r="363" spans="1:15" s="561" customFormat="1" x14ac:dyDescent="0.25">
      <c r="A363" s="562" t="s">
        <v>551</v>
      </c>
      <c r="B363" s="563"/>
      <c r="C363" s="563"/>
      <c r="D363" s="564"/>
      <c r="E363" s="564"/>
      <c r="F363" s="564"/>
      <c r="G363" s="565"/>
      <c r="H363" s="566"/>
      <c r="I363" s="571">
        <f>D70</f>
        <v>2018</v>
      </c>
      <c r="J363" s="572">
        <f>E70</f>
        <v>2017</v>
      </c>
      <c r="K363" s="569">
        <v>7</v>
      </c>
    </row>
    <row r="364" spans="1:15" s="561" customFormat="1" x14ac:dyDescent="0.25">
      <c r="A364" s="562" t="s">
        <v>307</v>
      </c>
      <c r="B364" s="563"/>
      <c r="C364" s="563"/>
      <c r="D364" s="564"/>
      <c r="E364" s="564"/>
      <c r="F364" s="564"/>
      <c r="G364" s="565"/>
      <c r="H364" s="566"/>
      <c r="I364" s="571">
        <f>D81</f>
        <v>2019</v>
      </c>
      <c r="J364" s="572">
        <f>E81</f>
        <v>2017</v>
      </c>
      <c r="K364" s="569">
        <v>8</v>
      </c>
    </row>
    <row r="365" spans="1:15" s="561" customFormat="1" x14ac:dyDescent="0.25">
      <c r="A365" s="562" t="s">
        <v>552</v>
      </c>
      <c r="B365" s="563"/>
      <c r="C365" s="563"/>
      <c r="D365" s="564"/>
      <c r="E365" s="564"/>
      <c r="F365" s="564"/>
      <c r="G365" s="565"/>
      <c r="H365" s="566"/>
      <c r="I365" s="571">
        <f>D92</f>
        <v>2019</v>
      </c>
      <c r="J365" s="572" t="str">
        <f>E92</f>
        <v>-</v>
      </c>
      <c r="K365" s="569">
        <v>9</v>
      </c>
    </row>
    <row r="366" spans="1:15" s="561" customFormat="1" x14ac:dyDescent="0.25">
      <c r="A366" s="562" t="s">
        <v>553</v>
      </c>
      <c r="B366" s="563"/>
      <c r="C366" s="563"/>
      <c r="D366" s="564"/>
      <c r="E366" s="564"/>
      <c r="F366" s="564"/>
      <c r="G366" s="565"/>
      <c r="H366" s="566"/>
      <c r="I366" s="571">
        <f>D103</f>
        <v>2019</v>
      </c>
      <c r="J366" s="572">
        <f>E103</f>
        <v>2016</v>
      </c>
      <c r="K366" s="569">
        <v>10</v>
      </c>
    </row>
    <row r="367" spans="1:15" s="561" customFormat="1" x14ac:dyDescent="0.25">
      <c r="A367" s="562" t="s">
        <v>554</v>
      </c>
      <c r="B367" s="563"/>
      <c r="C367" s="563"/>
      <c r="D367" s="564"/>
      <c r="E367" s="564"/>
      <c r="F367" s="564"/>
      <c r="G367" s="565"/>
      <c r="H367" s="566"/>
      <c r="I367" s="571">
        <f>D114</f>
        <v>2020</v>
      </c>
      <c r="J367" s="572" t="str">
        <f>E114</f>
        <v>-</v>
      </c>
      <c r="K367" s="569">
        <v>11</v>
      </c>
    </row>
    <row r="368" spans="1:15" s="561" customFormat="1" x14ac:dyDescent="0.25">
      <c r="A368" s="562" t="s">
        <v>555</v>
      </c>
      <c r="B368" s="563"/>
      <c r="C368" s="563"/>
      <c r="D368" s="564"/>
      <c r="E368" s="564"/>
      <c r="F368" s="564"/>
      <c r="G368" s="565"/>
      <c r="H368" s="566"/>
      <c r="I368" s="575">
        <f>D125</f>
        <v>2020</v>
      </c>
      <c r="J368" s="575" t="str">
        <f>E125</f>
        <v>-</v>
      </c>
      <c r="K368" s="569">
        <v>12</v>
      </c>
    </row>
    <row r="369" spans="1:11" s="561" customFormat="1" x14ac:dyDescent="0.25">
      <c r="A369" s="562" t="s">
        <v>556</v>
      </c>
      <c r="B369" s="563"/>
      <c r="C369" s="563"/>
      <c r="D369" s="564"/>
      <c r="E369" s="564"/>
      <c r="F369" s="564"/>
      <c r="G369" s="565"/>
      <c r="H369" s="566"/>
      <c r="I369" s="575">
        <f>D136</f>
        <v>2020</v>
      </c>
      <c r="J369" s="575" t="str">
        <f>E136</f>
        <v>-</v>
      </c>
      <c r="K369" s="569">
        <v>13</v>
      </c>
    </row>
    <row r="370" spans="1:11" s="561" customFormat="1" x14ac:dyDescent="0.25">
      <c r="A370" s="562" t="s">
        <v>557</v>
      </c>
      <c r="B370" s="563"/>
      <c r="C370" s="563"/>
      <c r="D370" s="564"/>
      <c r="E370" s="564"/>
      <c r="F370" s="564"/>
      <c r="G370" s="565"/>
      <c r="H370" s="566"/>
      <c r="I370" s="575">
        <f>D147</f>
        <v>2020</v>
      </c>
      <c r="J370" s="575" t="str">
        <f>E147</f>
        <v>-</v>
      </c>
      <c r="K370" s="569">
        <v>14</v>
      </c>
    </row>
    <row r="371" spans="1:11" s="561" customFormat="1" x14ac:dyDescent="0.25">
      <c r="A371" s="562" t="s">
        <v>558</v>
      </c>
      <c r="B371" s="563"/>
      <c r="C371" s="563"/>
      <c r="D371" s="564"/>
      <c r="E371" s="564"/>
      <c r="F371" s="564"/>
      <c r="G371" s="565"/>
      <c r="H371" s="566"/>
      <c r="I371" s="575">
        <f>D158</f>
        <v>2020</v>
      </c>
      <c r="J371" s="575" t="str">
        <f>E158</f>
        <v>-</v>
      </c>
      <c r="K371" s="569">
        <v>15</v>
      </c>
    </row>
    <row r="372" spans="1:11" s="561" customFormat="1" x14ac:dyDescent="0.25">
      <c r="A372" s="562" t="s">
        <v>559</v>
      </c>
      <c r="B372" s="563"/>
      <c r="C372" s="563"/>
      <c r="D372" s="564"/>
      <c r="E372" s="564"/>
      <c r="F372" s="564"/>
      <c r="G372" s="565"/>
      <c r="H372" s="566"/>
      <c r="I372" s="575">
        <f>D169</f>
        <v>2020</v>
      </c>
      <c r="J372" s="575" t="str">
        <f>E169</f>
        <v>-</v>
      </c>
      <c r="K372" s="569">
        <v>16</v>
      </c>
    </row>
    <row r="373" spans="1:11" s="561" customFormat="1" x14ac:dyDescent="0.25">
      <c r="A373" s="562" t="s">
        <v>560</v>
      </c>
      <c r="B373" s="563"/>
      <c r="C373" s="563"/>
      <c r="D373" s="564"/>
      <c r="E373" s="564"/>
      <c r="F373" s="564"/>
      <c r="G373" s="565"/>
      <c r="H373" s="566"/>
      <c r="I373" s="575">
        <f>D180</f>
        <v>2020</v>
      </c>
      <c r="J373" s="575" t="str">
        <f>E180</f>
        <v>-</v>
      </c>
      <c r="K373" s="569">
        <v>17</v>
      </c>
    </row>
    <row r="374" spans="1:11" s="561" customFormat="1" ht="13.8" thickBot="1" x14ac:dyDescent="0.3">
      <c r="A374" s="562" t="s">
        <v>561</v>
      </c>
      <c r="B374" s="563"/>
      <c r="C374" s="563"/>
      <c r="D374" s="564"/>
      <c r="E374" s="564"/>
      <c r="F374" s="564"/>
      <c r="G374" s="565"/>
      <c r="H374" s="566"/>
      <c r="I374" s="576">
        <f>D191</f>
        <v>2017</v>
      </c>
      <c r="J374" s="577" t="str">
        <f>E191</f>
        <v>-</v>
      </c>
      <c r="K374" s="569">
        <v>18</v>
      </c>
    </row>
    <row r="375" spans="1:11" s="561" customFormat="1" ht="13.8" thickBot="1" x14ac:dyDescent="0.3">
      <c r="A375" s="1587">
        <f>VLOOKUP(A356,A357:K374,11,(FALSE))</f>
        <v>8</v>
      </c>
      <c r="B375" s="1588"/>
      <c r="C375" s="1588"/>
      <c r="D375" s="1588"/>
      <c r="E375" s="1588"/>
      <c r="F375" s="1588"/>
      <c r="G375" s="1588"/>
      <c r="H375" s="1588"/>
      <c r="I375" s="1589"/>
      <c r="J375" s="1589"/>
      <c r="K375" s="1590"/>
    </row>
  </sheetData>
  <sheetProtection algorithmName="SHA-512" hashValue="0pZ+c7zy5qOj2tqRThPIFqs/gYFvM/9VIUJ74QG7tWluY6rDx6/filYySpRkd418cbjZWdRKT9FpiSzzL5zWyQ==" saltValue="ydc+4crKOVJYMaPTJ5hADA==" spinCount="100000" sheet="1" objects="1" scenarios="1"/>
  <mergeCells count="265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E338:E339"/>
    <mergeCell ref="J338:J33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M265"/>
  <sheetViews>
    <sheetView topLeftCell="A124" zoomScale="115" zoomScaleNormal="115" workbookViewId="0">
      <selection activeCell="H108" sqref="H108"/>
    </sheetView>
  </sheetViews>
  <sheetFormatPr defaultRowHeight="13.2" x14ac:dyDescent="0.25"/>
  <cols>
    <col min="1" max="1" width="15.44140625" customWidth="1"/>
    <col min="2" max="2" width="11.44140625" bestFit="1" customWidth="1"/>
    <col min="7" max="7" width="14.5546875" customWidth="1"/>
    <col min="11" max="11" width="8.33203125" customWidth="1"/>
    <col min="16" max="16" width="15.44140625" customWidth="1"/>
  </cols>
  <sheetData>
    <row r="1" spans="1:39" x14ac:dyDescent="0.25">
      <c r="A1" s="687"/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154"/>
    </row>
    <row r="2" spans="1:39" ht="25.5" customHeight="1" x14ac:dyDescent="0.25">
      <c r="A2" s="1689" t="s">
        <v>562</v>
      </c>
      <c r="B2" s="1679"/>
      <c r="C2" s="1679"/>
      <c r="D2" s="1679"/>
      <c r="E2" s="1679"/>
      <c r="F2" s="165"/>
      <c r="G2" s="1679" t="s">
        <v>563</v>
      </c>
      <c r="H2" s="1679"/>
      <c r="I2" s="1679"/>
      <c r="J2" s="1679"/>
      <c r="K2" s="1679"/>
      <c r="L2" s="165"/>
      <c r="M2" s="1678" t="s">
        <v>564</v>
      </c>
      <c r="N2" s="1679"/>
      <c r="O2" s="1679"/>
      <c r="P2" s="1679"/>
      <c r="Q2" s="1679"/>
      <c r="R2" s="2"/>
      <c r="S2" s="386" t="s">
        <v>565</v>
      </c>
      <c r="T2" s="387">
        <v>1.9336777496394002E-2</v>
      </c>
      <c r="U2" s="386" t="s">
        <v>566</v>
      </c>
      <c r="W2" s="1688" t="s">
        <v>562</v>
      </c>
      <c r="X2" s="1688"/>
      <c r="Y2" s="1688"/>
      <c r="Z2" s="1688"/>
      <c r="AA2" s="1688"/>
      <c r="AB2" s="584"/>
      <c r="AC2" s="1688" t="s">
        <v>563</v>
      </c>
      <c r="AD2" s="1688"/>
      <c r="AE2" s="1688"/>
      <c r="AF2" s="1688"/>
      <c r="AG2" s="1688"/>
      <c r="AH2" s="584"/>
      <c r="AI2" s="1687" t="s">
        <v>564</v>
      </c>
      <c r="AJ2" s="1688"/>
      <c r="AK2" s="1688"/>
      <c r="AL2" s="1688"/>
      <c r="AM2" s="1688"/>
    </row>
    <row r="3" spans="1:39" ht="28.5" customHeight="1" x14ac:dyDescent="0.25">
      <c r="A3" s="744" t="s">
        <v>567</v>
      </c>
      <c r="B3" s="1673" t="s">
        <v>127</v>
      </c>
      <c r="C3" s="1674"/>
      <c r="D3" s="1675" t="s">
        <v>568</v>
      </c>
      <c r="E3" s="1676" t="s">
        <v>145</v>
      </c>
      <c r="F3" s="165"/>
      <c r="G3" s="745" t="s">
        <v>567</v>
      </c>
      <c r="H3" s="1673" t="s">
        <v>127</v>
      </c>
      <c r="I3" s="1674"/>
      <c r="J3" s="1675" t="s">
        <v>568</v>
      </c>
      <c r="K3" s="1676" t="s">
        <v>145</v>
      </c>
      <c r="L3" s="165"/>
      <c r="M3" s="745" t="s">
        <v>567</v>
      </c>
      <c r="N3" s="1673" t="s">
        <v>127</v>
      </c>
      <c r="O3" s="1674"/>
      <c r="P3" s="1675" t="s">
        <v>568</v>
      </c>
      <c r="Q3" s="1676" t="s">
        <v>145</v>
      </c>
      <c r="R3" s="2"/>
      <c r="S3" s="166"/>
      <c r="W3" s="723" t="s">
        <v>567</v>
      </c>
      <c r="X3" s="1681" t="s">
        <v>127</v>
      </c>
      <c r="Y3" s="1682"/>
      <c r="Z3" s="1683" t="s">
        <v>568</v>
      </c>
      <c r="AA3" s="1685" t="s">
        <v>145</v>
      </c>
      <c r="AB3" s="584"/>
      <c r="AC3" s="723" t="s">
        <v>567</v>
      </c>
      <c r="AD3" s="1681" t="s">
        <v>127</v>
      </c>
      <c r="AE3" s="1682"/>
      <c r="AF3" s="1683" t="s">
        <v>568</v>
      </c>
      <c r="AG3" s="1685" t="s">
        <v>145</v>
      </c>
      <c r="AH3" s="584"/>
      <c r="AI3" s="723" t="s">
        <v>567</v>
      </c>
      <c r="AJ3" s="1681" t="s">
        <v>127</v>
      </c>
      <c r="AK3" s="1682"/>
      <c r="AL3" s="1683" t="s">
        <v>568</v>
      </c>
      <c r="AM3" s="1685" t="s">
        <v>145</v>
      </c>
    </row>
    <row r="4" spans="1:39" ht="21.75" customHeight="1" x14ac:dyDescent="0.25">
      <c r="A4" s="744" t="s">
        <v>199</v>
      </c>
      <c r="B4" s="219">
        <v>2017</v>
      </c>
      <c r="C4" s="219">
        <v>2018</v>
      </c>
      <c r="D4" s="1671"/>
      <c r="E4" s="1677"/>
      <c r="F4" s="165"/>
      <c r="G4" s="745" t="s">
        <v>199</v>
      </c>
      <c r="H4" s="219">
        <v>2017</v>
      </c>
      <c r="I4" s="219">
        <v>2018</v>
      </c>
      <c r="J4" s="1671"/>
      <c r="K4" s="1677"/>
      <c r="L4" s="165"/>
      <c r="M4" s="745" t="s">
        <v>199</v>
      </c>
      <c r="N4" s="219">
        <v>2017</v>
      </c>
      <c r="O4" s="219">
        <v>2018</v>
      </c>
      <c r="P4" s="1671"/>
      <c r="Q4" s="1677"/>
      <c r="R4" s="2"/>
      <c r="W4" s="724" t="s">
        <v>378</v>
      </c>
      <c r="X4" s="725">
        <v>2017</v>
      </c>
      <c r="Y4" s="725">
        <v>2018</v>
      </c>
      <c r="Z4" s="1684"/>
      <c r="AA4" s="1686"/>
      <c r="AB4" s="584"/>
      <c r="AC4" s="723" t="str">
        <f>W4</f>
        <v>PSI</v>
      </c>
      <c r="AD4" s="725">
        <v>2017</v>
      </c>
      <c r="AE4" s="725">
        <v>2018</v>
      </c>
      <c r="AF4" s="1684"/>
      <c r="AG4" s="1686"/>
      <c r="AH4" s="584"/>
      <c r="AI4" s="723" t="str">
        <f>AC4</f>
        <v>PSI</v>
      </c>
      <c r="AJ4" s="725">
        <v>2017</v>
      </c>
      <c r="AK4" s="725">
        <v>2018</v>
      </c>
      <c r="AL4" s="1684"/>
      <c r="AM4" s="1686"/>
    </row>
    <row r="5" spans="1:39" x14ac:dyDescent="0.25">
      <c r="A5" s="746">
        <v>0</v>
      </c>
      <c r="B5" s="199">
        <v>0.1</v>
      </c>
      <c r="C5" s="199">
        <v>0.2</v>
      </c>
      <c r="D5" s="199">
        <f>0.5*(MAX(B5:C5)-MIN(B5:C5))</f>
        <v>0.05</v>
      </c>
      <c r="E5" s="747">
        <v>0.6</v>
      </c>
      <c r="F5" s="165"/>
      <c r="G5" s="748">
        <v>0</v>
      </c>
      <c r="H5" s="749">
        <v>0.1</v>
      </c>
      <c r="I5" s="749">
        <v>9.9999999999999995E-7</v>
      </c>
      <c r="J5" s="749">
        <f>0.5*(MAX(H5:I5)-MIN(H5:I5))</f>
        <v>4.9999500000000002E-2</v>
      </c>
      <c r="K5" s="750">
        <v>0.6</v>
      </c>
      <c r="L5" s="165"/>
      <c r="M5" s="748">
        <v>0</v>
      </c>
      <c r="N5" s="749">
        <v>0.1</v>
      </c>
      <c r="O5" s="749">
        <v>9.9999999999999995E-7</v>
      </c>
      <c r="P5" s="749">
        <f>0.5*(MAX(N5:O5)-MIN(N5:O5))</f>
        <v>4.9999500000000002E-2</v>
      </c>
      <c r="Q5" s="750">
        <v>0.6</v>
      </c>
      <c r="R5" s="2"/>
      <c r="W5" s="726">
        <f t="shared" ref="W5:Y11" si="0">A5*$T$2</f>
        <v>0</v>
      </c>
      <c r="X5" s="727">
        <f t="shared" si="0"/>
        <v>1.9336777496394002E-3</v>
      </c>
      <c r="Y5" s="727">
        <f t="shared" si="0"/>
        <v>3.8673554992788004E-3</v>
      </c>
      <c r="Z5" s="728">
        <f>0.5*(MAX(X5:Y5)-MIN(X5:Y5))</f>
        <v>9.6683887481970011E-4</v>
      </c>
      <c r="AA5" s="729">
        <f t="shared" ref="AA5:AA12" si="1">E5*$T$2</f>
        <v>1.16020664978364E-2</v>
      </c>
      <c r="AB5" s="584"/>
      <c r="AC5" s="730">
        <f t="shared" ref="AC5:AE12" si="2">G5*$T$2</f>
        <v>0</v>
      </c>
      <c r="AD5" s="730">
        <f t="shared" si="2"/>
        <v>1.9336777496394002E-3</v>
      </c>
      <c r="AE5" s="730">
        <f t="shared" si="2"/>
        <v>1.9336777496394002E-8</v>
      </c>
      <c r="AF5" s="731">
        <f>0.5*(MAX(AD5:AE5)-MIN(AD5:AE5))</f>
        <v>9.6682920643095186E-4</v>
      </c>
      <c r="AG5" s="385">
        <f t="shared" ref="AG5:AG12" si="3">K5*$T$2</f>
        <v>1.16020664978364E-2</v>
      </c>
      <c r="AH5" s="584"/>
      <c r="AI5" s="730">
        <f t="shared" ref="AI5:AK12" si="4">M5*$T$2</f>
        <v>0</v>
      </c>
      <c r="AJ5" s="730">
        <f t="shared" si="4"/>
        <v>1.9336777496394002E-3</v>
      </c>
      <c r="AK5" s="730">
        <f t="shared" si="4"/>
        <v>1.9336777496394002E-8</v>
      </c>
      <c r="AL5" s="731">
        <f>0.5*(MAX(AJ5:AK5)-MIN(AJ5:AK5))</f>
        <v>9.6682920643095186E-4</v>
      </c>
      <c r="AM5" s="385">
        <f t="shared" ref="AM5:AM12" si="5">Q5*$T$2</f>
        <v>1.16020664978364E-2</v>
      </c>
    </row>
    <row r="6" spans="1:39" x14ac:dyDescent="0.25">
      <c r="A6" s="746">
        <v>50</v>
      </c>
      <c r="B6" s="199">
        <v>0.39999999999999858</v>
      </c>
      <c r="C6" s="199">
        <v>0.5</v>
      </c>
      <c r="D6" s="199">
        <f>0.5*(MAX(B6:C6)-MIN(B6:C6))</f>
        <v>5.0000000000000711E-2</v>
      </c>
      <c r="E6" s="747">
        <v>0.6</v>
      </c>
      <c r="F6" s="165"/>
      <c r="G6" s="748">
        <v>50</v>
      </c>
      <c r="H6" s="749">
        <v>0.100000000000001</v>
      </c>
      <c r="I6" s="749">
        <v>-0.10000000000000142</v>
      </c>
      <c r="J6" s="749">
        <f t="shared" ref="J6:J10" si="6">0.5*(MAX(H6:I6)-MIN(H6:I6))</f>
        <v>0.10000000000000121</v>
      </c>
      <c r="K6" s="750">
        <v>0.6</v>
      </c>
      <c r="L6" s="165"/>
      <c r="M6" s="748">
        <v>50</v>
      </c>
      <c r="N6" s="749">
        <v>0.100000000000001</v>
      </c>
      <c r="O6" s="749">
        <v>-0.10000000000000142</v>
      </c>
      <c r="P6" s="749">
        <f>0.5*(MAX(N6:O6)-MIN(N6:O6))</f>
        <v>0.10000000000000121</v>
      </c>
      <c r="Q6" s="750">
        <v>0.6</v>
      </c>
      <c r="R6" s="2"/>
      <c r="W6" s="726">
        <f t="shared" si="0"/>
        <v>0.9668388748197001</v>
      </c>
      <c r="X6" s="727">
        <f t="shared" si="0"/>
        <v>7.7347109985575731E-3</v>
      </c>
      <c r="Y6" s="727">
        <f t="shared" si="0"/>
        <v>9.6683887481970009E-3</v>
      </c>
      <c r="Z6" s="728">
        <f>0.5*(MAX(X6:Y6)-MIN(X6:Y6))</f>
        <v>9.6683887481971388E-4</v>
      </c>
      <c r="AA6" s="729">
        <f t="shared" si="1"/>
        <v>1.16020664978364E-2</v>
      </c>
      <c r="AB6" s="584"/>
      <c r="AC6" s="730">
        <f t="shared" si="2"/>
        <v>0.9668388748197001</v>
      </c>
      <c r="AD6" s="730">
        <f t="shared" si="2"/>
        <v>1.9336777496394195E-3</v>
      </c>
      <c r="AE6" s="730">
        <f t="shared" si="2"/>
        <v>-1.9336777496394278E-3</v>
      </c>
      <c r="AF6" s="731">
        <f t="shared" ref="AF6:AF10" si="7">0.5*(MAX(AD6:AE6)-MIN(AD6:AE6))</f>
        <v>1.9336777496394236E-3</v>
      </c>
      <c r="AG6" s="385">
        <f t="shared" si="3"/>
        <v>1.16020664978364E-2</v>
      </c>
      <c r="AH6" s="584"/>
      <c r="AI6" s="730">
        <f t="shared" si="4"/>
        <v>0.9668388748197001</v>
      </c>
      <c r="AJ6" s="730">
        <f t="shared" si="4"/>
        <v>1.9336777496394195E-3</v>
      </c>
      <c r="AK6" s="730">
        <f t="shared" si="4"/>
        <v>-1.9336777496394278E-3</v>
      </c>
      <c r="AL6" s="731">
        <f t="shared" ref="AL6:AL12" si="8">0.5*(MAX(AJ6:AK6)-MIN(AJ6:AK6))</f>
        <v>1.9336777496394236E-3</v>
      </c>
      <c r="AM6" s="385">
        <f t="shared" si="5"/>
        <v>1.16020664978364E-2</v>
      </c>
    </row>
    <row r="7" spans="1:39" x14ac:dyDescent="0.25">
      <c r="A7" s="746">
        <v>100</v>
      </c>
      <c r="B7" s="199">
        <v>0.59999999999999432</v>
      </c>
      <c r="C7" s="199">
        <v>0.70000000000000284</v>
      </c>
      <c r="D7" s="199">
        <f t="shared" ref="D7:D11" si="9">0.5*(MAX(B7:C7)-MIN(B7:C7))</f>
        <v>5.0000000000004263E-2</v>
      </c>
      <c r="E7" s="747">
        <v>0.8</v>
      </c>
      <c r="F7" s="165"/>
      <c r="G7" s="748">
        <v>100</v>
      </c>
      <c r="H7" s="749">
        <v>9.9999999999994316E-2</v>
      </c>
      <c r="I7" s="749">
        <v>-0.20000000000000284</v>
      </c>
      <c r="J7" s="749">
        <f t="shared" si="6"/>
        <v>0.14999999999999858</v>
      </c>
      <c r="K7" s="750">
        <v>0.8</v>
      </c>
      <c r="L7" s="165"/>
      <c r="M7" s="748">
        <v>100</v>
      </c>
      <c r="N7" s="749">
        <v>9.9999999999994316E-2</v>
      </c>
      <c r="O7" s="749">
        <v>-0.20000000000000284</v>
      </c>
      <c r="P7" s="749">
        <f t="shared" ref="P7:P11" si="10">0.5*(MAX(N7:O7)-MIN(N7:O7))</f>
        <v>0.14999999999999858</v>
      </c>
      <c r="Q7" s="750">
        <v>0.8</v>
      </c>
      <c r="R7" s="2"/>
      <c r="W7" s="726">
        <f t="shared" si="0"/>
        <v>1.9336777496394002</v>
      </c>
      <c r="X7" s="727">
        <f t="shared" si="0"/>
        <v>1.1602066497836291E-2</v>
      </c>
      <c r="Y7" s="727">
        <f t="shared" si="0"/>
        <v>1.3535744247475856E-2</v>
      </c>
      <c r="Z7" s="728">
        <f t="shared" ref="Z7:Z11" si="11">0.5*(MAX(X7:Y7)-MIN(X7:Y7))</f>
        <v>9.6683887481978283E-4</v>
      </c>
      <c r="AA7" s="729">
        <f t="shared" si="1"/>
        <v>1.5469421997115202E-2</v>
      </c>
      <c r="AB7" s="584"/>
      <c r="AC7" s="730">
        <f t="shared" si="2"/>
        <v>1.9336777496394002</v>
      </c>
      <c r="AD7" s="730">
        <f t="shared" si="2"/>
        <v>1.9336777496392903E-3</v>
      </c>
      <c r="AE7" s="730">
        <f t="shared" si="2"/>
        <v>-3.8673554992788555E-3</v>
      </c>
      <c r="AF7" s="731">
        <f t="shared" si="7"/>
        <v>2.9005166244590727E-3</v>
      </c>
      <c r="AG7" s="385">
        <f t="shared" si="3"/>
        <v>1.5469421997115202E-2</v>
      </c>
      <c r="AH7" s="584"/>
      <c r="AI7" s="730">
        <f t="shared" si="4"/>
        <v>1.9336777496394002</v>
      </c>
      <c r="AJ7" s="730">
        <f t="shared" si="4"/>
        <v>1.9336777496392903E-3</v>
      </c>
      <c r="AK7" s="730">
        <f t="shared" si="4"/>
        <v>-3.8673554992788555E-3</v>
      </c>
      <c r="AL7" s="731">
        <f t="shared" si="8"/>
        <v>2.9005166244590727E-3</v>
      </c>
      <c r="AM7" s="385">
        <f t="shared" si="5"/>
        <v>1.5469421997115202E-2</v>
      </c>
    </row>
    <row r="8" spans="1:39" x14ac:dyDescent="0.25">
      <c r="A8" s="746">
        <v>150</v>
      </c>
      <c r="B8" s="199">
        <v>0.59999999999999432</v>
      </c>
      <c r="C8" s="199">
        <v>0.69999999999998863</v>
      </c>
      <c r="D8" s="199">
        <f t="shared" si="9"/>
        <v>4.9999999999997158E-2</v>
      </c>
      <c r="E8" s="747">
        <v>1</v>
      </c>
      <c r="F8" s="165"/>
      <c r="G8" s="748">
        <v>150</v>
      </c>
      <c r="H8" s="749">
        <v>9.9999999999999995E-7</v>
      </c>
      <c r="I8" s="749">
        <v>-0.30000000000001137</v>
      </c>
      <c r="J8" s="749">
        <f t="shared" si="6"/>
        <v>0.15000050000000567</v>
      </c>
      <c r="K8" s="750">
        <v>0.8</v>
      </c>
      <c r="L8" s="165"/>
      <c r="M8" s="748">
        <v>150</v>
      </c>
      <c r="N8" s="749">
        <v>9.9999999999999995E-7</v>
      </c>
      <c r="O8" s="749">
        <v>-0.30000000000001137</v>
      </c>
      <c r="P8" s="749">
        <f t="shared" si="10"/>
        <v>0.15000050000000567</v>
      </c>
      <c r="Q8" s="750">
        <v>0.8</v>
      </c>
      <c r="R8" s="2"/>
      <c r="W8" s="726">
        <f t="shared" si="0"/>
        <v>2.9005166244591001</v>
      </c>
      <c r="X8" s="727">
        <f t="shared" si="0"/>
        <v>1.1602066497836291E-2</v>
      </c>
      <c r="Y8" s="727">
        <f t="shared" si="0"/>
        <v>1.3535744247475581E-2</v>
      </c>
      <c r="Z8" s="728">
        <f t="shared" si="11"/>
        <v>9.6683887481964492E-4</v>
      </c>
      <c r="AA8" s="729">
        <f t="shared" si="1"/>
        <v>1.9336777496394002E-2</v>
      </c>
      <c r="AB8" s="584"/>
      <c r="AC8" s="730">
        <f t="shared" si="2"/>
        <v>2.9005166244591001</v>
      </c>
      <c r="AD8" s="730">
        <f t="shared" si="2"/>
        <v>1.9336777496394002E-8</v>
      </c>
      <c r="AE8" s="730">
        <f t="shared" si="2"/>
        <v>-5.8010332489184203E-3</v>
      </c>
      <c r="AF8" s="731">
        <f t="shared" si="7"/>
        <v>2.9005262928479582E-3</v>
      </c>
      <c r="AG8" s="385">
        <f t="shared" si="3"/>
        <v>1.5469421997115202E-2</v>
      </c>
      <c r="AH8" s="584"/>
      <c r="AI8" s="730">
        <f t="shared" si="4"/>
        <v>2.9005166244591001</v>
      </c>
      <c r="AJ8" s="730">
        <f t="shared" si="4"/>
        <v>1.9336777496394002E-8</v>
      </c>
      <c r="AK8" s="730">
        <f t="shared" si="4"/>
        <v>-5.8010332489184203E-3</v>
      </c>
      <c r="AL8" s="731">
        <f t="shared" si="8"/>
        <v>2.9005262928479582E-3</v>
      </c>
      <c r="AM8" s="385">
        <f t="shared" si="5"/>
        <v>1.5469421997115202E-2</v>
      </c>
    </row>
    <row r="9" spans="1:39" x14ac:dyDescent="0.25">
      <c r="A9" s="746">
        <v>200</v>
      </c>
      <c r="B9" s="199">
        <v>0.5</v>
      </c>
      <c r="C9" s="199">
        <v>0.59999999999999432</v>
      </c>
      <c r="D9" s="199">
        <f t="shared" si="9"/>
        <v>4.9999999999997158E-2</v>
      </c>
      <c r="E9" s="747">
        <v>1</v>
      </c>
      <c r="F9" s="165"/>
      <c r="G9" s="748">
        <v>200</v>
      </c>
      <c r="H9" s="749">
        <v>-9.9999999999994316E-2</v>
      </c>
      <c r="I9" s="749">
        <v>-0.40000000000000568</v>
      </c>
      <c r="J9" s="749">
        <f t="shared" si="6"/>
        <v>0.15000000000000568</v>
      </c>
      <c r="K9" s="750">
        <v>0.8</v>
      </c>
      <c r="L9" s="165"/>
      <c r="M9" s="748">
        <v>200</v>
      </c>
      <c r="N9" s="749">
        <v>-9.9999999999994316E-2</v>
      </c>
      <c r="O9" s="749">
        <v>-0.40000000000000568</v>
      </c>
      <c r="P9" s="749">
        <f t="shared" si="10"/>
        <v>0.15000000000000568</v>
      </c>
      <c r="Q9" s="750">
        <v>0.8</v>
      </c>
      <c r="R9" s="2"/>
      <c r="W9" s="726">
        <f t="shared" si="0"/>
        <v>3.8673554992788004</v>
      </c>
      <c r="X9" s="727">
        <f t="shared" si="0"/>
        <v>9.6683887481970009E-3</v>
      </c>
      <c r="Y9" s="727">
        <f t="shared" si="0"/>
        <v>1.1602066497836291E-2</v>
      </c>
      <c r="Z9" s="728">
        <f t="shared" si="11"/>
        <v>9.6683887481964492E-4</v>
      </c>
      <c r="AA9" s="729">
        <f t="shared" si="1"/>
        <v>1.9336777496394002E-2</v>
      </c>
      <c r="AB9" s="584"/>
      <c r="AC9" s="730">
        <f t="shared" si="2"/>
        <v>3.8673554992788004</v>
      </c>
      <c r="AD9" s="730">
        <f t="shared" si="2"/>
        <v>-1.9336777496392903E-3</v>
      </c>
      <c r="AE9" s="730">
        <f t="shared" si="2"/>
        <v>-7.734710998557711E-3</v>
      </c>
      <c r="AF9" s="731">
        <f t="shared" si="7"/>
        <v>2.9005166244592106E-3</v>
      </c>
      <c r="AG9" s="385">
        <f t="shared" si="3"/>
        <v>1.5469421997115202E-2</v>
      </c>
      <c r="AH9" s="584"/>
      <c r="AI9" s="730">
        <f t="shared" si="4"/>
        <v>3.8673554992788004</v>
      </c>
      <c r="AJ9" s="730">
        <f t="shared" si="4"/>
        <v>-1.9336777496392903E-3</v>
      </c>
      <c r="AK9" s="730">
        <f t="shared" si="4"/>
        <v>-7.734710998557711E-3</v>
      </c>
      <c r="AL9" s="731">
        <f t="shared" si="8"/>
        <v>2.9005166244592106E-3</v>
      </c>
      <c r="AM9" s="385">
        <f t="shared" si="5"/>
        <v>1.5469421997115202E-2</v>
      </c>
    </row>
    <row r="10" spans="1:39" x14ac:dyDescent="0.25">
      <c r="A10" s="746">
        <v>250</v>
      </c>
      <c r="B10" s="199">
        <v>0.30000000000001137</v>
      </c>
      <c r="C10" s="199">
        <v>0.40000000000000568</v>
      </c>
      <c r="D10" s="199">
        <f t="shared" si="9"/>
        <v>4.9999999999997158E-2</v>
      </c>
      <c r="E10" s="747">
        <v>0.6</v>
      </c>
      <c r="F10" s="165"/>
      <c r="G10" s="748">
        <v>250</v>
      </c>
      <c r="H10" s="749">
        <v>-0.30000000000001137</v>
      </c>
      <c r="I10" s="749">
        <v>-0.5</v>
      </c>
      <c r="J10" s="749">
        <f t="shared" si="6"/>
        <v>9.9999999999994316E-2</v>
      </c>
      <c r="K10" s="750">
        <v>1</v>
      </c>
      <c r="L10" s="165"/>
      <c r="M10" s="748">
        <v>250</v>
      </c>
      <c r="N10" s="749">
        <v>-0.30000000000001137</v>
      </c>
      <c r="O10" s="749">
        <v>-0.5</v>
      </c>
      <c r="P10" s="749">
        <f t="shared" si="10"/>
        <v>9.9999999999994316E-2</v>
      </c>
      <c r="Q10" s="750">
        <v>1</v>
      </c>
      <c r="R10" s="2"/>
      <c r="W10" s="726">
        <f t="shared" si="0"/>
        <v>4.8341943740985007</v>
      </c>
      <c r="X10" s="727">
        <f t="shared" si="0"/>
        <v>5.8010332489184203E-3</v>
      </c>
      <c r="Y10" s="727">
        <f t="shared" si="0"/>
        <v>7.734710998557711E-3</v>
      </c>
      <c r="Z10" s="728">
        <f t="shared" si="11"/>
        <v>9.6683887481964536E-4</v>
      </c>
      <c r="AA10" s="729">
        <f t="shared" si="1"/>
        <v>1.16020664978364E-2</v>
      </c>
      <c r="AB10" s="584"/>
      <c r="AC10" s="730">
        <f t="shared" si="2"/>
        <v>4.8341943740985007</v>
      </c>
      <c r="AD10" s="730">
        <f t="shared" si="2"/>
        <v>-5.8010332489184203E-3</v>
      </c>
      <c r="AE10" s="730">
        <f t="shared" si="2"/>
        <v>-9.6683887481970009E-3</v>
      </c>
      <c r="AF10" s="731">
        <f t="shared" si="7"/>
        <v>1.9336777496392903E-3</v>
      </c>
      <c r="AG10" s="385">
        <f t="shared" si="3"/>
        <v>1.9336777496394002E-2</v>
      </c>
      <c r="AH10" s="584"/>
      <c r="AI10" s="730">
        <f t="shared" si="4"/>
        <v>4.8341943740985007</v>
      </c>
      <c r="AJ10" s="730">
        <f t="shared" si="4"/>
        <v>-5.8010332489184203E-3</v>
      </c>
      <c r="AK10" s="730">
        <f t="shared" si="4"/>
        <v>-9.6683887481970009E-3</v>
      </c>
      <c r="AL10" s="731">
        <f t="shared" si="8"/>
        <v>1.9336777496392903E-3</v>
      </c>
      <c r="AM10" s="385">
        <f t="shared" si="5"/>
        <v>1.9336777496394002E-2</v>
      </c>
    </row>
    <row r="11" spans="1:39" x14ac:dyDescent="0.25">
      <c r="A11" s="746">
        <v>300</v>
      </c>
      <c r="B11" s="199">
        <v>-0.10000000000002274</v>
      </c>
      <c r="C11" s="199">
        <v>0.10000000000002274</v>
      </c>
      <c r="D11" s="199">
        <f t="shared" si="9"/>
        <v>0.10000000000002274</v>
      </c>
      <c r="E11" s="747">
        <v>0.8</v>
      </c>
      <c r="F11" s="165"/>
      <c r="G11" s="748">
        <v>300</v>
      </c>
      <c r="H11" s="749">
        <v>-0.5</v>
      </c>
      <c r="I11" s="749">
        <v>-0.60000000000002274</v>
      </c>
      <c r="J11" s="749">
        <f>0.5*(MAX(H11:I11)-MIN(H11:I11))</f>
        <v>5.0000000000011369E-2</v>
      </c>
      <c r="K11" s="750">
        <v>0.8</v>
      </c>
      <c r="L11" s="165"/>
      <c r="M11" s="748">
        <v>300</v>
      </c>
      <c r="N11" s="749">
        <v>-0.5</v>
      </c>
      <c r="O11" s="749">
        <v>-0.60000000000002274</v>
      </c>
      <c r="P11" s="749">
        <f t="shared" si="10"/>
        <v>5.0000000000011369E-2</v>
      </c>
      <c r="Q11" s="750">
        <v>0.8</v>
      </c>
      <c r="R11" s="2"/>
      <c r="W11" s="726">
        <f t="shared" si="0"/>
        <v>5.8010332489182002</v>
      </c>
      <c r="X11" s="727">
        <f t="shared" si="0"/>
        <v>-1.9336777496398398E-3</v>
      </c>
      <c r="Y11" s="727">
        <f t="shared" si="0"/>
        <v>1.9336777496398398E-3</v>
      </c>
      <c r="Z11" s="728">
        <f t="shared" si="11"/>
        <v>1.9336777496398398E-3</v>
      </c>
      <c r="AA11" s="729">
        <f t="shared" si="1"/>
        <v>1.5469421997115202E-2</v>
      </c>
      <c r="AB11" s="584"/>
      <c r="AC11" s="730">
        <f t="shared" si="2"/>
        <v>5.8010332489182002</v>
      </c>
      <c r="AD11" s="730">
        <f t="shared" si="2"/>
        <v>-9.6683887481970009E-3</v>
      </c>
      <c r="AE11" s="730">
        <f t="shared" si="2"/>
        <v>-1.1602066497836841E-2</v>
      </c>
      <c r="AF11" s="731">
        <f>0.5*(MAX(AD11:AE11)-MIN(AD11:AE11))</f>
        <v>9.6683887481991988E-4</v>
      </c>
      <c r="AG11" s="385">
        <f t="shared" si="3"/>
        <v>1.5469421997115202E-2</v>
      </c>
      <c r="AH11" s="584"/>
      <c r="AI11" s="730">
        <f t="shared" si="4"/>
        <v>5.8010332489182002</v>
      </c>
      <c r="AJ11" s="730">
        <f t="shared" si="4"/>
        <v>-9.6683887481970009E-3</v>
      </c>
      <c r="AK11" s="730">
        <f t="shared" si="4"/>
        <v>-1.1602066497836841E-2</v>
      </c>
      <c r="AL11" s="731">
        <f t="shared" si="8"/>
        <v>9.6683887481991988E-4</v>
      </c>
      <c r="AM11" s="385">
        <f t="shared" si="5"/>
        <v>1.5469421997115202E-2</v>
      </c>
    </row>
    <row r="12" spans="1:39" x14ac:dyDescent="0.25">
      <c r="A12" s="746">
        <v>900</v>
      </c>
      <c r="B12" s="177">
        <f>B11</f>
        <v>-0.10000000000002274</v>
      </c>
      <c r="C12" s="177">
        <f t="shared" ref="C12:E12" si="12">C11</f>
        <v>0.10000000000002274</v>
      </c>
      <c r="D12" s="177">
        <f t="shared" si="12"/>
        <v>0.10000000000002274</v>
      </c>
      <c r="E12" s="177">
        <f t="shared" si="12"/>
        <v>0.8</v>
      </c>
      <c r="F12" s="165"/>
      <c r="G12" s="751">
        <v>900</v>
      </c>
      <c r="H12" s="177">
        <f>H11</f>
        <v>-0.5</v>
      </c>
      <c r="I12" s="177">
        <f t="shared" ref="I12" si="13">I11</f>
        <v>-0.60000000000002274</v>
      </c>
      <c r="J12" s="177">
        <f t="shared" ref="J12" si="14">J11</f>
        <v>5.0000000000011369E-2</v>
      </c>
      <c r="K12" s="750">
        <v>0.8</v>
      </c>
      <c r="L12" s="165"/>
      <c r="M12" s="748">
        <v>900</v>
      </c>
      <c r="N12" s="749">
        <v>-0.5</v>
      </c>
      <c r="O12" s="749">
        <v>-0.60000000000002274</v>
      </c>
      <c r="P12" s="749">
        <f t="shared" ref="P12" si="15">0.5*(MAX(N12:O12)-MIN(N12:O12))</f>
        <v>5.0000000000011369E-2</v>
      </c>
      <c r="Q12" s="750">
        <v>0.8</v>
      </c>
      <c r="R12" s="2"/>
      <c r="W12" s="732">
        <f>A12*T2</f>
        <v>17.403099746754602</v>
      </c>
      <c r="X12" s="733">
        <f>X11</f>
        <v>-1.9336777496398398E-3</v>
      </c>
      <c r="Y12" s="733">
        <f t="shared" ref="Y12:Z12" si="16">Y11</f>
        <v>1.9336777496398398E-3</v>
      </c>
      <c r="Z12" s="733">
        <f t="shared" si="16"/>
        <v>1.9336777496398398E-3</v>
      </c>
      <c r="AA12" s="729">
        <f t="shared" si="1"/>
        <v>1.5469421997115202E-2</v>
      </c>
      <c r="AB12" s="584"/>
      <c r="AC12" s="730">
        <f t="shared" si="2"/>
        <v>17.403099746754602</v>
      </c>
      <c r="AD12" s="730">
        <f t="shared" si="2"/>
        <v>-9.6683887481970009E-3</v>
      </c>
      <c r="AE12" s="730">
        <f t="shared" si="2"/>
        <v>-1.1602066497836841E-2</v>
      </c>
      <c r="AF12" s="734">
        <f t="shared" ref="AF12" si="17">AF11</f>
        <v>9.6683887481991988E-4</v>
      </c>
      <c r="AG12" s="385">
        <f t="shared" si="3"/>
        <v>1.5469421997115202E-2</v>
      </c>
      <c r="AH12" s="584"/>
      <c r="AI12" s="730">
        <f t="shared" si="4"/>
        <v>17.403099746754602</v>
      </c>
      <c r="AJ12" s="730">
        <f t="shared" si="4"/>
        <v>-9.6683887481970009E-3</v>
      </c>
      <c r="AK12" s="730">
        <f t="shared" si="4"/>
        <v>-1.1602066497836841E-2</v>
      </c>
      <c r="AL12" s="731">
        <f t="shared" si="8"/>
        <v>9.6683887481991988E-4</v>
      </c>
      <c r="AM12" s="385">
        <f t="shared" si="5"/>
        <v>1.5469421997115202E-2</v>
      </c>
    </row>
    <row r="13" spans="1:39" x14ac:dyDescent="0.25">
      <c r="A13" s="703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2"/>
      <c r="W13" s="584"/>
      <c r="X13" s="584"/>
      <c r="Y13" s="584"/>
      <c r="Z13" s="584"/>
      <c r="AA13" s="584"/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</row>
    <row r="14" spans="1:39" x14ac:dyDescent="0.25">
      <c r="A14" s="703"/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2"/>
      <c r="W14" s="584"/>
      <c r="X14" s="584"/>
      <c r="Y14" s="584"/>
      <c r="Z14" s="584"/>
      <c r="AA14" s="584"/>
      <c r="AB14" s="584"/>
      <c r="AC14" s="584"/>
      <c r="AD14" s="584"/>
      <c r="AE14" s="584"/>
      <c r="AF14" s="584"/>
      <c r="AG14" s="584"/>
      <c r="AH14" s="584"/>
      <c r="AI14" s="584"/>
      <c r="AJ14" s="584"/>
      <c r="AK14" s="584"/>
      <c r="AL14" s="584"/>
      <c r="AM14" s="584"/>
    </row>
    <row r="15" spans="1:39" ht="24.75" customHeight="1" x14ac:dyDescent="0.25">
      <c r="A15" s="1655" t="s">
        <v>569</v>
      </c>
      <c r="B15" s="1656"/>
      <c r="C15" s="1656"/>
      <c r="D15" s="1656"/>
      <c r="E15" s="1657"/>
      <c r="F15" s="165"/>
      <c r="G15" s="1679" t="s">
        <v>570</v>
      </c>
      <c r="H15" s="1679"/>
      <c r="I15" s="1679"/>
      <c r="J15" s="1679"/>
      <c r="K15" s="1679"/>
      <c r="L15" s="165"/>
      <c r="M15" s="1679" t="s">
        <v>571</v>
      </c>
      <c r="N15" s="1679"/>
      <c r="O15" s="1679"/>
      <c r="P15" s="1679"/>
      <c r="Q15" s="1679"/>
      <c r="R15" s="2"/>
      <c r="W15" s="1658" t="s">
        <v>569</v>
      </c>
      <c r="X15" s="1659"/>
      <c r="Y15" s="1659"/>
      <c r="Z15" s="1659"/>
      <c r="AA15" s="1660"/>
      <c r="AB15" s="584"/>
      <c r="AC15" s="1688" t="s">
        <v>570</v>
      </c>
      <c r="AD15" s="1688"/>
      <c r="AE15" s="1688"/>
      <c r="AF15" s="1688"/>
      <c r="AG15" s="1688"/>
      <c r="AH15" s="584"/>
      <c r="AI15" s="1688" t="s">
        <v>571</v>
      </c>
      <c r="AJ15" s="1688"/>
      <c r="AK15" s="1688"/>
      <c r="AL15" s="1688"/>
      <c r="AM15" s="1688"/>
    </row>
    <row r="16" spans="1:39" ht="24.75" customHeight="1" x14ac:dyDescent="0.25">
      <c r="A16" s="744" t="s">
        <v>567</v>
      </c>
      <c r="B16" s="752" t="s">
        <v>127</v>
      </c>
      <c r="C16" s="753"/>
      <c r="D16" s="754" t="s">
        <v>568</v>
      </c>
      <c r="E16" s="755" t="s">
        <v>145</v>
      </c>
      <c r="F16" s="165"/>
      <c r="G16" s="745" t="s">
        <v>567</v>
      </c>
      <c r="H16" s="1673" t="s">
        <v>127</v>
      </c>
      <c r="I16" s="1674"/>
      <c r="J16" s="1675" t="s">
        <v>568</v>
      </c>
      <c r="K16" s="1676" t="s">
        <v>145</v>
      </c>
      <c r="L16" s="165"/>
      <c r="M16" s="745" t="s">
        <v>567</v>
      </c>
      <c r="N16" s="1673" t="s">
        <v>127</v>
      </c>
      <c r="O16" s="1674"/>
      <c r="P16" s="1675" t="s">
        <v>568</v>
      </c>
      <c r="Q16" s="1676" t="s">
        <v>145</v>
      </c>
      <c r="R16" s="2"/>
      <c r="W16" s="723" t="s">
        <v>567</v>
      </c>
      <c r="X16" s="735" t="s">
        <v>127</v>
      </c>
      <c r="Y16" s="736"/>
      <c r="Z16" s="737" t="s">
        <v>568</v>
      </c>
      <c r="AA16" s="713" t="s">
        <v>145</v>
      </c>
      <c r="AB16" s="584"/>
      <c r="AC16" s="723" t="s">
        <v>567</v>
      </c>
      <c r="AD16" s="1681" t="s">
        <v>127</v>
      </c>
      <c r="AE16" s="1682"/>
      <c r="AF16" s="1683" t="s">
        <v>568</v>
      </c>
      <c r="AG16" s="1685" t="s">
        <v>145</v>
      </c>
      <c r="AH16" s="584"/>
      <c r="AI16" s="723" t="s">
        <v>567</v>
      </c>
      <c r="AJ16" s="1681" t="s">
        <v>127</v>
      </c>
      <c r="AK16" s="1682"/>
      <c r="AL16" s="1683" t="s">
        <v>568</v>
      </c>
      <c r="AM16" s="1685" t="s">
        <v>145</v>
      </c>
    </row>
    <row r="17" spans="1:39" x14ac:dyDescent="0.25">
      <c r="A17" s="744" t="s">
        <v>199</v>
      </c>
      <c r="B17" s="219">
        <v>2017</v>
      </c>
      <c r="C17" s="219">
        <v>2018</v>
      </c>
      <c r="D17" s="710"/>
      <c r="E17" s="756"/>
      <c r="F17" s="165"/>
      <c r="G17" s="745" t="s">
        <v>199</v>
      </c>
      <c r="H17" s="219">
        <v>2017</v>
      </c>
      <c r="I17" s="219">
        <v>2019</v>
      </c>
      <c r="J17" s="1671"/>
      <c r="K17" s="1677"/>
      <c r="L17" s="165"/>
      <c r="M17" s="745" t="s">
        <v>199</v>
      </c>
      <c r="N17" s="219">
        <v>2017</v>
      </c>
      <c r="O17" s="219">
        <v>2019</v>
      </c>
      <c r="P17" s="1671"/>
      <c r="Q17" s="1677"/>
      <c r="R17" s="2"/>
      <c r="W17" s="723" t="str">
        <f>AI4</f>
        <v>PSI</v>
      </c>
      <c r="X17" s="725">
        <v>2017</v>
      </c>
      <c r="Y17" s="725">
        <v>2018</v>
      </c>
      <c r="Z17" s="738"/>
      <c r="AA17" s="714"/>
      <c r="AB17" s="584"/>
      <c r="AC17" s="723" t="s">
        <v>378</v>
      </c>
      <c r="AD17" s="725">
        <v>2017</v>
      </c>
      <c r="AE17" s="725">
        <v>2019</v>
      </c>
      <c r="AF17" s="1684"/>
      <c r="AG17" s="1686"/>
      <c r="AH17" s="584"/>
      <c r="AI17" s="723" t="s">
        <v>378</v>
      </c>
      <c r="AJ17" s="725">
        <v>2017</v>
      </c>
      <c r="AK17" s="725">
        <v>2019</v>
      </c>
      <c r="AL17" s="1684"/>
      <c r="AM17" s="1686"/>
    </row>
    <row r="18" spans="1:39" x14ac:dyDescent="0.25">
      <c r="A18" s="757">
        <v>0</v>
      </c>
      <c r="B18" s="749">
        <v>9.9999999999999995E-7</v>
      </c>
      <c r="C18" s="749">
        <v>-0.1</v>
      </c>
      <c r="D18" s="749">
        <f>0.5*(MAX(B18:C18)-MIN(B18:C18))</f>
        <v>5.0000500000000003E-2</v>
      </c>
      <c r="E18" s="750">
        <v>0.1</v>
      </c>
      <c r="F18" s="165"/>
      <c r="G18" s="748">
        <v>0</v>
      </c>
      <c r="H18" s="749">
        <v>9.9999999999999995E-7</v>
      </c>
      <c r="I18" s="749">
        <v>0.1</v>
      </c>
      <c r="J18" s="749">
        <f>0.5*(MAX(H18:I18)-MIN(H18:I18))</f>
        <v>4.9999500000000002E-2</v>
      </c>
      <c r="K18" s="750">
        <v>0.6</v>
      </c>
      <c r="L18" s="165"/>
      <c r="M18" s="748">
        <v>0</v>
      </c>
      <c r="N18" s="749">
        <v>9.9999999999999995E-7</v>
      </c>
      <c r="O18" s="749">
        <v>9.9999999999999995E-7</v>
      </c>
      <c r="P18" s="749">
        <f>0.5*(MAX(N18:O18)-MIN(N18:O18))</f>
        <v>0</v>
      </c>
      <c r="Q18" s="750">
        <v>0.6</v>
      </c>
      <c r="R18" s="2"/>
      <c r="W18" s="730">
        <f t="shared" ref="W18:Y25" si="18">A18*$T$2</f>
        <v>0</v>
      </c>
      <c r="X18" s="730">
        <f t="shared" si="18"/>
        <v>1.9336777496394002E-8</v>
      </c>
      <c r="Y18" s="730">
        <f t="shared" si="18"/>
        <v>-1.9336777496394002E-3</v>
      </c>
      <c r="Z18" s="739">
        <f>0.5*(MAX(X18:Y18)-MIN(X18:Y18))</f>
        <v>9.6684854320844835E-4</v>
      </c>
      <c r="AA18" s="385">
        <f t="shared" ref="AA18:AA25" si="19">E18*$T$2</f>
        <v>1.9336777496394002E-3</v>
      </c>
      <c r="AB18" s="584"/>
      <c r="AC18" s="730">
        <f t="shared" ref="AC18:AE25" si="20">G18*$T$2</f>
        <v>0</v>
      </c>
      <c r="AD18" s="730">
        <f t="shared" si="20"/>
        <v>1.9336777496394002E-8</v>
      </c>
      <c r="AE18" s="730">
        <f t="shared" si="20"/>
        <v>1.9336777496394002E-3</v>
      </c>
      <c r="AF18" s="739">
        <f>0.5*(MAX(AD18:AE18)-MIN(AD18:AE18))</f>
        <v>9.6682920643095186E-4</v>
      </c>
      <c r="AG18" s="385">
        <f t="shared" ref="AG18:AG25" si="21">K18*$T$2</f>
        <v>1.16020664978364E-2</v>
      </c>
      <c r="AH18" s="584"/>
      <c r="AI18" s="730">
        <f t="shared" ref="AI18:AK25" si="22">M18*$T$2</f>
        <v>0</v>
      </c>
      <c r="AJ18" s="730">
        <f t="shared" si="22"/>
        <v>1.9336777496394002E-8</v>
      </c>
      <c r="AK18" s="730">
        <f t="shared" si="22"/>
        <v>1.9336777496394002E-8</v>
      </c>
      <c r="AL18" s="739">
        <f>0.5*(MAX(AJ18:AK18)-MIN(AJ18:AK18))</f>
        <v>0</v>
      </c>
      <c r="AM18" s="385">
        <f t="shared" ref="AM18:AM25" si="23">Q18*$T$2</f>
        <v>1.16020664978364E-2</v>
      </c>
    </row>
    <row r="19" spans="1:39" x14ac:dyDescent="0.25">
      <c r="A19" s="757">
        <v>50</v>
      </c>
      <c r="B19" s="749">
        <v>-0.10000000000000142</v>
      </c>
      <c r="C19" s="749">
        <v>-0.20000000000000284</v>
      </c>
      <c r="D19" s="749">
        <f t="shared" ref="D19:D23" si="24">0.5*(MAX(B19:C19)-MIN(B19:C19))</f>
        <v>5.0000000000000711E-2</v>
      </c>
      <c r="E19" s="750">
        <v>0.1</v>
      </c>
      <c r="F19" s="165"/>
      <c r="G19" s="748">
        <v>50</v>
      </c>
      <c r="H19" s="749">
        <v>9.9999999999999995E-7</v>
      </c>
      <c r="I19" s="749">
        <v>0.7</v>
      </c>
      <c r="J19" s="749">
        <f t="shared" ref="J19:J24" si="25">0.5*(MAX(H19:I19)-MIN(H19:I19))</f>
        <v>0.34999949999999996</v>
      </c>
      <c r="K19" s="750">
        <v>0.6</v>
      </c>
      <c r="L19" s="165"/>
      <c r="M19" s="748">
        <v>50</v>
      </c>
      <c r="N19" s="749">
        <v>9.9999999999999995E-7</v>
      </c>
      <c r="O19" s="749">
        <v>0.2</v>
      </c>
      <c r="P19" s="749">
        <f t="shared" ref="P19:P24" si="26">0.5*(MAX(N19:O19)-MIN(N19:O19))</f>
        <v>9.9999500000000005E-2</v>
      </c>
      <c r="Q19" s="750">
        <v>0.6</v>
      </c>
      <c r="R19" s="2"/>
      <c r="W19" s="730">
        <f t="shared" si="18"/>
        <v>0.9668388748197001</v>
      </c>
      <c r="X19" s="730">
        <f t="shared" si="18"/>
        <v>-1.9336777496394278E-3</v>
      </c>
      <c r="Y19" s="730">
        <f t="shared" si="18"/>
        <v>-3.8673554992788555E-3</v>
      </c>
      <c r="Z19" s="739">
        <f t="shared" ref="Z19:Z23" si="27">0.5*(MAX(X19:Y19)-MIN(X19:Y19))</f>
        <v>9.6683887481971388E-4</v>
      </c>
      <c r="AA19" s="385">
        <f t="shared" si="19"/>
        <v>1.9336777496394002E-3</v>
      </c>
      <c r="AB19" s="584"/>
      <c r="AC19" s="730">
        <f t="shared" si="20"/>
        <v>0.9668388748197001</v>
      </c>
      <c r="AD19" s="730">
        <f t="shared" si="20"/>
        <v>1.9336777496394002E-8</v>
      </c>
      <c r="AE19" s="730">
        <f t="shared" si="20"/>
        <v>1.3535744247475801E-2</v>
      </c>
      <c r="AF19" s="739">
        <f t="shared" ref="AF19:AF24" si="28">0.5*(MAX(AD19:AE19)-MIN(AD19:AE19))</f>
        <v>6.767862455349152E-3</v>
      </c>
      <c r="AG19" s="385">
        <f t="shared" si="21"/>
        <v>1.16020664978364E-2</v>
      </c>
      <c r="AH19" s="584"/>
      <c r="AI19" s="730">
        <f t="shared" si="22"/>
        <v>0.9668388748197001</v>
      </c>
      <c r="AJ19" s="730">
        <f t="shared" si="22"/>
        <v>1.9336777496394002E-8</v>
      </c>
      <c r="AK19" s="730">
        <f t="shared" si="22"/>
        <v>3.8673554992788004E-3</v>
      </c>
      <c r="AL19" s="739">
        <f t="shared" ref="AL19:AL21" si="29">0.5*(MAX(AJ19:AK19)-MIN(AJ19:AK19))</f>
        <v>1.933668081250652E-3</v>
      </c>
      <c r="AM19" s="385">
        <f t="shared" si="23"/>
        <v>1.16020664978364E-2</v>
      </c>
    </row>
    <row r="20" spans="1:39" x14ac:dyDescent="0.25">
      <c r="A20" s="757">
        <v>100</v>
      </c>
      <c r="B20" s="749">
        <v>-9.9999999999994316E-2</v>
      </c>
      <c r="C20" s="749">
        <v>-0.29999999999999716</v>
      </c>
      <c r="D20" s="749">
        <f t="shared" si="24"/>
        <v>0.10000000000000142</v>
      </c>
      <c r="E20" s="750">
        <v>0.1</v>
      </c>
      <c r="F20" s="165"/>
      <c r="G20" s="748">
        <v>100</v>
      </c>
      <c r="H20" s="749">
        <v>9.9999999999999995E-7</v>
      </c>
      <c r="I20" s="749">
        <v>1</v>
      </c>
      <c r="J20" s="749">
        <f t="shared" si="25"/>
        <v>0.49999949999999999</v>
      </c>
      <c r="K20" s="750">
        <v>0.8</v>
      </c>
      <c r="L20" s="165"/>
      <c r="M20" s="748">
        <v>100</v>
      </c>
      <c r="N20" s="749">
        <v>9.9999999999999995E-7</v>
      </c>
      <c r="O20" s="749">
        <v>0.3</v>
      </c>
      <c r="P20" s="749">
        <f t="shared" si="26"/>
        <v>0.14999950000000001</v>
      </c>
      <c r="Q20" s="750">
        <v>0.8</v>
      </c>
      <c r="R20" s="2"/>
      <c r="W20" s="730">
        <f t="shared" si="18"/>
        <v>1.9336777496394002</v>
      </c>
      <c r="X20" s="730">
        <f t="shared" si="18"/>
        <v>-1.9336777496392903E-3</v>
      </c>
      <c r="Y20" s="730">
        <f t="shared" si="18"/>
        <v>-5.8010332489181454E-3</v>
      </c>
      <c r="Z20" s="739">
        <f t="shared" si="27"/>
        <v>1.9336777496394275E-3</v>
      </c>
      <c r="AA20" s="385">
        <f t="shared" si="19"/>
        <v>1.9336777496394002E-3</v>
      </c>
      <c r="AB20" s="584"/>
      <c r="AC20" s="730">
        <f t="shared" si="20"/>
        <v>1.9336777496394002</v>
      </c>
      <c r="AD20" s="730">
        <f t="shared" si="20"/>
        <v>1.9336777496394002E-8</v>
      </c>
      <c r="AE20" s="730">
        <f t="shared" si="20"/>
        <v>1.9336777496394002E-2</v>
      </c>
      <c r="AF20" s="739">
        <f t="shared" si="28"/>
        <v>9.6683790798082533E-3</v>
      </c>
      <c r="AG20" s="385">
        <f t="shared" si="21"/>
        <v>1.5469421997115202E-2</v>
      </c>
      <c r="AH20" s="584"/>
      <c r="AI20" s="730">
        <f t="shared" si="22"/>
        <v>1.9336777496394002</v>
      </c>
      <c r="AJ20" s="730">
        <f t="shared" si="22"/>
        <v>1.9336777496394002E-8</v>
      </c>
      <c r="AK20" s="730">
        <f t="shared" si="22"/>
        <v>5.8010332489182E-3</v>
      </c>
      <c r="AL20" s="739">
        <f t="shared" si="29"/>
        <v>2.900506956070352E-3</v>
      </c>
      <c r="AM20" s="385">
        <f t="shared" si="23"/>
        <v>1.5469421997115202E-2</v>
      </c>
    </row>
    <row r="21" spans="1:39" x14ac:dyDescent="0.25">
      <c r="A21" s="757">
        <v>150</v>
      </c>
      <c r="B21" s="749">
        <v>-0.19999999999998863</v>
      </c>
      <c r="C21" s="749">
        <v>-0.30000000000001137</v>
      </c>
      <c r="D21" s="749">
        <f t="shared" si="24"/>
        <v>5.0000000000011369E-2</v>
      </c>
      <c r="E21" s="750">
        <v>0.1</v>
      </c>
      <c r="F21" s="165"/>
      <c r="G21" s="748">
        <v>150</v>
      </c>
      <c r="H21" s="749">
        <v>9.9999999999999995E-7</v>
      </c>
      <c r="I21" s="749">
        <v>1.2</v>
      </c>
      <c r="J21" s="749">
        <f t="shared" si="25"/>
        <v>0.59999950000000002</v>
      </c>
      <c r="K21" s="750">
        <v>0.6</v>
      </c>
      <c r="L21" s="165"/>
      <c r="M21" s="748">
        <v>150</v>
      </c>
      <c r="N21" s="749">
        <v>9.9999999999999995E-7</v>
      </c>
      <c r="O21" s="749">
        <v>0.3</v>
      </c>
      <c r="P21" s="749">
        <f t="shared" si="26"/>
        <v>0.14999950000000001</v>
      </c>
      <c r="Q21" s="750">
        <v>0.6</v>
      </c>
      <c r="R21" s="2"/>
      <c r="W21" s="730">
        <f t="shared" si="18"/>
        <v>2.9005166244591001</v>
      </c>
      <c r="X21" s="730">
        <f t="shared" si="18"/>
        <v>-3.8673554992785806E-3</v>
      </c>
      <c r="Y21" s="730">
        <f t="shared" si="18"/>
        <v>-5.8010332489184203E-3</v>
      </c>
      <c r="Z21" s="739">
        <f t="shared" si="27"/>
        <v>9.6683887481991988E-4</v>
      </c>
      <c r="AA21" s="385">
        <f t="shared" si="19"/>
        <v>1.9336777496394002E-3</v>
      </c>
      <c r="AB21" s="584"/>
      <c r="AC21" s="730">
        <f t="shared" si="20"/>
        <v>2.9005166244591001</v>
      </c>
      <c r="AD21" s="730">
        <f t="shared" si="20"/>
        <v>1.9336777496394002E-8</v>
      </c>
      <c r="AE21" s="730">
        <f t="shared" si="20"/>
        <v>2.32041329956728E-2</v>
      </c>
      <c r="AF21" s="739">
        <f t="shared" si="28"/>
        <v>1.1602056829447652E-2</v>
      </c>
      <c r="AG21" s="385">
        <f t="shared" si="21"/>
        <v>1.16020664978364E-2</v>
      </c>
      <c r="AH21" s="584"/>
      <c r="AI21" s="730">
        <f t="shared" si="22"/>
        <v>2.9005166244591001</v>
      </c>
      <c r="AJ21" s="730">
        <f t="shared" si="22"/>
        <v>1.9336777496394002E-8</v>
      </c>
      <c r="AK21" s="730">
        <f t="shared" si="22"/>
        <v>5.8010332489182E-3</v>
      </c>
      <c r="AL21" s="739">
        <f t="shared" si="29"/>
        <v>2.900506956070352E-3</v>
      </c>
      <c r="AM21" s="385">
        <f t="shared" si="23"/>
        <v>1.16020664978364E-2</v>
      </c>
    </row>
    <row r="22" spans="1:39" x14ac:dyDescent="0.25">
      <c r="A22" s="757">
        <v>200</v>
      </c>
      <c r="B22" s="749">
        <v>-0.19999999999998863</v>
      </c>
      <c r="C22" s="749">
        <v>-0.30000000000001137</v>
      </c>
      <c r="D22" s="749">
        <f t="shared" si="24"/>
        <v>5.0000000000011369E-2</v>
      </c>
      <c r="E22" s="750">
        <v>0.1</v>
      </c>
      <c r="F22" s="165"/>
      <c r="G22" s="748">
        <v>200</v>
      </c>
      <c r="H22" s="749">
        <v>9.9999999999999995E-7</v>
      </c>
      <c r="I22" s="749">
        <v>1.2</v>
      </c>
      <c r="J22" s="749">
        <f t="shared" si="25"/>
        <v>0.59999950000000002</v>
      </c>
      <c r="K22" s="750">
        <v>0.8</v>
      </c>
      <c r="L22" s="165"/>
      <c r="M22" s="748">
        <v>200</v>
      </c>
      <c r="N22" s="749">
        <v>9.9999999999999995E-7</v>
      </c>
      <c r="O22" s="749">
        <v>0.3</v>
      </c>
      <c r="P22" s="749">
        <f>0.5*(MAX(N22:O22)-MIN(N22:O22))</f>
        <v>0.14999950000000001</v>
      </c>
      <c r="Q22" s="750">
        <v>0.8</v>
      </c>
      <c r="R22" s="2"/>
      <c r="W22" s="730">
        <f t="shared" si="18"/>
        <v>3.8673554992788004</v>
      </c>
      <c r="X22" s="730">
        <f t="shared" si="18"/>
        <v>-3.8673554992785806E-3</v>
      </c>
      <c r="Y22" s="730">
        <f t="shared" si="18"/>
        <v>-5.8010332489184203E-3</v>
      </c>
      <c r="Z22" s="739">
        <f t="shared" si="27"/>
        <v>9.6683887481991988E-4</v>
      </c>
      <c r="AA22" s="385">
        <f t="shared" si="19"/>
        <v>1.9336777496394002E-3</v>
      </c>
      <c r="AB22" s="584"/>
      <c r="AC22" s="730">
        <f t="shared" si="20"/>
        <v>3.8673554992788004</v>
      </c>
      <c r="AD22" s="730">
        <f t="shared" si="20"/>
        <v>1.9336777496394002E-8</v>
      </c>
      <c r="AE22" s="730">
        <f t="shared" si="20"/>
        <v>2.32041329956728E-2</v>
      </c>
      <c r="AF22" s="739">
        <f t="shared" si="28"/>
        <v>1.1602056829447652E-2</v>
      </c>
      <c r="AG22" s="385">
        <f t="shared" si="21"/>
        <v>1.5469421997115202E-2</v>
      </c>
      <c r="AH22" s="584"/>
      <c r="AI22" s="730">
        <f t="shared" si="22"/>
        <v>3.8673554992788004</v>
      </c>
      <c r="AJ22" s="730">
        <f t="shared" si="22"/>
        <v>1.9336777496394002E-8</v>
      </c>
      <c r="AK22" s="730">
        <f t="shared" si="22"/>
        <v>5.8010332489182E-3</v>
      </c>
      <c r="AL22" s="739">
        <f>0.5*(MAX(AJ22:AK22)-MIN(AJ22:AK22))</f>
        <v>2.900506956070352E-3</v>
      </c>
      <c r="AM22" s="385">
        <f t="shared" si="23"/>
        <v>1.5469421997115202E-2</v>
      </c>
    </row>
    <row r="23" spans="1:39" x14ac:dyDescent="0.25">
      <c r="A23" s="757">
        <v>250</v>
      </c>
      <c r="B23" s="749">
        <v>-0.19999999999998863</v>
      </c>
      <c r="C23" s="749">
        <v>-0.40000000000000568</v>
      </c>
      <c r="D23" s="749">
        <f t="shared" si="24"/>
        <v>0.10000000000000853</v>
      </c>
      <c r="E23" s="750">
        <v>0.1</v>
      </c>
      <c r="F23" s="165"/>
      <c r="G23" s="748">
        <v>250</v>
      </c>
      <c r="H23" s="749">
        <v>9.9999999999999995E-7</v>
      </c>
      <c r="I23" s="749">
        <v>1.1000000000000001</v>
      </c>
      <c r="J23" s="749">
        <f t="shared" si="25"/>
        <v>0.54999950000000009</v>
      </c>
      <c r="K23" s="750">
        <v>0.8</v>
      </c>
      <c r="L23" s="165"/>
      <c r="M23" s="748">
        <v>250</v>
      </c>
      <c r="N23" s="749">
        <v>9.9999999999999995E-7</v>
      </c>
      <c r="O23" s="749">
        <v>0.3</v>
      </c>
      <c r="P23" s="749">
        <f t="shared" si="26"/>
        <v>0.14999950000000001</v>
      </c>
      <c r="Q23" s="750">
        <v>0.8</v>
      </c>
      <c r="R23" s="2"/>
      <c r="W23" s="730">
        <f t="shared" si="18"/>
        <v>4.8341943740985007</v>
      </c>
      <c r="X23" s="730">
        <f t="shared" si="18"/>
        <v>-3.8673554992785806E-3</v>
      </c>
      <c r="Y23" s="730">
        <f t="shared" si="18"/>
        <v>-7.734710998557711E-3</v>
      </c>
      <c r="Z23" s="739">
        <f t="shared" si="27"/>
        <v>1.9336777496395652E-3</v>
      </c>
      <c r="AA23" s="385">
        <f t="shared" si="19"/>
        <v>1.9336777496394002E-3</v>
      </c>
      <c r="AB23" s="584"/>
      <c r="AC23" s="730">
        <f t="shared" si="20"/>
        <v>4.8341943740985007</v>
      </c>
      <c r="AD23" s="730">
        <f t="shared" si="20"/>
        <v>1.9336777496394002E-8</v>
      </c>
      <c r="AE23" s="730">
        <f t="shared" si="20"/>
        <v>2.1270455246033403E-2</v>
      </c>
      <c r="AF23" s="739">
        <f t="shared" si="28"/>
        <v>1.0635217954627954E-2</v>
      </c>
      <c r="AG23" s="385">
        <f t="shared" si="21"/>
        <v>1.5469421997115202E-2</v>
      </c>
      <c r="AH23" s="584"/>
      <c r="AI23" s="730">
        <f t="shared" si="22"/>
        <v>4.8341943740985007</v>
      </c>
      <c r="AJ23" s="730">
        <f t="shared" si="22"/>
        <v>1.9336777496394002E-8</v>
      </c>
      <c r="AK23" s="730">
        <f t="shared" si="22"/>
        <v>5.8010332489182E-3</v>
      </c>
      <c r="AL23" s="739">
        <f t="shared" ref="AL23:AL24" si="30">0.5*(MAX(AJ23:AK23)-MIN(AJ23:AK23))</f>
        <v>2.900506956070352E-3</v>
      </c>
      <c r="AM23" s="385">
        <f t="shared" si="23"/>
        <v>1.5469421997115202E-2</v>
      </c>
    </row>
    <row r="24" spans="1:39" x14ac:dyDescent="0.25">
      <c r="A24" s="757">
        <v>300</v>
      </c>
      <c r="B24" s="749">
        <v>-0.30000000000001137</v>
      </c>
      <c r="C24" s="749">
        <v>-0.39999999999997726</v>
      </c>
      <c r="D24" s="749">
        <f>0.5*(MAX(B24:C24)-MIN(B24:C24))</f>
        <v>4.9999999999982947E-2</v>
      </c>
      <c r="E24" s="750">
        <v>0.2</v>
      </c>
      <c r="F24" s="165"/>
      <c r="G24" s="748">
        <v>300</v>
      </c>
      <c r="H24" s="749">
        <v>9.9999999999999995E-7</v>
      </c>
      <c r="I24" s="749">
        <v>0.8</v>
      </c>
      <c r="J24" s="749">
        <f t="shared" si="25"/>
        <v>0.39999950000000001</v>
      </c>
      <c r="K24" s="750">
        <v>0.6</v>
      </c>
      <c r="L24" s="165"/>
      <c r="M24" s="748">
        <v>300</v>
      </c>
      <c r="N24" s="749">
        <v>9.9999999999999995E-7</v>
      </c>
      <c r="O24" s="749">
        <v>0.1</v>
      </c>
      <c r="P24" s="749">
        <f t="shared" si="26"/>
        <v>4.9999500000000002E-2</v>
      </c>
      <c r="Q24" s="750">
        <v>0.6</v>
      </c>
      <c r="R24" s="2"/>
      <c r="W24" s="730">
        <f t="shared" si="18"/>
        <v>5.8010332489182002</v>
      </c>
      <c r="X24" s="730">
        <f t="shared" si="18"/>
        <v>-5.8010332489184203E-3</v>
      </c>
      <c r="Y24" s="730">
        <f t="shared" si="18"/>
        <v>-7.7347109985571611E-3</v>
      </c>
      <c r="Z24" s="739">
        <f>0.5*(MAX(X24:Y24)-MIN(X24:Y24))</f>
        <v>9.668388748193704E-4</v>
      </c>
      <c r="AA24" s="385">
        <f t="shared" si="19"/>
        <v>3.8673554992788004E-3</v>
      </c>
      <c r="AB24" s="584"/>
      <c r="AC24" s="730">
        <f t="shared" si="20"/>
        <v>5.8010332489182002</v>
      </c>
      <c r="AD24" s="730">
        <f t="shared" si="20"/>
        <v>1.9336777496394002E-8</v>
      </c>
      <c r="AE24" s="730">
        <f t="shared" si="20"/>
        <v>1.5469421997115202E-2</v>
      </c>
      <c r="AF24" s="739">
        <f t="shared" si="28"/>
        <v>7.7347013301688524E-3</v>
      </c>
      <c r="AG24" s="385">
        <f t="shared" si="21"/>
        <v>1.16020664978364E-2</v>
      </c>
      <c r="AH24" s="584"/>
      <c r="AI24" s="730">
        <f t="shared" si="22"/>
        <v>5.8010332489182002</v>
      </c>
      <c r="AJ24" s="730">
        <f t="shared" si="22"/>
        <v>1.9336777496394002E-8</v>
      </c>
      <c r="AK24" s="730">
        <f t="shared" si="22"/>
        <v>1.9336777496394002E-3</v>
      </c>
      <c r="AL24" s="739">
        <f t="shared" si="30"/>
        <v>9.6682920643095186E-4</v>
      </c>
      <c r="AM24" s="385">
        <f t="shared" si="23"/>
        <v>1.16020664978364E-2</v>
      </c>
    </row>
    <row r="25" spans="1:39" x14ac:dyDescent="0.25">
      <c r="A25" s="757">
        <v>900</v>
      </c>
      <c r="B25" s="749">
        <v>-0.30000000000001137</v>
      </c>
      <c r="C25" s="749">
        <v>-0.39999999999997726</v>
      </c>
      <c r="D25" s="749">
        <f>0.5*(MAX(B25:C25)-MIN(B25:C25))</f>
        <v>4.9999999999982947E-2</v>
      </c>
      <c r="E25" s="750">
        <v>0.2</v>
      </c>
      <c r="F25" s="165"/>
      <c r="G25" s="748">
        <v>900</v>
      </c>
      <c r="H25" s="749">
        <v>9.9999999999999995E-7</v>
      </c>
      <c r="I25" s="749">
        <v>0.8</v>
      </c>
      <c r="J25" s="749">
        <f t="shared" ref="J25" si="31">0.5*(MAX(H25:I25)-MIN(H25:I25))</f>
        <v>0.39999950000000001</v>
      </c>
      <c r="K25" s="750">
        <v>0.6</v>
      </c>
      <c r="L25" s="165"/>
      <c r="M25" s="748">
        <v>900</v>
      </c>
      <c r="N25" s="749">
        <v>9.9999999999999995E-7</v>
      </c>
      <c r="O25" s="749">
        <v>0.1</v>
      </c>
      <c r="P25" s="749">
        <f t="shared" ref="P25" si="32">0.5*(MAX(N25:O25)-MIN(N25:O25))</f>
        <v>4.9999500000000002E-2</v>
      </c>
      <c r="Q25" s="750">
        <v>0.6</v>
      </c>
      <c r="R25" s="2"/>
      <c r="W25" s="730">
        <f t="shared" si="18"/>
        <v>17.403099746754602</v>
      </c>
      <c r="X25" s="730">
        <f t="shared" si="18"/>
        <v>-5.8010332489184203E-3</v>
      </c>
      <c r="Y25" s="730">
        <f t="shared" si="18"/>
        <v>-7.7347109985571611E-3</v>
      </c>
      <c r="Z25" s="739">
        <f>0.5*(MAX(X25:Y25)-MIN(X25:Y25))</f>
        <v>9.668388748193704E-4</v>
      </c>
      <c r="AA25" s="385">
        <f t="shared" si="19"/>
        <v>3.8673554992788004E-3</v>
      </c>
      <c r="AB25" s="584"/>
      <c r="AC25" s="730">
        <f t="shared" si="20"/>
        <v>17.403099746754602</v>
      </c>
      <c r="AD25" s="730">
        <f t="shared" si="20"/>
        <v>1.9336777496394002E-8</v>
      </c>
      <c r="AE25" s="730">
        <f t="shared" si="20"/>
        <v>1.5469421997115202E-2</v>
      </c>
      <c r="AF25" s="739">
        <f t="shared" ref="AF25" si="33">0.5*(MAX(AD25:AE25)-MIN(AD25:AE25))</f>
        <v>7.7347013301688524E-3</v>
      </c>
      <c r="AG25" s="385">
        <f t="shared" si="21"/>
        <v>1.16020664978364E-2</v>
      </c>
      <c r="AH25" s="584"/>
      <c r="AI25" s="730">
        <f t="shared" si="22"/>
        <v>17.403099746754602</v>
      </c>
      <c r="AJ25" s="730">
        <f t="shared" si="22"/>
        <v>1.9336777496394002E-8</v>
      </c>
      <c r="AK25" s="730">
        <f t="shared" si="22"/>
        <v>1.9336777496394002E-3</v>
      </c>
      <c r="AL25" s="739">
        <f>0.5*(MAX(AJ25:AK25)-MIN(AJ25:AK25))</f>
        <v>9.6682920643095186E-4</v>
      </c>
      <c r="AM25" s="385">
        <f t="shared" si="23"/>
        <v>1.16020664978364E-2</v>
      </c>
    </row>
    <row r="26" spans="1:39" x14ac:dyDescent="0.25">
      <c r="A26" s="703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697"/>
      <c r="N26" s="165"/>
      <c r="O26" s="165"/>
      <c r="P26" s="165"/>
      <c r="Q26" s="165"/>
      <c r="R26" s="2"/>
      <c r="W26" s="584"/>
      <c r="X26" s="584"/>
      <c r="Y26" s="584"/>
      <c r="Z26" s="584"/>
      <c r="AA26" s="584"/>
      <c r="AB26" s="584"/>
      <c r="AC26" s="584"/>
      <c r="AD26" s="584"/>
      <c r="AE26" s="584"/>
      <c r="AF26" s="584"/>
      <c r="AG26" s="584"/>
      <c r="AH26" s="584"/>
      <c r="AI26" s="584"/>
      <c r="AJ26" s="584"/>
      <c r="AK26" s="584"/>
      <c r="AL26" s="584"/>
      <c r="AM26" s="584"/>
    </row>
    <row r="27" spans="1:39" x14ac:dyDescent="0.25">
      <c r="A27" s="703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2"/>
      <c r="W27" s="584"/>
      <c r="X27" s="584"/>
      <c r="Y27" s="584"/>
      <c r="Z27" s="584"/>
      <c r="AA27" s="584"/>
      <c r="AB27" s="584"/>
      <c r="AC27" s="584"/>
      <c r="AD27" s="584"/>
      <c r="AE27" s="584"/>
      <c r="AF27" s="584"/>
      <c r="AG27" s="584"/>
      <c r="AH27" s="584"/>
      <c r="AI27" s="584"/>
      <c r="AJ27" s="584"/>
      <c r="AK27" s="584"/>
      <c r="AL27" s="584"/>
      <c r="AM27" s="584"/>
    </row>
    <row r="28" spans="1:39" ht="24.75" customHeight="1" x14ac:dyDescent="0.25">
      <c r="A28" s="1689" t="s">
        <v>572</v>
      </c>
      <c r="B28" s="1679"/>
      <c r="C28" s="1679"/>
      <c r="D28" s="1679"/>
      <c r="E28" s="1679"/>
      <c r="F28" s="165"/>
      <c r="G28" s="1678" t="s">
        <v>573</v>
      </c>
      <c r="H28" s="1679"/>
      <c r="I28" s="1679"/>
      <c r="J28" s="1679"/>
      <c r="K28" s="1679"/>
      <c r="L28" s="165"/>
      <c r="M28" s="1678" t="s">
        <v>574</v>
      </c>
      <c r="N28" s="1679"/>
      <c r="O28" s="1679"/>
      <c r="P28" s="1679"/>
      <c r="Q28" s="1679"/>
      <c r="R28" s="2"/>
      <c r="W28" s="1688" t="s">
        <v>572</v>
      </c>
      <c r="X28" s="1688"/>
      <c r="Y28" s="1688"/>
      <c r="Z28" s="1688"/>
      <c r="AA28" s="1688"/>
      <c r="AB28" s="584"/>
      <c r="AC28" s="1687" t="s">
        <v>573</v>
      </c>
      <c r="AD28" s="1688"/>
      <c r="AE28" s="1688"/>
      <c r="AF28" s="1688"/>
      <c r="AG28" s="1688"/>
      <c r="AH28" s="584"/>
      <c r="AI28" s="1687" t="s">
        <v>574</v>
      </c>
      <c r="AJ28" s="1688"/>
      <c r="AK28" s="1688"/>
      <c r="AL28" s="1688"/>
      <c r="AM28" s="1688"/>
    </row>
    <row r="29" spans="1:39" ht="24.75" customHeight="1" x14ac:dyDescent="0.25">
      <c r="A29" s="744" t="s">
        <v>567</v>
      </c>
      <c r="B29" s="1673" t="s">
        <v>127</v>
      </c>
      <c r="C29" s="1674"/>
      <c r="D29" s="1675" t="s">
        <v>568</v>
      </c>
      <c r="E29" s="1676" t="s">
        <v>145</v>
      </c>
      <c r="F29" s="165"/>
      <c r="G29" s="745" t="s">
        <v>567</v>
      </c>
      <c r="H29" s="1673" t="s">
        <v>127</v>
      </c>
      <c r="I29" s="1674"/>
      <c r="J29" s="1675" t="s">
        <v>568</v>
      </c>
      <c r="K29" s="1676" t="s">
        <v>145</v>
      </c>
      <c r="L29" s="165"/>
      <c r="M29" s="745" t="s">
        <v>567</v>
      </c>
      <c r="N29" s="1673" t="s">
        <v>127</v>
      </c>
      <c r="O29" s="1674"/>
      <c r="P29" s="1675" t="s">
        <v>568</v>
      </c>
      <c r="Q29" s="1676" t="s">
        <v>145</v>
      </c>
      <c r="R29" s="2"/>
      <c r="W29" s="723" t="s">
        <v>567</v>
      </c>
      <c r="X29" s="1681" t="s">
        <v>127</v>
      </c>
      <c r="Y29" s="1682"/>
      <c r="Z29" s="1683" t="s">
        <v>568</v>
      </c>
      <c r="AA29" s="1685" t="s">
        <v>145</v>
      </c>
      <c r="AB29" s="584"/>
      <c r="AC29" s="723" t="s">
        <v>567</v>
      </c>
      <c r="AD29" s="1681" t="s">
        <v>127</v>
      </c>
      <c r="AE29" s="1682"/>
      <c r="AF29" s="1683" t="s">
        <v>568</v>
      </c>
      <c r="AG29" s="1685" t="s">
        <v>145</v>
      </c>
      <c r="AH29" s="584"/>
      <c r="AI29" s="723" t="s">
        <v>567</v>
      </c>
      <c r="AJ29" s="1681" t="s">
        <v>127</v>
      </c>
      <c r="AK29" s="1682"/>
      <c r="AL29" s="1683" t="s">
        <v>568</v>
      </c>
      <c r="AM29" s="1685" t="s">
        <v>145</v>
      </c>
    </row>
    <row r="30" spans="1:39" x14ac:dyDescent="0.25">
      <c r="A30" s="744" t="s">
        <v>199</v>
      </c>
      <c r="B30" s="219">
        <v>2017</v>
      </c>
      <c r="C30" s="219">
        <v>2018</v>
      </c>
      <c r="D30" s="1671"/>
      <c r="E30" s="1677"/>
      <c r="F30" s="165"/>
      <c r="G30" s="745" t="s">
        <v>199</v>
      </c>
      <c r="H30" s="219">
        <v>2017</v>
      </c>
      <c r="I30" s="219">
        <v>2018</v>
      </c>
      <c r="J30" s="1671"/>
      <c r="K30" s="1677"/>
      <c r="L30" s="165"/>
      <c r="M30" s="745" t="s">
        <v>199</v>
      </c>
      <c r="N30" s="219">
        <v>2017</v>
      </c>
      <c r="O30" s="219">
        <v>2018</v>
      </c>
      <c r="P30" s="1671"/>
      <c r="Q30" s="1677"/>
      <c r="R30" s="2"/>
      <c r="W30" s="723" t="s">
        <v>378</v>
      </c>
      <c r="X30" s="725">
        <v>2017</v>
      </c>
      <c r="Y30" s="725">
        <v>2018</v>
      </c>
      <c r="Z30" s="1684"/>
      <c r="AA30" s="1686"/>
      <c r="AB30" s="584"/>
      <c r="AC30" s="723" t="s">
        <v>378</v>
      </c>
      <c r="AD30" s="725">
        <v>2017</v>
      </c>
      <c r="AE30" s="725">
        <v>2018</v>
      </c>
      <c r="AF30" s="1684"/>
      <c r="AG30" s="1686"/>
      <c r="AH30" s="584"/>
      <c r="AI30" s="723" t="s">
        <v>378</v>
      </c>
      <c r="AJ30" s="725">
        <v>2017</v>
      </c>
      <c r="AK30" s="725">
        <v>2018</v>
      </c>
      <c r="AL30" s="1684"/>
      <c r="AM30" s="1686"/>
    </row>
    <row r="31" spans="1:39" x14ac:dyDescent="0.25">
      <c r="A31" s="757">
        <v>0</v>
      </c>
      <c r="B31" s="749" t="s">
        <v>129</v>
      </c>
      <c r="C31" s="749">
        <v>-0.1</v>
      </c>
      <c r="D31" s="749">
        <f>0.5*(MAX(B31:C31)-MIN(B31:C31))</f>
        <v>0</v>
      </c>
      <c r="E31" s="750">
        <v>0.1</v>
      </c>
      <c r="F31" s="165"/>
      <c r="G31" s="748">
        <v>0</v>
      </c>
      <c r="H31" s="749">
        <v>-0.1</v>
      </c>
      <c r="I31" s="749">
        <v>-0.1</v>
      </c>
      <c r="J31" s="749">
        <f>0.5*(MAX(H31:I31)-MIN(H31:I31))</f>
        <v>0</v>
      </c>
      <c r="K31" s="750">
        <v>0.1</v>
      </c>
      <c r="L31" s="165"/>
      <c r="M31" s="748">
        <v>0</v>
      </c>
      <c r="N31" s="749">
        <v>-0.1</v>
      </c>
      <c r="O31" s="749">
        <v>-0.1</v>
      </c>
      <c r="P31" s="749">
        <f>0.5*(MAX(N31:O31)-MIN(N31:O31))</f>
        <v>0</v>
      </c>
      <c r="Q31" s="750">
        <v>0.1</v>
      </c>
      <c r="R31" s="2"/>
      <c r="W31" s="730">
        <f t="shared" ref="W31:W38" si="34">A31*$T$2</f>
        <v>0</v>
      </c>
      <c r="X31" s="739" t="s">
        <v>129</v>
      </c>
      <c r="Y31" s="730">
        <f t="shared" ref="Y31:Y38" si="35">C31*$T$2</f>
        <v>-1.9336777496394002E-3</v>
      </c>
      <c r="Z31" s="739">
        <f>0.5*(MAX(X31:Y31)-MIN(X31:Y31))</f>
        <v>0</v>
      </c>
      <c r="AA31" s="385">
        <f t="shared" ref="AA31:AA38" si="36">E31*$T$2</f>
        <v>1.9336777496394002E-3</v>
      </c>
      <c r="AB31" s="584"/>
      <c r="AC31" s="730">
        <f t="shared" ref="AC31:AE38" si="37">G31*$T$2</f>
        <v>0</v>
      </c>
      <c r="AD31" s="730">
        <f t="shared" si="37"/>
        <v>-1.9336777496394002E-3</v>
      </c>
      <c r="AE31" s="730">
        <f t="shared" si="37"/>
        <v>-1.9336777496394002E-3</v>
      </c>
      <c r="AF31" s="739">
        <f>0.5*(MAX(AD31:AE31)-MIN(AD31:AE31))</f>
        <v>0</v>
      </c>
      <c r="AG31" s="385">
        <f t="shared" ref="AG31:AG38" si="38">K31*$T$2</f>
        <v>1.9336777496394002E-3</v>
      </c>
      <c r="AH31" s="584"/>
      <c r="AI31" s="730">
        <f t="shared" ref="AI31:AK38" si="39">M31*$T$2</f>
        <v>0</v>
      </c>
      <c r="AJ31" s="730">
        <f t="shared" si="39"/>
        <v>-1.9336777496394002E-3</v>
      </c>
      <c r="AK31" s="730">
        <f t="shared" si="39"/>
        <v>-1.9336777496394002E-3</v>
      </c>
      <c r="AL31" s="739">
        <f>0.5*(MAX(AJ31:AK31)-MIN(AJ31:AK31))</f>
        <v>0</v>
      </c>
      <c r="AM31" s="385">
        <f t="shared" ref="AM31:AM38" si="40">Q31*$T$2</f>
        <v>1.9336777496394002E-3</v>
      </c>
    </row>
    <row r="32" spans="1:39" x14ac:dyDescent="0.25">
      <c r="A32" s="757">
        <v>50</v>
      </c>
      <c r="B32" s="749" t="s">
        <v>129</v>
      </c>
      <c r="C32" s="749">
        <v>0.10000000000000142</v>
      </c>
      <c r="D32" s="749">
        <f t="shared" ref="D32:D37" si="41">0.5*(MAX(B32:C32)-MIN(B32:C32))</f>
        <v>0</v>
      </c>
      <c r="E32" s="750">
        <v>0.1</v>
      </c>
      <c r="F32" s="165"/>
      <c r="G32" s="748">
        <v>50</v>
      </c>
      <c r="H32" s="749">
        <v>9.9999999999999995E-7</v>
      </c>
      <c r="I32" s="749">
        <v>9.9999999999999995E-7</v>
      </c>
      <c r="J32" s="749">
        <f t="shared" ref="J32:J37" si="42">0.5*(MAX(H32:I32)-MIN(H32:I32))</f>
        <v>0</v>
      </c>
      <c r="K32" s="750">
        <v>0.2</v>
      </c>
      <c r="L32" s="165"/>
      <c r="M32" s="748">
        <v>50</v>
      </c>
      <c r="N32" s="749">
        <v>9.9999999999999995E-7</v>
      </c>
      <c r="O32" s="749">
        <v>9.9999999999999995E-7</v>
      </c>
      <c r="P32" s="749">
        <f t="shared" ref="P32:P37" si="43">0.5*(MAX(N32:O32)-MIN(N32:O32))</f>
        <v>0</v>
      </c>
      <c r="Q32" s="750">
        <v>0.1</v>
      </c>
      <c r="R32" s="2"/>
      <c r="W32" s="730">
        <f t="shared" si="34"/>
        <v>0.9668388748197001</v>
      </c>
      <c r="X32" s="739" t="s">
        <v>129</v>
      </c>
      <c r="Y32" s="730">
        <f t="shared" si="35"/>
        <v>1.9336777496394278E-3</v>
      </c>
      <c r="Z32" s="739">
        <f t="shared" ref="Z32:Z37" si="44">0.5*(MAX(X32:Y32)-MIN(X32:Y32))</f>
        <v>0</v>
      </c>
      <c r="AA32" s="385">
        <f t="shared" si="36"/>
        <v>1.9336777496394002E-3</v>
      </c>
      <c r="AB32" s="584"/>
      <c r="AC32" s="730">
        <f t="shared" si="37"/>
        <v>0.9668388748197001</v>
      </c>
      <c r="AD32" s="730">
        <f t="shared" si="37"/>
        <v>1.9336777496394002E-8</v>
      </c>
      <c r="AE32" s="730">
        <f t="shared" si="37"/>
        <v>1.9336777496394002E-8</v>
      </c>
      <c r="AF32" s="739">
        <f t="shared" ref="AF32:AF38" si="45">0.5*(MAX(AD32:AE32)-MIN(AD32:AE32))</f>
        <v>0</v>
      </c>
      <c r="AG32" s="385">
        <f t="shared" si="38"/>
        <v>3.8673554992788004E-3</v>
      </c>
      <c r="AH32" s="584"/>
      <c r="AI32" s="730">
        <f t="shared" si="39"/>
        <v>0.9668388748197001</v>
      </c>
      <c r="AJ32" s="730">
        <f t="shared" si="39"/>
        <v>1.9336777496394002E-8</v>
      </c>
      <c r="AK32" s="730">
        <f t="shared" si="39"/>
        <v>1.9336777496394002E-8</v>
      </c>
      <c r="AL32" s="739">
        <f t="shared" ref="AL32:AL38" si="46">0.5*(MAX(AJ32:AK32)-MIN(AJ32:AK32))</f>
        <v>0</v>
      </c>
      <c r="AM32" s="385">
        <f t="shared" si="40"/>
        <v>1.9336777496394002E-3</v>
      </c>
    </row>
    <row r="33" spans="1:39" x14ac:dyDescent="0.25">
      <c r="A33" s="757">
        <v>100</v>
      </c>
      <c r="B33" s="749" t="s">
        <v>129</v>
      </c>
      <c r="C33" s="749">
        <v>0.20000000000000284</v>
      </c>
      <c r="D33" s="749">
        <f t="shared" si="41"/>
        <v>0</v>
      </c>
      <c r="E33" s="750">
        <v>0.1</v>
      </c>
      <c r="F33" s="165"/>
      <c r="G33" s="748">
        <v>100</v>
      </c>
      <c r="H33" s="749">
        <v>9.9999999999999995E-7</v>
      </c>
      <c r="I33" s="749">
        <v>9.9999999999999995E-7</v>
      </c>
      <c r="J33" s="749">
        <f t="shared" si="42"/>
        <v>0</v>
      </c>
      <c r="K33" s="750">
        <v>0.2</v>
      </c>
      <c r="L33" s="165"/>
      <c r="M33" s="748">
        <v>100</v>
      </c>
      <c r="N33" s="749">
        <v>9.9999999999994316E-2</v>
      </c>
      <c r="O33" s="749">
        <v>0.20000000000000284</v>
      </c>
      <c r="P33" s="749">
        <f t="shared" si="43"/>
        <v>5.0000000000004263E-2</v>
      </c>
      <c r="Q33" s="750">
        <v>0.1</v>
      </c>
      <c r="R33" s="2"/>
      <c r="W33" s="730">
        <f t="shared" si="34"/>
        <v>1.9336777496394002</v>
      </c>
      <c r="X33" s="739" t="s">
        <v>129</v>
      </c>
      <c r="Y33" s="730">
        <f t="shared" si="35"/>
        <v>3.8673554992788555E-3</v>
      </c>
      <c r="Z33" s="739">
        <f t="shared" si="44"/>
        <v>0</v>
      </c>
      <c r="AA33" s="385">
        <f t="shared" si="36"/>
        <v>1.9336777496394002E-3</v>
      </c>
      <c r="AB33" s="584"/>
      <c r="AC33" s="730">
        <f t="shared" si="37"/>
        <v>1.9336777496394002</v>
      </c>
      <c r="AD33" s="730">
        <f t="shared" si="37"/>
        <v>1.9336777496394002E-8</v>
      </c>
      <c r="AE33" s="730">
        <f t="shared" si="37"/>
        <v>1.9336777496394002E-8</v>
      </c>
      <c r="AF33" s="739">
        <f t="shared" si="45"/>
        <v>0</v>
      </c>
      <c r="AG33" s="385">
        <f t="shared" si="38"/>
        <v>3.8673554992788004E-3</v>
      </c>
      <c r="AH33" s="584"/>
      <c r="AI33" s="730">
        <f t="shared" si="39"/>
        <v>1.9336777496394002</v>
      </c>
      <c r="AJ33" s="730">
        <f t="shared" si="39"/>
        <v>1.9336777496392903E-3</v>
      </c>
      <c r="AK33" s="730">
        <f t="shared" si="39"/>
        <v>3.8673554992788555E-3</v>
      </c>
      <c r="AL33" s="739">
        <f t="shared" si="46"/>
        <v>9.6683887481978262E-4</v>
      </c>
      <c r="AM33" s="385">
        <f t="shared" si="40"/>
        <v>1.9336777496394002E-3</v>
      </c>
    </row>
    <row r="34" spans="1:39" x14ac:dyDescent="0.25">
      <c r="A34" s="757">
        <v>150</v>
      </c>
      <c r="B34" s="749" t="s">
        <v>129</v>
      </c>
      <c r="C34" s="749">
        <v>0.30000000000001137</v>
      </c>
      <c r="D34" s="749">
        <f t="shared" si="41"/>
        <v>0</v>
      </c>
      <c r="E34" s="750">
        <v>0.1</v>
      </c>
      <c r="F34" s="165"/>
      <c r="G34" s="748">
        <v>150</v>
      </c>
      <c r="H34" s="749">
        <v>9.9999999999999995E-7</v>
      </c>
      <c r="I34" s="749">
        <v>9.9999999999999995E-7</v>
      </c>
      <c r="J34" s="749">
        <f t="shared" si="42"/>
        <v>0</v>
      </c>
      <c r="K34" s="750">
        <v>0.2</v>
      </c>
      <c r="L34" s="165"/>
      <c r="M34" s="748">
        <v>150</v>
      </c>
      <c r="N34" s="749">
        <v>0.19999999999998863</v>
      </c>
      <c r="O34" s="749">
        <v>0.19999999999998863</v>
      </c>
      <c r="P34" s="749">
        <f t="shared" si="43"/>
        <v>0</v>
      </c>
      <c r="Q34" s="750">
        <v>0.1</v>
      </c>
      <c r="R34" s="2"/>
      <c r="W34" s="730">
        <f t="shared" si="34"/>
        <v>2.9005166244591001</v>
      </c>
      <c r="X34" s="739" t="s">
        <v>129</v>
      </c>
      <c r="Y34" s="730">
        <f t="shared" si="35"/>
        <v>5.8010332489184203E-3</v>
      </c>
      <c r="Z34" s="739">
        <f t="shared" si="44"/>
        <v>0</v>
      </c>
      <c r="AA34" s="385">
        <f t="shared" si="36"/>
        <v>1.9336777496394002E-3</v>
      </c>
      <c r="AB34" s="584"/>
      <c r="AC34" s="730">
        <f t="shared" si="37"/>
        <v>2.9005166244591001</v>
      </c>
      <c r="AD34" s="730">
        <f t="shared" si="37"/>
        <v>1.9336777496394002E-8</v>
      </c>
      <c r="AE34" s="730">
        <f t="shared" si="37"/>
        <v>1.9336777496394002E-8</v>
      </c>
      <c r="AF34" s="739">
        <f t="shared" si="45"/>
        <v>0</v>
      </c>
      <c r="AG34" s="385">
        <f t="shared" si="38"/>
        <v>3.8673554992788004E-3</v>
      </c>
      <c r="AH34" s="584"/>
      <c r="AI34" s="730">
        <f t="shared" si="39"/>
        <v>2.9005166244591001</v>
      </c>
      <c r="AJ34" s="730">
        <f t="shared" si="39"/>
        <v>3.8673554992785806E-3</v>
      </c>
      <c r="AK34" s="730">
        <f t="shared" si="39"/>
        <v>3.8673554992785806E-3</v>
      </c>
      <c r="AL34" s="739">
        <f t="shared" si="46"/>
        <v>0</v>
      </c>
      <c r="AM34" s="385">
        <f t="shared" si="40"/>
        <v>1.9336777496394002E-3</v>
      </c>
    </row>
    <row r="35" spans="1:39" x14ac:dyDescent="0.25">
      <c r="A35" s="757">
        <v>200</v>
      </c>
      <c r="B35" s="749" t="s">
        <v>129</v>
      </c>
      <c r="C35" s="749">
        <v>0.40000000000000568</v>
      </c>
      <c r="D35" s="749">
        <f t="shared" si="41"/>
        <v>0</v>
      </c>
      <c r="E35" s="750">
        <v>0.1</v>
      </c>
      <c r="F35" s="165"/>
      <c r="G35" s="748">
        <v>200</v>
      </c>
      <c r="H35" s="749">
        <v>9.9999999999999995E-7</v>
      </c>
      <c r="I35" s="749">
        <v>9.9999999999999995E-7</v>
      </c>
      <c r="J35" s="749">
        <f t="shared" si="42"/>
        <v>0</v>
      </c>
      <c r="K35" s="750">
        <v>0.2</v>
      </c>
      <c r="L35" s="165"/>
      <c r="M35" s="748">
        <v>200</v>
      </c>
      <c r="N35" s="749">
        <v>0.19999999999998863</v>
      </c>
      <c r="O35" s="749">
        <v>0.19999999999998863</v>
      </c>
      <c r="P35" s="749">
        <f t="shared" si="43"/>
        <v>0</v>
      </c>
      <c r="Q35" s="750">
        <v>0.1</v>
      </c>
      <c r="R35" s="2"/>
      <c r="W35" s="730">
        <f t="shared" si="34"/>
        <v>3.8673554992788004</v>
      </c>
      <c r="X35" s="739" t="s">
        <v>129</v>
      </c>
      <c r="Y35" s="730">
        <f t="shared" si="35"/>
        <v>7.734710998557711E-3</v>
      </c>
      <c r="Z35" s="739">
        <f t="shared" si="44"/>
        <v>0</v>
      </c>
      <c r="AA35" s="385">
        <f t="shared" si="36"/>
        <v>1.9336777496394002E-3</v>
      </c>
      <c r="AB35" s="584"/>
      <c r="AC35" s="730">
        <f t="shared" si="37"/>
        <v>3.8673554992788004</v>
      </c>
      <c r="AD35" s="730">
        <f t="shared" si="37"/>
        <v>1.9336777496394002E-8</v>
      </c>
      <c r="AE35" s="730">
        <f t="shared" si="37"/>
        <v>1.9336777496394002E-8</v>
      </c>
      <c r="AF35" s="739">
        <f t="shared" si="45"/>
        <v>0</v>
      </c>
      <c r="AG35" s="385">
        <f t="shared" si="38"/>
        <v>3.8673554992788004E-3</v>
      </c>
      <c r="AH35" s="584"/>
      <c r="AI35" s="730">
        <f t="shared" si="39"/>
        <v>3.8673554992788004</v>
      </c>
      <c r="AJ35" s="730">
        <f t="shared" si="39"/>
        <v>3.8673554992785806E-3</v>
      </c>
      <c r="AK35" s="730">
        <f t="shared" si="39"/>
        <v>3.8673554992785806E-3</v>
      </c>
      <c r="AL35" s="739">
        <f t="shared" si="46"/>
        <v>0</v>
      </c>
      <c r="AM35" s="385">
        <f t="shared" si="40"/>
        <v>1.9336777496394002E-3</v>
      </c>
    </row>
    <row r="36" spans="1:39" x14ac:dyDescent="0.25">
      <c r="A36" s="757">
        <v>250</v>
      </c>
      <c r="B36" s="749" t="s">
        <v>129</v>
      </c>
      <c r="C36" s="749">
        <v>0.5</v>
      </c>
      <c r="D36" s="749">
        <f t="shared" si="41"/>
        <v>0</v>
      </c>
      <c r="E36" s="750">
        <v>0.2</v>
      </c>
      <c r="F36" s="165"/>
      <c r="G36" s="748">
        <v>250</v>
      </c>
      <c r="H36" s="749">
        <v>9.9999999999999995E-7</v>
      </c>
      <c r="I36" s="749">
        <v>9.9999999999999995E-7</v>
      </c>
      <c r="J36" s="749">
        <f t="shared" si="42"/>
        <v>0</v>
      </c>
      <c r="K36" s="750">
        <v>0.2</v>
      </c>
      <c r="L36" s="165"/>
      <c r="M36" s="748">
        <v>250</v>
      </c>
      <c r="N36" s="749">
        <v>0.19999999999998863</v>
      </c>
      <c r="O36" s="749">
        <v>0.19999999999998863</v>
      </c>
      <c r="P36" s="749">
        <f t="shared" si="43"/>
        <v>0</v>
      </c>
      <c r="Q36" s="750">
        <v>0.1</v>
      </c>
      <c r="R36" s="2"/>
      <c r="W36" s="730">
        <f t="shared" si="34"/>
        <v>4.8341943740985007</v>
      </c>
      <c r="X36" s="739" t="s">
        <v>129</v>
      </c>
      <c r="Y36" s="730">
        <f t="shared" si="35"/>
        <v>9.6683887481970009E-3</v>
      </c>
      <c r="Z36" s="739">
        <f t="shared" si="44"/>
        <v>0</v>
      </c>
      <c r="AA36" s="385">
        <f t="shared" si="36"/>
        <v>3.8673554992788004E-3</v>
      </c>
      <c r="AB36" s="584"/>
      <c r="AC36" s="730">
        <f t="shared" si="37"/>
        <v>4.8341943740985007</v>
      </c>
      <c r="AD36" s="730">
        <f t="shared" si="37"/>
        <v>1.9336777496394002E-8</v>
      </c>
      <c r="AE36" s="730">
        <f t="shared" si="37"/>
        <v>1.9336777496394002E-8</v>
      </c>
      <c r="AF36" s="739">
        <f t="shared" si="45"/>
        <v>0</v>
      </c>
      <c r="AG36" s="385">
        <f t="shared" si="38"/>
        <v>3.8673554992788004E-3</v>
      </c>
      <c r="AH36" s="584"/>
      <c r="AI36" s="730">
        <f t="shared" si="39"/>
        <v>4.8341943740985007</v>
      </c>
      <c r="AJ36" s="730">
        <f t="shared" si="39"/>
        <v>3.8673554992785806E-3</v>
      </c>
      <c r="AK36" s="730">
        <f t="shared" si="39"/>
        <v>3.8673554992785806E-3</v>
      </c>
      <c r="AL36" s="739">
        <f t="shared" si="46"/>
        <v>0</v>
      </c>
      <c r="AM36" s="385">
        <f t="shared" si="40"/>
        <v>1.9336777496394002E-3</v>
      </c>
    </row>
    <row r="37" spans="1:39" x14ac:dyDescent="0.25">
      <c r="A37" s="757">
        <v>300</v>
      </c>
      <c r="B37" s="749" t="s">
        <v>129</v>
      </c>
      <c r="C37" s="749">
        <v>0.60000000000002274</v>
      </c>
      <c r="D37" s="749">
        <f t="shared" si="41"/>
        <v>0</v>
      </c>
      <c r="E37" s="750">
        <v>0.2</v>
      </c>
      <c r="F37" s="165"/>
      <c r="G37" s="748">
        <v>300</v>
      </c>
      <c r="H37" s="749">
        <v>9.9999999999999995E-7</v>
      </c>
      <c r="I37" s="749">
        <v>9.9999999999999995E-7</v>
      </c>
      <c r="J37" s="749">
        <f t="shared" si="42"/>
        <v>0</v>
      </c>
      <c r="K37" s="750">
        <v>0.2</v>
      </c>
      <c r="L37" s="165"/>
      <c r="M37" s="748">
        <v>300</v>
      </c>
      <c r="N37" s="749">
        <v>0.19999999999998863</v>
      </c>
      <c r="O37" s="749">
        <v>0.19999999999998863</v>
      </c>
      <c r="P37" s="749">
        <f t="shared" si="43"/>
        <v>0</v>
      </c>
      <c r="Q37" s="750">
        <v>0.1</v>
      </c>
      <c r="R37" s="2"/>
      <c r="W37" s="730">
        <f t="shared" si="34"/>
        <v>5.8010332489182002</v>
      </c>
      <c r="X37" s="739" t="s">
        <v>129</v>
      </c>
      <c r="Y37" s="730">
        <f t="shared" si="35"/>
        <v>1.1602066497836841E-2</v>
      </c>
      <c r="Z37" s="739">
        <f t="shared" si="44"/>
        <v>0</v>
      </c>
      <c r="AA37" s="385">
        <f t="shared" si="36"/>
        <v>3.8673554992788004E-3</v>
      </c>
      <c r="AB37" s="584"/>
      <c r="AC37" s="730">
        <f t="shared" si="37"/>
        <v>5.8010332489182002</v>
      </c>
      <c r="AD37" s="730">
        <f t="shared" si="37"/>
        <v>1.9336777496394002E-8</v>
      </c>
      <c r="AE37" s="730">
        <f t="shared" si="37"/>
        <v>1.9336777496394002E-8</v>
      </c>
      <c r="AF37" s="739">
        <f t="shared" si="45"/>
        <v>0</v>
      </c>
      <c r="AG37" s="385">
        <f t="shared" si="38"/>
        <v>3.8673554992788004E-3</v>
      </c>
      <c r="AH37" s="584"/>
      <c r="AI37" s="730">
        <f t="shared" si="39"/>
        <v>5.8010332489182002</v>
      </c>
      <c r="AJ37" s="730">
        <f t="shared" si="39"/>
        <v>3.8673554992785806E-3</v>
      </c>
      <c r="AK37" s="730">
        <f t="shared" si="39"/>
        <v>3.8673554992785806E-3</v>
      </c>
      <c r="AL37" s="739">
        <f t="shared" si="46"/>
        <v>0</v>
      </c>
      <c r="AM37" s="385">
        <f t="shared" si="40"/>
        <v>1.9336777496394002E-3</v>
      </c>
    </row>
    <row r="38" spans="1:39" x14ac:dyDescent="0.25">
      <c r="A38" s="757">
        <v>900</v>
      </c>
      <c r="B38" s="749" t="s">
        <v>129</v>
      </c>
      <c r="C38" s="749">
        <v>0.60000000000002274</v>
      </c>
      <c r="D38" s="749">
        <f t="shared" ref="D38" si="47">0.5*(MAX(B38:C38)-MIN(B38:C38))</f>
        <v>0</v>
      </c>
      <c r="E38" s="750">
        <v>0.2</v>
      </c>
      <c r="F38" s="165"/>
      <c r="G38" s="748">
        <v>900</v>
      </c>
      <c r="H38" s="749">
        <v>9.9999999999999995E-7</v>
      </c>
      <c r="I38" s="749">
        <v>9.9999999999999995E-7</v>
      </c>
      <c r="J38" s="749">
        <f t="shared" ref="J38" si="48">0.5*(MAX(H38:I38)-MIN(H38:I38))</f>
        <v>0</v>
      </c>
      <c r="K38" s="750">
        <v>0.2</v>
      </c>
      <c r="L38" s="165"/>
      <c r="M38" s="748">
        <v>900</v>
      </c>
      <c r="N38" s="749">
        <v>0.19999999999998863</v>
      </c>
      <c r="O38" s="749">
        <v>0.19999999999998863</v>
      </c>
      <c r="P38" s="749">
        <f t="shared" ref="P38" si="49">0.5*(MAX(N38:O38)-MIN(N38:O38))</f>
        <v>0</v>
      </c>
      <c r="Q38" s="750">
        <v>0.1</v>
      </c>
      <c r="R38" s="2"/>
      <c r="W38" s="730">
        <f t="shared" si="34"/>
        <v>17.403099746754602</v>
      </c>
      <c r="X38" s="739" t="s">
        <v>129</v>
      </c>
      <c r="Y38" s="730">
        <f t="shared" si="35"/>
        <v>1.1602066497836841E-2</v>
      </c>
      <c r="Z38" s="739">
        <f>0.5*(MAX(X38:Y38)-MIN(X38:Y38))</f>
        <v>0</v>
      </c>
      <c r="AA38" s="385">
        <f t="shared" si="36"/>
        <v>3.8673554992788004E-3</v>
      </c>
      <c r="AB38" s="584"/>
      <c r="AC38" s="730">
        <f t="shared" si="37"/>
        <v>17.403099746754602</v>
      </c>
      <c r="AD38" s="730">
        <f t="shared" si="37"/>
        <v>1.9336777496394002E-8</v>
      </c>
      <c r="AE38" s="730">
        <f t="shared" si="37"/>
        <v>1.9336777496394002E-8</v>
      </c>
      <c r="AF38" s="739">
        <f t="shared" si="45"/>
        <v>0</v>
      </c>
      <c r="AG38" s="385">
        <f t="shared" si="38"/>
        <v>3.8673554992788004E-3</v>
      </c>
      <c r="AH38" s="584"/>
      <c r="AI38" s="730">
        <f t="shared" si="39"/>
        <v>17.403099746754602</v>
      </c>
      <c r="AJ38" s="730">
        <f t="shared" si="39"/>
        <v>3.8673554992785806E-3</v>
      </c>
      <c r="AK38" s="730">
        <f t="shared" si="39"/>
        <v>3.8673554992785806E-3</v>
      </c>
      <c r="AL38" s="739">
        <f t="shared" si="46"/>
        <v>0</v>
      </c>
      <c r="AM38" s="385">
        <f t="shared" si="40"/>
        <v>1.9336777496394002E-3</v>
      </c>
    </row>
    <row r="39" spans="1:39" x14ac:dyDescent="0.25">
      <c r="A39" s="758"/>
      <c r="B39" s="759"/>
      <c r="C39" s="759"/>
      <c r="D39" s="759"/>
      <c r="E39" s="217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2"/>
      <c r="W39" s="740"/>
      <c r="X39" s="741"/>
      <c r="Y39" s="741"/>
      <c r="Z39" s="741"/>
      <c r="AA39" s="742"/>
      <c r="AB39" s="584"/>
      <c r="AC39" s="584"/>
      <c r="AD39" s="584"/>
      <c r="AE39" s="584"/>
      <c r="AF39" s="584"/>
      <c r="AG39" s="584"/>
      <c r="AH39" s="584"/>
      <c r="AI39" s="584"/>
      <c r="AJ39" s="584"/>
      <c r="AK39" s="584"/>
      <c r="AL39" s="584"/>
      <c r="AM39" s="584"/>
    </row>
    <row r="40" spans="1:39" x14ac:dyDescent="0.25">
      <c r="A40" s="703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2"/>
      <c r="W40" s="584"/>
      <c r="X40" s="584"/>
      <c r="Y40" s="584"/>
      <c r="Z40" s="584"/>
      <c r="AA40" s="584"/>
      <c r="AB40" s="584"/>
      <c r="AC40" s="584"/>
      <c r="AD40" s="584"/>
      <c r="AE40" s="584"/>
      <c r="AF40" s="584"/>
      <c r="AG40" s="584"/>
      <c r="AH40" s="584"/>
      <c r="AI40" s="584"/>
      <c r="AJ40" s="584"/>
      <c r="AK40" s="584"/>
      <c r="AL40" s="584"/>
      <c r="AM40" s="584"/>
    </row>
    <row r="41" spans="1:39" ht="24.75" customHeight="1" x14ac:dyDescent="0.25">
      <c r="A41" s="1680" t="s">
        <v>575</v>
      </c>
      <c r="B41" s="1679"/>
      <c r="C41" s="1679"/>
      <c r="D41" s="1679"/>
      <c r="E41" s="1679"/>
      <c r="F41" s="165"/>
      <c r="G41" s="1679" t="s">
        <v>576</v>
      </c>
      <c r="H41" s="1679"/>
      <c r="I41" s="1679"/>
      <c r="J41" s="1679"/>
      <c r="K41" s="1679"/>
      <c r="L41" s="165"/>
      <c r="M41" s="1678" t="str">
        <f>' Input Data Tekanan Hisap'!A155</f>
        <v>Digital Pressure Meter, Merek : Fluke, Model : DPM4 2G, SN : 4821027</v>
      </c>
      <c r="N41" s="1679"/>
      <c r="O41" s="1679"/>
      <c r="P41" s="1679"/>
      <c r="Q41" s="1679"/>
      <c r="R41" s="2"/>
      <c r="W41" s="1687" t="s">
        <v>575</v>
      </c>
      <c r="X41" s="1688"/>
      <c r="Y41" s="1688"/>
      <c r="Z41" s="1688"/>
      <c r="AA41" s="1688"/>
      <c r="AB41" s="584"/>
      <c r="AC41" s="1688" t="s">
        <v>576</v>
      </c>
      <c r="AD41" s="1688"/>
      <c r="AE41" s="1688"/>
      <c r="AF41" s="1688"/>
      <c r="AG41" s="1688"/>
      <c r="AH41" s="584"/>
      <c r="AI41" s="1687" t="str">
        <f>M41</f>
        <v>Digital Pressure Meter, Merek : Fluke, Model : DPM4 2G, SN : 4821027</v>
      </c>
      <c r="AJ41" s="1688"/>
      <c r="AK41" s="1688"/>
      <c r="AL41" s="1688"/>
      <c r="AM41" s="1688"/>
    </row>
    <row r="42" spans="1:39" ht="24.75" customHeight="1" x14ac:dyDescent="0.25">
      <c r="A42" s="744" t="s">
        <v>567</v>
      </c>
      <c r="B42" s="1673" t="s">
        <v>127</v>
      </c>
      <c r="C42" s="1674"/>
      <c r="D42" s="1675" t="s">
        <v>568</v>
      </c>
      <c r="E42" s="1676" t="s">
        <v>145</v>
      </c>
      <c r="F42" s="165"/>
      <c r="G42" s="745" t="s">
        <v>567</v>
      </c>
      <c r="H42" s="1673" t="s">
        <v>127</v>
      </c>
      <c r="I42" s="1674"/>
      <c r="J42" s="1675" t="s">
        <v>568</v>
      </c>
      <c r="K42" s="1676" t="s">
        <v>145</v>
      </c>
      <c r="L42" s="165"/>
      <c r="M42" s="745" t="s">
        <v>567</v>
      </c>
      <c r="N42" s="1673" t="s">
        <v>127</v>
      </c>
      <c r="O42" s="1674"/>
      <c r="P42" s="1675" t="s">
        <v>568</v>
      </c>
      <c r="Q42" s="1676" t="s">
        <v>145</v>
      </c>
      <c r="R42" s="2"/>
      <c r="W42" s="723" t="s">
        <v>567</v>
      </c>
      <c r="X42" s="1681" t="s">
        <v>127</v>
      </c>
      <c r="Y42" s="1682"/>
      <c r="Z42" s="1683" t="s">
        <v>568</v>
      </c>
      <c r="AA42" s="1685" t="s">
        <v>145</v>
      </c>
      <c r="AB42" s="584"/>
      <c r="AC42" s="723" t="s">
        <v>567</v>
      </c>
      <c r="AD42" s="1681" t="s">
        <v>127</v>
      </c>
      <c r="AE42" s="1682"/>
      <c r="AF42" s="1683" t="s">
        <v>568</v>
      </c>
      <c r="AG42" s="1685" t="s">
        <v>145</v>
      </c>
      <c r="AH42" s="584"/>
      <c r="AI42" s="723" t="s">
        <v>567</v>
      </c>
      <c r="AJ42" s="1681" t="s">
        <v>127</v>
      </c>
      <c r="AK42" s="1682"/>
      <c r="AL42" s="1683" t="s">
        <v>568</v>
      </c>
      <c r="AM42" s="1685" t="s">
        <v>145</v>
      </c>
    </row>
    <row r="43" spans="1:39" x14ac:dyDescent="0.25">
      <c r="A43" s="744" t="s">
        <v>199</v>
      </c>
      <c r="B43" s="219">
        <v>2017</v>
      </c>
      <c r="C43" s="219">
        <v>2018</v>
      </c>
      <c r="D43" s="1671"/>
      <c r="E43" s="1677"/>
      <c r="F43" s="165"/>
      <c r="G43" s="745" t="s">
        <v>199</v>
      </c>
      <c r="H43" s="219">
        <v>2017</v>
      </c>
      <c r="I43" s="219">
        <v>2018</v>
      </c>
      <c r="J43" s="1671"/>
      <c r="K43" s="1677"/>
      <c r="L43" s="165"/>
      <c r="M43" s="745" t="s">
        <v>199</v>
      </c>
      <c r="N43" s="219">
        <v>2017</v>
      </c>
      <c r="O43" s="219">
        <v>2018</v>
      </c>
      <c r="P43" s="1671"/>
      <c r="Q43" s="1677"/>
      <c r="R43" s="2"/>
      <c r="W43" s="723" t="s">
        <v>199</v>
      </c>
      <c r="X43" s="725">
        <v>2017</v>
      </c>
      <c r="Y43" s="725">
        <v>2018</v>
      </c>
      <c r="Z43" s="1684"/>
      <c r="AA43" s="1686"/>
      <c r="AB43" s="584"/>
      <c r="AC43" s="723" t="s">
        <v>378</v>
      </c>
      <c r="AD43" s="725">
        <v>2017</v>
      </c>
      <c r="AE43" s="725">
        <v>2018</v>
      </c>
      <c r="AF43" s="1684"/>
      <c r="AG43" s="1686"/>
      <c r="AH43" s="584"/>
      <c r="AI43" s="723" t="s">
        <v>199</v>
      </c>
      <c r="AJ43" s="725">
        <v>2017</v>
      </c>
      <c r="AK43" s="725">
        <v>2018</v>
      </c>
      <c r="AL43" s="1684"/>
      <c r="AM43" s="1686"/>
    </row>
    <row r="44" spans="1:39" x14ac:dyDescent="0.25">
      <c r="A44" s="757">
        <v>0</v>
      </c>
      <c r="B44" s="749">
        <v>-0.1</v>
      </c>
      <c r="C44" s="749">
        <v>-0.1</v>
      </c>
      <c r="D44" s="749">
        <f>0.5*(MAX(B44:C44)-MIN(B44:C44))</f>
        <v>0</v>
      </c>
      <c r="E44" s="750">
        <v>0.1</v>
      </c>
      <c r="F44" s="165"/>
      <c r="G44" s="748">
        <v>0</v>
      </c>
      <c r="H44" s="749">
        <v>9.9999999999999995E-7</v>
      </c>
      <c r="I44" s="749">
        <v>9.9999999999999995E-7</v>
      </c>
      <c r="J44" s="749">
        <f>0.5*(MAX(H44:I44)-MIN(H44:I44))</f>
        <v>0</v>
      </c>
      <c r="K44" s="750">
        <v>0.1</v>
      </c>
      <c r="L44" s="165"/>
      <c r="M44" s="748">
        <v>0</v>
      </c>
      <c r="N44" s="749">
        <v>9.9999999999999995E-7</v>
      </c>
      <c r="O44" s="749">
        <v>9.9999999999999995E-7</v>
      </c>
      <c r="P44" s="749">
        <f>0.5*(MAX(N44:O44)-MIN(N44:O44))</f>
        <v>0</v>
      </c>
      <c r="Q44" s="750">
        <v>0.1</v>
      </c>
      <c r="R44" s="2"/>
      <c r="W44" s="730">
        <f t="shared" ref="W44:Y51" si="50">A44*$T$2</f>
        <v>0</v>
      </c>
      <c r="X44" s="730">
        <f t="shared" si="50"/>
        <v>-1.9336777496394002E-3</v>
      </c>
      <c r="Y44" s="730">
        <f t="shared" si="50"/>
        <v>-1.9336777496394002E-3</v>
      </c>
      <c r="Z44" s="739">
        <f>0.5*(MAX(X44:Y44)-MIN(X44:Y44))</f>
        <v>0</v>
      </c>
      <c r="AA44" s="385">
        <f t="shared" ref="AA44:AA51" si="51">E44*$T$2</f>
        <v>1.9336777496394002E-3</v>
      </c>
      <c r="AB44" s="584"/>
      <c r="AC44" s="730">
        <f t="shared" ref="AC44:AE51" si="52">G44*$T$2</f>
        <v>0</v>
      </c>
      <c r="AD44" s="730">
        <f t="shared" si="52"/>
        <v>1.9336777496394002E-8</v>
      </c>
      <c r="AE44" s="730">
        <f t="shared" si="52"/>
        <v>1.9336777496394002E-8</v>
      </c>
      <c r="AF44" s="739">
        <f>0.5*(MAX(AD44:AE44)-MIN(AD44:AE44))</f>
        <v>0</v>
      </c>
      <c r="AG44" s="385">
        <f t="shared" ref="AG44:AG51" si="53">K44*$T$2</f>
        <v>1.9336777496394002E-3</v>
      </c>
      <c r="AH44" s="584"/>
      <c r="AI44" s="743">
        <f t="shared" ref="AI44:AK51" si="54">M44*$T$2</f>
        <v>0</v>
      </c>
      <c r="AJ44" s="730">
        <f t="shared" si="54"/>
        <v>1.9336777496394002E-8</v>
      </c>
      <c r="AK44" s="730">
        <f t="shared" si="54"/>
        <v>1.9336777496394002E-8</v>
      </c>
      <c r="AL44" s="739">
        <f>0.5*(MAX(AJ44:AK44)-MIN(AJ44:AK44))</f>
        <v>0</v>
      </c>
      <c r="AM44" s="216">
        <v>0.1</v>
      </c>
    </row>
    <row r="45" spans="1:39" x14ac:dyDescent="0.25">
      <c r="A45" s="757">
        <v>50</v>
      </c>
      <c r="B45" s="749">
        <v>9.9999999999999995E-7</v>
      </c>
      <c r="C45" s="749">
        <v>9.9999999999999995E-7</v>
      </c>
      <c r="D45" s="749">
        <f t="shared" ref="D45:D50" si="55">0.5*(MAX(B45:C45)-MIN(B45:C45))</f>
        <v>0</v>
      </c>
      <c r="E45" s="750">
        <v>0.1</v>
      </c>
      <c r="F45" s="165"/>
      <c r="G45" s="748">
        <v>50</v>
      </c>
      <c r="H45" s="749">
        <v>-0.10000000000000142</v>
      </c>
      <c r="I45" s="749">
        <v>-0.10000000000000142</v>
      </c>
      <c r="J45" s="749">
        <f t="shared" ref="J45:J50" si="56">0.5*(MAX(H45:I45)-MIN(H45:I45))</f>
        <v>0</v>
      </c>
      <c r="K45" s="750">
        <v>0.2</v>
      </c>
      <c r="L45" s="165"/>
      <c r="M45" s="748">
        <v>50</v>
      </c>
      <c r="N45" s="749">
        <v>-0.10000000000000142</v>
      </c>
      <c r="O45" s="749">
        <v>-0.10000000000000142</v>
      </c>
      <c r="P45" s="749">
        <f t="shared" ref="P45:P51" si="57">0.5*(MAX(N45:O45)-MIN(N45:O45))</f>
        <v>0</v>
      </c>
      <c r="Q45" s="750">
        <v>0.2</v>
      </c>
      <c r="R45" s="2"/>
      <c r="W45" s="730">
        <f t="shared" si="50"/>
        <v>0.9668388748197001</v>
      </c>
      <c r="X45" s="730">
        <f t="shared" si="50"/>
        <v>1.9336777496394002E-8</v>
      </c>
      <c r="Y45" s="730">
        <f t="shared" si="50"/>
        <v>1.9336777496394002E-8</v>
      </c>
      <c r="Z45" s="739">
        <f t="shared" ref="Z45:Z51" si="58">0.5*(MAX(X45:Y45)-MIN(X45:Y45))</f>
        <v>0</v>
      </c>
      <c r="AA45" s="385">
        <f t="shared" si="51"/>
        <v>1.9336777496394002E-3</v>
      </c>
      <c r="AB45" s="584"/>
      <c r="AC45" s="730">
        <f t="shared" si="52"/>
        <v>0.9668388748197001</v>
      </c>
      <c r="AD45" s="730">
        <f t="shared" si="52"/>
        <v>-1.9336777496394278E-3</v>
      </c>
      <c r="AE45" s="730">
        <f t="shared" si="52"/>
        <v>-1.9336777496394278E-3</v>
      </c>
      <c r="AF45" s="739">
        <f t="shared" ref="AF45:AF50" si="59">0.5*(MAX(AD45:AE45)-MIN(AD45:AE45))</f>
        <v>0</v>
      </c>
      <c r="AG45" s="385">
        <f t="shared" si="53"/>
        <v>3.8673554992788004E-3</v>
      </c>
      <c r="AH45" s="584"/>
      <c r="AI45" s="743">
        <f t="shared" si="54"/>
        <v>0.9668388748197001</v>
      </c>
      <c r="AJ45" s="730">
        <f t="shared" si="54"/>
        <v>-1.9336777496394278E-3</v>
      </c>
      <c r="AK45" s="730">
        <f t="shared" si="54"/>
        <v>-1.9336777496394278E-3</v>
      </c>
      <c r="AL45" s="739">
        <f t="shared" ref="AL45:AL51" si="60">0.5*(MAX(AJ45:AK45)-MIN(AJ45:AK45))</f>
        <v>0</v>
      </c>
      <c r="AM45" s="216">
        <v>0.2</v>
      </c>
    </row>
    <row r="46" spans="1:39" x14ac:dyDescent="0.25">
      <c r="A46" s="757">
        <v>100</v>
      </c>
      <c r="B46" s="749">
        <v>9.9999999999994316E-2</v>
      </c>
      <c r="C46" s="749">
        <v>9.9999999999994316E-2</v>
      </c>
      <c r="D46" s="749">
        <f t="shared" si="55"/>
        <v>0</v>
      </c>
      <c r="E46" s="750">
        <v>0.1</v>
      </c>
      <c r="F46" s="165"/>
      <c r="G46" s="748">
        <v>100</v>
      </c>
      <c r="H46" s="749">
        <v>-9.9999999999994316E-2</v>
      </c>
      <c r="I46" s="749">
        <v>-0.20000000000000284</v>
      </c>
      <c r="J46" s="749">
        <f t="shared" si="56"/>
        <v>5.0000000000004263E-2</v>
      </c>
      <c r="K46" s="750">
        <v>0.2</v>
      </c>
      <c r="L46" s="165"/>
      <c r="M46" s="748">
        <v>100</v>
      </c>
      <c r="N46" s="749">
        <v>-9.9999999999994316E-2</v>
      </c>
      <c r="O46" s="749">
        <v>-0.20000000000000284</v>
      </c>
      <c r="P46" s="749">
        <f t="shared" si="57"/>
        <v>5.0000000000004263E-2</v>
      </c>
      <c r="Q46" s="750">
        <v>0.2</v>
      </c>
      <c r="R46" s="2"/>
      <c r="W46" s="730">
        <f t="shared" si="50"/>
        <v>1.9336777496394002</v>
      </c>
      <c r="X46" s="730">
        <f t="shared" si="50"/>
        <v>1.9336777496392903E-3</v>
      </c>
      <c r="Y46" s="730">
        <f t="shared" si="50"/>
        <v>1.9336777496392903E-3</v>
      </c>
      <c r="Z46" s="739">
        <f t="shared" si="58"/>
        <v>0</v>
      </c>
      <c r="AA46" s="385">
        <f t="shared" si="51"/>
        <v>1.9336777496394002E-3</v>
      </c>
      <c r="AB46" s="584"/>
      <c r="AC46" s="730">
        <f t="shared" si="52"/>
        <v>1.9336777496394002</v>
      </c>
      <c r="AD46" s="730">
        <f t="shared" si="52"/>
        <v>-1.9336777496392903E-3</v>
      </c>
      <c r="AE46" s="730">
        <f t="shared" si="52"/>
        <v>-3.8673554992788555E-3</v>
      </c>
      <c r="AF46" s="739">
        <f t="shared" si="59"/>
        <v>9.6683887481978262E-4</v>
      </c>
      <c r="AG46" s="385">
        <f t="shared" si="53"/>
        <v>3.8673554992788004E-3</v>
      </c>
      <c r="AH46" s="584"/>
      <c r="AI46" s="743">
        <f t="shared" si="54"/>
        <v>1.9336777496394002</v>
      </c>
      <c r="AJ46" s="730">
        <f t="shared" si="54"/>
        <v>-1.9336777496392903E-3</v>
      </c>
      <c r="AK46" s="730">
        <f t="shared" si="54"/>
        <v>-3.8673554992788555E-3</v>
      </c>
      <c r="AL46" s="739">
        <f t="shared" si="60"/>
        <v>9.6683887481978262E-4</v>
      </c>
      <c r="AM46" s="216">
        <v>0.2</v>
      </c>
    </row>
    <row r="47" spans="1:39" x14ac:dyDescent="0.25">
      <c r="A47" s="757">
        <v>150</v>
      </c>
      <c r="B47" s="749">
        <v>9.9999999999994316E-2</v>
      </c>
      <c r="C47" s="749">
        <v>9.9999999999994316E-2</v>
      </c>
      <c r="D47" s="749">
        <f>0.5*(MAX(B47:C47)-MIN(B47:C47))</f>
        <v>0</v>
      </c>
      <c r="E47" s="750">
        <v>0.1</v>
      </c>
      <c r="F47" s="165"/>
      <c r="G47" s="748">
        <v>150</v>
      </c>
      <c r="H47" s="749">
        <v>-9.9999999999994316E-2</v>
      </c>
      <c r="I47" s="749">
        <v>-0.19999999999998863</v>
      </c>
      <c r="J47" s="749">
        <f t="shared" si="56"/>
        <v>4.9999999999997158E-2</v>
      </c>
      <c r="K47" s="750">
        <v>0.2</v>
      </c>
      <c r="L47" s="165"/>
      <c r="M47" s="748">
        <v>150</v>
      </c>
      <c r="N47" s="749">
        <v>-9.9999999999994316E-2</v>
      </c>
      <c r="O47" s="749">
        <v>-0.19999999999998863</v>
      </c>
      <c r="P47" s="749">
        <f t="shared" si="57"/>
        <v>4.9999999999997158E-2</v>
      </c>
      <c r="Q47" s="750">
        <v>0.2</v>
      </c>
      <c r="R47" s="2"/>
      <c r="W47" s="730">
        <f t="shared" si="50"/>
        <v>2.9005166244591001</v>
      </c>
      <c r="X47" s="730">
        <f t="shared" si="50"/>
        <v>1.9336777496392903E-3</v>
      </c>
      <c r="Y47" s="730">
        <f t="shared" si="50"/>
        <v>1.9336777496392903E-3</v>
      </c>
      <c r="Z47" s="739">
        <f t="shared" si="58"/>
        <v>0</v>
      </c>
      <c r="AA47" s="385">
        <f t="shared" si="51"/>
        <v>1.9336777496394002E-3</v>
      </c>
      <c r="AB47" s="584"/>
      <c r="AC47" s="730">
        <f t="shared" si="52"/>
        <v>2.9005166244591001</v>
      </c>
      <c r="AD47" s="730">
        <f t="shared" si="52"/>
        <v>-1.9336777496392903E-3</v>
      </c>
      <c r="AE47" s="730">
        <f t="shared" si="52"/>
        <v>-3.8673554992785806E-3</v>
      </c>
      <c r="AF47" s="739">
        <f t="shared" si="59"/>
        <v>9.6683887481964514E-4</v>
      </c>
      <c r="AG47" s="385">
        <f t="shared" si="53"/>
        <v>3.8673554992788004E-3</v>
      </c>
      <c r="AH47" s="584"/>
      <c r="AI47" s="743">
        <f t="shared" si="54"/>
        <v>2.9005166244591001</v>
      </c>
      <c r="AJ47" s="730">
        <f t="shared" si="54"/>
        <v>-1.9336777496392903E-3</v>
      </c>
      <c r="AK47" s="730">
        <f t="shared" si="54"/>
        <v>-3.8673554992785806E-3</v>
      </c>
      <c r="AL47" s="739">
        <f t="shared" si="60"/>
        <v>9.6683887481964514E-4</v>
      </c>
      <c r="AM47" s="216">
        <v>0.2</v>
      </c>
    </row>
    <row r="48" spans="1:39" x14ac:dyDescent="0.25">
      <c r="A48" s="757">
        <v>200</v>
      </c>
      <c r="B48" s="749">
        <v>9.9999999999994316E-2</v>
      </c>
      <c r="C48" s="749">
        <v>9.9999999999994316E-2</v>
      </c>
      <c r="D48" s="749">
        <f t="shared" si="55"/>
        <v>0</v>
      </c>
      <c r="E48" s="750">
        <v>0.1</v>
      </c>
      <c r="F48" s="165"/>
      <c r="G48" s="748">
        <v>200</v>
      </c>
      <c r="H48" s="749">
        <v>-9.9999999999994316E-2</v>
      </c>
      <c r="I48" s="749">
        <v>-0.19999999999998863</v>
      </c>
      <c r="J48" s="749">
        <f t="shared" si="56"/>
        <v>4.9999999999997158E-2</v>
      </c>
      <c r="K48" s="750">
        <v>0.2</v>
      </c>
      <c r="L48" s="165"/>
      <c r="M48" s="748">
        <v>200</v>
      </c>
      <c r="N48" s="749">
        <v>-9.9999999999994316E-2</v>
      </c>
      <c r="O48" s="749">
        <v>-0.19999999999998863</v>
      </c>
      <c r="P48" s="749">
        <f t="shared" si="57"/>
        <v>4.9999999999997158E-2</v>
      </c>
      <c r="Q48" s="750">
        <v>0.2</v>
      </c>
      <c r="R48" s="2"/>
      <c r="W48" s="730">
        <f t="shared" si="50"/>
        <v>3.8673554992788004</v>
      </c>
      <c r="X48" s="730">
        <f t="shared" si="50"/>
        <v>1.9336777496392903E-3</v>
      </c>
      <c r="Y48" s="730">
        <f t="shared" si="50"/>
        <v>1.9336777496392903E-3</v>
      </c>
      <c r="Z48" s="739">
        <f t="shared" si="58"/>
        <v>0</v>
      </c>
      <c r="AA48" s="385">
        <f t="shared" si="51"/>
        <v>1.9336777496394002E-3</v>
      </c>
      <c r="AB48" s="584"/>
      <c r="AC48" s="730">
        <f t="shared" si="52"/>
        <v>3.8673554992788004</v>
      </c>
      <c r="AD48" s="730">
        <f t="shared" si="52"/>
        <v>-1.9336777496392903E-3</v>
      </c>
      <c r="AE48" s="730">
        <f t="shared" si="52"/>
        <v>-3.8673554992785806E-3</v>
      </c>
      <c r="AF48" s="739">
        <f t="shared" si="59"/>
        <v>9.6683887481964514E-4</v>
      </c>
      <c r="AG48" s="385">
        <f t="shared" si="53"/>
        <v>3.8673554992788004E-3</v>
      </c>
      <c r="AH48" s="584"/>
      <c r="AI48" s="743">
        <f t="shared" si="54"/>
        <v>3.8673554992788004</v>
      </c>
      <c r="AJ48" s="730">
        <f t="shared" si="54"/>
        <v>-1.9336777496392903E-3</v>
      </c>
      <c r="AK48" s="730">
        <f t="shared" si="54"/>
        <v>-3.8673554992785806E-3</v>
      </c>
      <c r="AL48" s="739">
        <f t="shared" si="60"/>
        <v>9.6683887481964514E-4</v>
      </c>
      <c r="AM48" s="216">
        <v>0.2</v>
      </c>
    </row>
    <row r="49" spans="1:39" x14ac:dyDescent="0.25">
      <c r="A49" s="757">
        <v>250</v>
      </c>
      <c r="B49" s="749">
        <v>9.9999999999994316E-2</v>
      </c>
      <c r="C49" s="749">
        <v>9.9999999999994316E-2</v>
      </c>
      <c r="D49" s="749">
        <f t="shared" si="55"/>
        <v>0</v>
      </c>
      <c r="E49" s="750">
        <v>0.1</v>
      </c>
      <c r="F49" s="165"/>
      <c r="G49" s="748">
        <v>250</v>
      </c>
      <c r="H49" s="749">
        <v>-9.9999999999994316E-2</v>
      </c>
      <c r="I49" s="749">
        <v>-0.19999999999998863</v>
      </c>
      <c r="J49" s="749">
        <f t="shared" si="56"/>
        <v>4.9999999999997158E-2</v>
      </c>
      <c r="K49" s="750">
        <v>0.2</v>
      </c>
      <c r="L49" s="165"/>
      <c r="M49" s="748">
        <v>250</v>
      </c>
      <c r="N49" s="749">
        <v>-9.9999999999994316E-2</v>
      </c>
      <c r="O49" s="749">
        <v>-0.19999999999998863</v>
      </c>
      <c r="P49" s="749">
        <f t="shared" si="57"/>
        <v>4.9999999999997158E-2</v>
      </c>
      <c r="Q49" s="750">
        <v>0.2</v>
      </c>
      <c r="R49" s="2"/>
      <c r="W49" s="730">
        <f t="shared" si="50"/>
        <v>4.8341943740985007</v>
      </c>
      <c r="X49" s="730">
        <f t="shared" si="50"/>
        <v>1.9336777496392903E-3</v>
      </c>
      <c r="Y49" s="730">
        <f t="shared" si="50"/>
        <v>1.9336777496392903E-3</v>
      </c>
      <c r="Z49" s="739">
        <f t="shared" si="58"/>
        <v>0</v>
      </c>
      <c r="AA49" s="385">
        <f t="shared" si="51"/>
        <v>1.9336777496394002E-3</v>
      </c>
      <c r="AB49" s="584"/>
      <c r="AC49" s="730">
        <f t="shared" si="52"/>
        <v>4.8341943740985007</v>
      </c>
      <c r="AD49" s="730">
        <f t="shared" si="52"/>
        <v>-1.9336777496392903E-3</v>
      </c>
      <c r="AE49" s="730">
        <f t="shared" si="52"/>
        <v>-3.8673554992785806E-3</v>
      </c>
      <c r="AF49" s="739">
        <f t="shared" si="59"/>
        <v>9.6683887481964514E-4</v>
      </c>
      <c r="AG49" s="385">
        <f t="shared" si="53"/>
        <v>3.8673554992788004E-3</v>
      </c>
      <c r="AH49" s="584"/>
      <c r="AI49" s="743">
        <f t="shared" si="54"/>
        <v>4.8341943740985007</v>
      </c>
      <c r="AJ49" s="730">
        <f t="shared" si="54"/>
        <v>-1.9336777496392903E-3</v>
      </c>
      <c r="AK49" s="730">
        <f t="shared" si="54"/>
        <v>-3.8673554992785806E-3</v>
      </c>
      <c r="AL49" s="739">
        <f t="shared" si="60"/>
        <v>9.6683887481964514E-4</v>
      </c>
      <c r="AM49" s="216">
        <v>0.2</v>
      </c>
    </row>
    <row r="50" spans="1:39" x14ac:dyDescent="0.25">
      <c r="A50" s="757">
        <v>300</v>
      </c>
      <c r="B50" s="749">
        <v>9.9999999999999995E-7</v>
      </c>
      <c r="C50" s="749">
        <v>9.9999999999999995E-7</v>
      </c>
      <c r="D50" s="749">
        <f t="shared" si="55"/>
        <v>0</v>
      </c>
      <c r="E50" s="750">
        <v>0.1</v>
      </c>
      <c r="F50" s="165"/>
      <c r="G50" s="748">
        <v>300</v>
      </c>
      <c r="H50" s="749">
        <v>9.9999999999999995E-7</v>
      </c>
      <c r="I50" s="749">
        <v>-0.19999999999998863</v>
      </c>
      <c r="J50" s="749">
        <f t="shared" si="56"/>
        <v>0.10000049999999432</v>
      </c>
      <c r="K50" s="750">
        <v>0.2</v>
      </c>
      <c r="L50" s="165"/>
      <c r="M50" s="748">
        <v>300</v>
      </c>
      <c r="N50" s="749">
        <v>9.9999999999999995E-7</v>
      </c>
      <c r="O50" s="749">
        <v>-0.19999999999998863</v>
      </c>
      <c r="P50" s="749">
        <f t="shared" si="57"/>
        <v>0.10000049999999432</v>
      </c>
      <c r="Q50" s="750">
        <v>0.2</v>
      </c>
      <c r="R50" s="2"/>
      <c r="W50" s="730">
        <f t="shared" si="50"/>
        <v>5.8010332489182002</v>
      </c>
      <c r="X50" s="730">
        <f t="shared" si="50"/>
        <v>1.9336777496394002E-8</v>
      </c>
      <c r="Y50" s="730">
        <f t="shared" si="50"/>
        <v>1.9336777496394002E-8</v>
      </c>
      <c r="Z50" s="739">
        <f t="shared" si="58"/>
        <v>0</v>
      </c>
      <c r="AA50" s="385">
        <f t="shared" si="51"/>
        <v>1.9336777496394002E-3</v>
      </c>
      <c r="AB50" s="584"/>
      <c r="AC50" s="730">
        <f t="shared" si="52"/>
        <v>5.8010332489182002</v>
      </c>
      <c r="AD50" s="730">
        <f t="shared" si="52"/>
        <v>1.9336777496394002E-8</v>
      </c>
      <c r="AE50" s="730">
        <f t="shared" si="52"/>
        <v>-3.8673554992785806E-3</v>
      </c>
      <c r="AF50" s="739">
        <f t="shared" si="59"/>
        <v>1.9336874180280385E-3</v>
      </c>
      <c r="AG50" s="385">
        <f t="shared" si="53"/>
        <v>3.8673554992788004E-3</v>
      </c>
      <c r="AH50" s="584"/>
      <c r="AI50" s="743">
        <f t="shared" si="54"/>
        <v>5.8010332489182002</v>
      </c>
      <c r="AJ50" s="730">
        <f t="shared" si="54"/>
        <v>1.9336777496394002E-8</v>
      </c>
      <c r="AK50" s="730">
        <f t="shared" si="54"/>
        <v>-3.8673554992785806E-3</v>
      </c>
      <c r="AL50" s="739">
        <f t="shared" si="60"/>
        <v>1.9336874180280385E-3</v>
      </c>
      <c r="AM50" s="216">
        <v>0.2</v>
      </c>
    </row>
    <row r="51" spans="1:39" x14ac:dyDescent="0.25">
      <c r="A51" s="757">
        <v>900</v>
      </c>
      <c r="B51" s="749">
        <v>9.9999999999999995E-7</v>
      </c>
      <c r="C51" s="749">
        <v>9.9999999999999995E-7</v>
      </c>
      <c r="D51" s="749">
        <f t="shared" ref="D51" si="61">0.5*(MAX(B51:C51)-MIN(B51:C51))</f>
        <v>0</v>
      </c>
      <c r="E51" s="750">
        <v>0.1</v>
      </c>
      <c r="F51" s="165"/>
      <c r="G51" s="748">
        <v>900</v>
      </c>
      <c r="H51" s="749">
        <v>9.9999999999999995E-7</v>
      </c>
      <c r="I51" s="749">
        <v>-0.19999999999998863</v>
      </c>
      <c r="J51" s="749">
        <f t="shared" ref="J51" si="62">0.5*(MAX(H51:I51)-MIN(H51:I51))</f>
        <v>0.10000049999999432</v>
      </c>
      <c r="K51" s="750">
        <v>0.2</v>
      </c>
      <c r="L51" s="165"/>
      <c r="M51" s="748">
        <v>900</v>
      </c>
      <c r="N51" s="749">
        <v>9.9999999999999995E-7</v>
      </c>
      <c r="O51" s="749">
        <v>-0.19999999999998863</v>
      </c>
      <c r="P51" s="749">
        <f t="shared" si="57"/>
        <v>0.10000049999999432</v>
      </c>
      <c r="Q51" s="750">
        <v>0.2</v>
      </c>
      <c r="R51" s="2"/>
      <c r="W51" s="730">
        <f t="shared" si="50"/>
        <v>17.403099746754602</v>
      </c>
      <c r="X51" s="730">
        <f t="shared" si="50"/>
        <v>1.9336777496394002E-8</v>
      </c>
      <c r="Y51" s="730">
        <f t="shared" si="50"/>
        <v>1.9336777496394002E-8</v>
      </c>
      <c r="Z51" s="739">
        <f t="shared" si="58"/>
        <v>0</v>
      </c>
      <c r="AA51" s="385">
        <f t="shared" si="51"/>
        <v>1.9336777496394002E-3</v>
      </c>
      <c r="AB51" s="584"/>
      <c r="AC51" s="730">
        <f t="shared" si="52"/>
        <v>17.403099746754602</v>
      </c>
      <c r="AD51" s="730">
        <f t="shared" si="52"/>
        <v>1.9336777496394002E-8</v>
      </c>
      <c r="AE51" s="730">
        <f t="shared" si="52"/>
        <v>-3.8673554992785806E-3</v>
      </c>
      <c r="AF51" s="739">
        <f>0.5*(MAX(AD51:AE51)-MIN(AD51:AE51))</f>
        <v>1.9336874180280385E-3</v>
      </c>
      <c r="AG51" s="385">
        <f t="shared" si="53"/>
        <v>3.8673554992788004E-3</v>
      </c>
      <c r="AH51" s="584"/>
      <c r="AI51" s="743">
        <f t="shared" si="54"/>
        <v>17.403099746754602</v>
      </c>
      <c r="AJ51" s="730">
        <f t="shared" si="54"/>
        <v>1.9336777496394002E-8</v>
      </c>
      <c r="AK51" s="730">
        <f t="shared" si="54"/>
        <v>-3.8673554992785806E-3</v>
      </c>
      <c r="AL51" s="739">
        <f t="shared" si="60"/>
        <v>1.9336874180280385E-3</v>
      </c>
      <c r="AM51" s="216">
        <v>0.2</v>
      </c>
    </row>
    <row r="52" spans="1:39" x14ac:dyDescent="0.25">
      <c r="A52" s="703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2"/>
      <c r="W52" s="584"/>
      <c r="X52" s="584"/>
      <c r="Y52" s="584"/>
      <c r="Z52" s="584"/>
      <c r="AA52" s="584"/>
      <c r="AB52" s="584"/>
      <c r="AC52" s="584"/>
      <c r="AD52" s="584"/>
      <c r="AE52" s="584"/>
      <c r="AF52" s="584"/>
      <c r="AG52" s="584"/>
      <c r="AH52" s="584"/>
      <c r="AI52" s="584"/>
      <c r="AJ52" s="584"/>
      <c r="AK52" s="584"/>
      <c r="AL52" s="584"/>
      <c r="AM52" s="584"/>
    </row>
    <row r="53" spans="1:39" x14ac:dyDescent="0.25">
      <c r="A53" s="703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2"/>
      <c r="W53" s="584"/>
      <c r="X53" s="584"/>
      <c r="Y53" s="584"/>
      <c r="Z53" s="584"/>
      <c r="AA53" s="584"/>
      <c r="AB53" s="584"/>
      <c r="AC53" s="584"/>
      <c r="AD53" s="584"/>
      <c r="AE53" s="584"/>
      <c r="AF53" s="584"/>
      <c r="AG53" s="584"/>
      <c r="AH53" s="584"/>
      <c r="AI53" s="584"/>
      <c r="AJ53" s="584"/>
      <c r="AK53" s="584"/>
      <c r="AL53" s="584"/>
      <c r="AM53" s="584"/>
    </row>
    <row r="54" spans="1:39" ht="24.75" customHeight="1" x14ac:dyDescent="0.25">
      <c r="A54" s="1680" t="str">
        <f>' Input Data Tekanan Hisap'!A156</f>
        <v>Digital Pressure Meter, Merek : Fluke, Model : DPM4 2G, SN : 4600002</v>
      </c>
      <c r="B54" s="1679"/>
      <c r="C54" s="1679"/>
      <c r="D54" s="1679"/>
      <c r="E54" s="1679"/>
      <c r="F54" s="165"/>
      <c r="G54" s="1678" t="str">
        <f>' Input Data Tekanan Hisap'!A157</f>
        <v>Digital Pressure Meter, Merek : Fluke, Model : DPM4 2G, SN : 484821028</v>
      </c>
      <c r="H54" s="1679"/>
      <c r="I54" s="1679"/>
      <c r="J54" s="1679"/>
      <c r="K54" s="1679"/>
      <c r="L54" s="165"/>
      <c r="M54" s="1678" t="str">
        <f>' Input Data Tekanan Hisap'!A158</f>
        <v>Digital Pressure Meter, Merek : Fluke, Model : DPM4 2G, SN : 4819018</v>
      </c>
      <c r="N54" s="1679"/>
      <c r="O54" s="1679"/>
      <c r="P54" s="1679"/>
      <c r="Q54" s="1679"/>
      <c r="R54" s="2"/>
      <c r="W54" s="1687" t="str">
        <f>A54</f>
        <v>Digital Pressure Meter, Merek : Fluke, Model : DPM4 2G, SN : 4600002</v>
      </c>
      <c r="X54" s="1688"/>
      <c r="Y54" s="1688"/>
      <c r="Z54" s="1688"/>
      <c r="AA54" s="1688"/>
      <c r="AB54" s="584"/>
      <c r="AC54" s="1687" t="str">
        <f>G54</f>
        <v>Digital Pressure Meter, Merek : Fluke, Model : DPM4 2G, SN : 484821028</v>
      </c>
      <c r="AD54" s="1688"/>
      <c r="AE54" s="1688"/>
      <c r="AF54" s="1688"/>
      <c r="AG54" s="1688"/>
      <c r="AH54" s="584"/>
      <c r="AI54" s="1687" t="str">
        <f>M54</f>
        <v>Digital Pressure Meter, Merek : Fluke, Model : DPM4 2G, SN : 4819018</v>
      </c>
      <c r="AJ54" s="1688"/>
      <c r="AK54" s="1688"/>
      <c r="AL54" s="1688"/>
      <c r="AM54" s="1688"/>
    </row>
    <row r="55" spans="1:39" ht="24.75" customHeight="1" x14ac:dyDescent="0.25">
      <c r="A55" s="744" t="s">
        <v>567</v>
      </c>
      <c r="B55" s="1673" t="s">
        <v>127</v>
      </c>
      <c r="C55" s="1674"/>
      <c r="D55" s="1675" t="s">
        <v>568</v>
      </c>
      <c r="E55" s="1676" t="s">
        <v>145</v>
      </c>
      <c r="F55" s="165"/>
      <c r="G55" s="745" t="s">
        <v>567</v>
      </c>
      <c r="H55" s="1673" t="s">
        <v>127</v>
      </c>
      <c r="I55" s="1674"/>
      <c r="J55" s="1675" t="s">
        <v>568</v>
      </c>
      <c r="K55" s="1676" t="s">
        <v>145</v>
      </c>
      <c r="L55" s="165"/>
      <c r="M55" s="745" t="s">
        <v>567</v>
      </c>
      <c r="N55" s="1673" t="s">
        <v>127</v>
      </c>
      <c r="O55" s="1674"/>
      <c r="P55" s="1675" t="s">
        <v>568</v>
      </c>
      <c r="Q55" s="1676" t="s">
        <v>145</v>
      </c>
      <c r="R55" s="2"/>
      <c r="W55" s="723" t="s">
        <v>567</v>
      </c>
      <c r="X55" s="1681" t="s">
        <v>127</v>
      </c>
      <c r="Y55" s="1682"/>
      <c r="Z55" s="1683" t="s">
        <v>568</v>
      </c>
      <c r="AA55" s="1685" t="s">
        <v>145</v>
      </c>
      <c r="AB55" s="584"/>
      <c r="AC55" s="723" t="s">
        <v>567</v>
      </c>
      <c r="AD55" s="1681" t="s">
        <v>127</v>
      </c>
      <c r="AE55" s="1682"/>
      <c r="AF55" s="1683" t="s">
        <v>568</v>
      </c>
      <c r="AG55" s="1685" t="s">
        <v>145</v>
      </c>
      <c r="AH55" s="584"/>
      <c r="AI55" s="723" t="s">
        <v>567</v>
      </c>
      <c r="AJ55" s="1681" t="s">
        <v>127</v>
      </c>
      <c r="AK55" s="1682"/>
      <c r="AL55" s="1683" t="s">
        <v>568</v>
      </c>
      <c r="AM55" s="1685" t="s">
        <v>145</v>
      </c>
    </row>
    <row r="56" spans="1:39" x14ac:dyDescent="0.25">
      <c r="A56" s="744" t="s">
        <v>199</v>
      </c>
      <c r="B56" s="219">
        <v>2017</v>
      </c>
      <c r="C56" s="219">
        <v>2018</v>
      </c>
      <c r="D56" s="1671"/>
      <c r="E56" s="1677"/>
      <c r="F56" s="165"/>
      <c r="G56" s="745" t="s">
        <v>199</v>
      </c>
      <c r="H56" s="219">
        <v>2017</v>
      </c>
      <c r="I56" s="219">
        <v>2018</v>
      </c>
      <c r="J56" s="1671"/>
      <c r="K56" s="1677"/>
      <c r="L56" s="165"/>
      <c r="M56" s="745" t="s">
        <v>199</v>
      </c>
      <c r="N56" s="219">
        <v>2017</v>
      </c>
      <c r="O56" s="219">
        <v>2018</v>
      </c>
      <c r="P56" s="1671"/>
      <c r="Q56" s="1677"/>
      <c r="R56" s="2"/>
      <c r="W56" s="723" t="s">
        <v>199</v>
      </c>
      <c r="X56" s="725">
        <v>2017</v>
      </c>
      <c r="Y56" s="725">
        <v>2018</v>
      </c>
      <c r="Z56" s="1684"/>
      <c r="AA56" s="1686"/>
      <c r="AB56" s="584"/>
      <c r="AC56" s="723" t="s">
        <v>199</v>
      </c>
      <c r="AD56" s="725">
        <v>2017</v>
      </c>
      <c r="AE56" s="725">
        <v>2018</v>
      </c>
      <c r="AF56" s="1684"/>
      <c r="AG56" s="1686"/>
      <c r="AH56" s="584"/>
      <c r="AI56" s="723" t="s">
        <v>378</v>
      </c>
      <c r="AJ56" s="725">
        <v>2017</v>
      </c>
      <c r="AK56" s="725">
        <v>2018</v>
      </c>
      <c r="AL56" s="1684"/>
      <c r="AM56" s="1686"/>
    </row>
    <row r="57" spans="1:39" x14ac:dyDescent="0.25">
      <c r="A57" s="757">
        <v>0</v>
      </c>
      <c r="B57" s="749">
        <v>9.9999999999999995E-7</v>
      </c>
      <c r="C57" s="749">
        <v>9.9999999999999995E-7</v>
      </c>
      <c r="D57" s="749">
        <f>0.5*(MAX(B57:C57)-MIN(B57:C57))</f>
        <v>0</v>
      </c>
      <c r="E57" s="750">
        <v>0.1</v>
      </c>
      <c r="F57" s="165"/>
      <c r="G57" s="748">
        <v>0</v>
      </c>
      <c r="H57" s="749">
        <v>9.9999999999999995E-7</v>
      </c>
      <c r="I57" s="749">
        <v>9.9999999999999995E-7</v>
      </c>
      <c r="J57" s="749">
        <f>0.5*(MAX(H57:I57)-MIN(H57:I57))</f>
        <v>0</v>
      </c>
      <c r="K57" s="750">
        <v>0.1</v>
      </c>
      <c r="L57" s="165"/>
      <c r="M57" s="748">
        <v>0</v>
      </c>
      <c r="N57" s="749">
        <v>9.9999999999999995E-7</v>
      </c>
      <c r="O57" s="749">
        <v>9.9999999999999995E-7</v>
      </c>
      <c r="P57" s="749">
        <f>0.5*(MAX(N57:O57)-MIN(N57:O57))</f>
        <v>0</v>
      </c>
      <c r="Q57" s="750">
        <v>0.1</v>
      </c>
      <c r="R57" s="2"/>
      <c r="W57" s="743">
        <f t="shared" ref="W57:Y64" si="63">A57*$T$2</f>
        <v>0</v>
      </c>
      <c r="X57" s="743">
        <f t="shared" si="63"/>
        <v>1.9336777496394002E-8</v>
      </c>
      <c r="Y57" s="743">
        <f t="shared" si="63"/>
        <v>1.9336777496394002E-8</v>
      </c>
      <c r="Z57" s="739">
        <f>0.5*(MAX(X57:Y57)-MIN(X57:Y57))</f>
        <v>0</v>
      </c>
      <c r="AA57" s="216">
        <v>0.1</v>
      </c>
      <c r="AB57" s="584"/>
      <c r="AC57" s="743">
        <f t="shared" ref="AC57:AE64" si="64">G57*$T$2</f>
        <v>0</v>
      </c>
      <c r="AD57" s="730">
        <f t="shared" si="64"/>
        <v>1.9336777496394002E-8</v>
      </c>
      <c r="AE57" s="730">
        <f t="shared" si="64"/>
        <v>1.9336777496394002E-8</v>
      </c>
      <c r="AF57" s="739">
        <f>0.5*(MAX(AD57:AE57)-MIN(AD57:AE57))</f>
        <v>0</v>
      </c>
      <c r="AG57" s="216">
        <v>0.1</v>
      </c>
      <c r="AH57" s="584"/>
      <c r="AI57" s="743">
        <f t="shared" ref="AI57:AK64" si="65">M57*$T$2</f>
        <v>0</v>
      </c>
      <c r="AJ57" s="730">
        <f t="shared" si="65"/>
        <v>1.9336777496394002E-8</v>
      </c>
      <c r="AK57" s="730">
        <f t="shared" si="65"/>
        <v>1.9336777496394002E-8</v>
      </c>
      <c r="AL57" s="739">
        <f>0.5*(MAX(AJ57:AK57)-MIN(AJ57:AK57))</f>
        <v>0</v>
      </c>
      <c r="AM57" s="216">
        <v>0.1</v>
      </c>
    </row>
    <row r="58" spans="1:39" x14ac:dyDescent="0.25">
      <c r="A58" s="757">
        <v>50</v>
      </c>
      <c r="B58" s="749">
        <v>-0.10000000000000142</v>
      </c>
      <c r="C58" s="749">
        <v>-0.10000000000000142</v>
      </c>
      <c r="D58" s="749">
        <f t="shared" ref="D58:D64" si="66">0.5*(MAX(B58:C58)-MIN(B58:C58))</f>
        <v>0</v>
      </c>
      <c r="E58" s="750">
        <v>0.2</v>
      </c>
      <c r="F58" s="165"/>
      <c r="G58" s="748">
        <v>50</v>
      </c>
      <c r="H58" s="749">
        <v>-0.10000000000000142</v>
      </c>
      <c r="I58" s="749">
        <v>-0.10000000000000142</v>
      </c>
      <c r="J58" s="749">
        <f t="shared" ref="J58:J64" si="67">0.5*(MAX(H58:I58)-MIN(H58:I58))</f>
        <v>0</v>
      </c>
      <c r="K58" s="750">
        <v>0.2</v>
      </c>
      <c r="L58" s="165"/>
      <c r="M58" s="748">
        <v>50</v>
      </c>
      <c r="N58" s="749">
        <v>-0.10000000000000142</v>
      </c>
      <c r="O58" s="749">
        <v>-0.10000000000000142</v>
      </c>
      <c r="P58" s="749">
        <f t="shared" ref="P58:P64" si="68">0.5*(MAX(N58:O58)-MIN(N58:O58))</f>
        <v>0</v>
      </c>
      <c r="Q58" s="750">
        <v>0.2</v>
      </c>
      <c r="R58" s="2"/>
      <c r="W58" s="743">
        <f t="shared" si="63"/>
        <v>0.9668388748197001</v>
      </c>
      <c r="X58" s="743">
        <f t="shared" si="63"/>
        <v>-1.9336777496394278E-3</v>
      </c>
      <c r="Y58" s="743">
        <f t="shared" si="63"/>
        <v>-1.9336777496394278E-3</v>
      </c>
      <c r="Z58" s="739">
        <f t="shared" ref="Z58:Z64" si="69">0.5*(MAX(X58:Y58)-MIN(X58:Y58))</f>
        <v>0</v>
      </c>
      <c r="AA58" s="216">
        <v>0.2</v>
      </c>
      <c r="AB58" s="584"/>
      <c r="AC58" s="743">
        <f t="shared" si="64"/>
        <v>0.9668388748197001</v>
      </c>
      <c r="AD58" s="730">
        <f t="shared" si="64"/>
        <v>-1.9336777496394278E-3</v>
      </c>
      <c r="AE58" s="730">
        <f t="shared" si="64"/>
        <v>-1.9336777496394278E-3</v>
      </c>
      <c r="AF58" s="739">
        <f t="shared" ref="AF58:AF64" si="70">0.5*(MAX(AD58:AE58)-MIN(AD58:AE58))</f>
        <v>0</v>
      </c>
      <c r="AG58" s="216">
        <v>0.2</v>
      </c>
      <c r="AH58" s="584"/>
      <c r="AI58" s="743">
        <f t="shared" si="65"/>
        <v>0.9668388748197001</v>
      </c>
      <c r="AJ58" s="730">
        <f t="shared" si="65"/>
        <v>-1.9336777496394278E-3</v>
      </c>
      <c r="AK58" s="730">
        <f t="shared" si="65"/>
        <v>-1.9336777496394278E-3</v>
      </c>
      <c r="AL58" s="739">
        <f t="shared" ref="AL58:AL64" si="71">0.5*(MAX(AJ58:AK58)-MIN(AJ58:AK58))</f>
        <v>0</v>
      </c>
      <c r="AM58" s="216">
        <v>0.2</v>
      </c>
    </row>
    <row r="59" spans="1:39" x14ac:dyDescent="0.25">
      <c r="A59" s="757">
        <v>100</v>
      </c>
      <c r="B59" s="749">
        <v>-9.9999999999994316E-2</v>
      </c>
      <c r="C59" s="749">
        <v>-0.20000000000000284</v>
      </c>
      <c r="D59" s="749">
        <f t="shared" si="66"/>
        <v>5.0000000000004263E-2</v>
      </c>
      <c r="E59" s="750">
        <v>0.2</v>
      </c>
      <c r="F59" s="165"/>
      <c r="G59" s="748">
        <v>100</v>
      </c>
      <c r="H59" s="749">
        <v>-9.9999999999994316E-2</v>
      </c>
      <c r="I59" s="749">
        <v>-0.20000000000000284</v>
      </c>
      <c r="J59" s="749">
        <f t="shared" si="67"/>
        <v>5.0000000000004263E-2</v>
      </c>
      <c r="K59" s="750">
        <v>0.2</v>
      </c>
      <c r="L59" s="165"/>
      <c r="M59" s="748">
        <v>100</v>
      </c>
      <c r="N59" s="749">
        <v>-9.9999999999994316E-2</v>
      </c>
      <c r="O59" s="749">
        <v>-0.20000000000000284</v>
      </c>
      <c r="P59" s="749">
        <f t="shared" si="68"/>
        <v>5.0000000000004263E-2</v>
      </c>
      <c r="Q59" s="750">
        <v>0.2</v>
      </c>
      <c r="R59" s="2"/>
      <c r="W59" s="743">
        <f t="shared" si="63"/>
        <v>1.9336777496394002</v>
      </c>
      <c r="X59" s="743">
        <f t="shared" si="63"/>
        <v>-1.9336777496392903E-3</v>
      </c>
      <c r="Y59" s="743">
        <f t="shared" si="63"/>
        <v>-3.8673554992788555E-3</v>
      </c>
      <c r="Z59" s="739">
        <f t="shared" si="69"/>
        <v>9.6683887481978262E-4</v>
      </c>
      <c r="AA59" s="216">
        <v>0.2</v>
      </c>
      <c r="AB59" s="584"/>
      <c r="AC59" s="743">
        <f t="shared" si="64"/>
        <v>1.9336777496394002</v>
      </c>
      <c r="AD59" s="730">
        <f t="shared" si="64"/>
        <v>-1.9336777496392903E-3</v>
      </c>
      <c r="AE59" s="730">
        <f t="shared" si="64"/>
        <v>-3.8673554992788555E-3</v>
      </c>
      <c r="AF59" s="739">
        <f t="shared" si="70"/>
        <v>9.6683887481978262E-4</v>
      </c>
      <c r="AG59" s="216">
        <v>0.2</v>
      </c>
      <c r="AH59" s="584"/>
      <c r="AI59" s="743">
        <f t="shared" si="65"/>
        <v>1.9336777496394002</v>
      </c>
      <c r="AJ59" s="730">
        <f t="shared" si="65"/>
        <v>-1.9336777496392903E-3</v>
      </c>
      <c r="AK59" s="730">
        <f t="shared" si="65"/>
        <v>-3.8673554992788555E-3</v>
      </c>
      <c r="AL59" s="739">
        <f t="shared" si="71"/>
        <v>9.6683887481978262E-4</v>
      </c>
      <c r="AM59" s="216">
        <v>0.2</v>
      </c>
    </row>
    <row r="60" spans="1:39" x14ac:dyDescent="0.25">
      <c r="A60" s="757">
        <v>150</v>
      </c>
      <c r="B60" s="749">
        <v>-9.9999999999994316E-2</v>
      </c>
      <c r="C60" s="749">
        <v>-0.19999999999998863</v>
      </c>
      <c r="D60" s="749">
        <f t="shared" si="66"/>
        <v>4.9999999999997158E-2</v>
      </c>
      <c r="E60" s="750">
        <v>0.2</v>
      </c>
      <c r="F60" s="165"/>
      <c r="G60" s="748">
        <v>150</v>
      </c>
      <c r="H60" s="749">
        <v>-9.9999999999994316E-2</v>
      </c>
      <c r="I60" s="749">
        <v>-0.19999999999998863</v>
      </c>
      <c r="J60" s="749">
        <f t="shared" si="67"/>
        <v>4.9999999999997158E-2</v>
      </c>
      <c r="K60" s="750">
        <v>0.2</v>
      </c>
      <c r="L60" s="165"/>
      <c r="M60" s="748">
        <v>150</v>
      </c>
      <c r="N60" s="749">
        <v>-9.9999999999994316E-2</v>
      </c>
      <c r="O60" s="749">
        <v>-0.19999999999998863</v>
      </c>
      <c r="P60" s="749">
        <f t="shared" si="68"/>
        <v>4.9999999999997158E-2</v>
      </c>
      <c r="Q60" s="750">
        <v>0.2</v>
      </c>
      <c r="R60" s="2"/>
      <c r="W60" s="743">
        <f t="shared" si="63"/>
        <v>2.9005166244591001</v>
      </c>
      <c r="X60" s="743">
        <f t="shared" si="63"/>
        <v>-1.9336777496392903E-3</v>
      </c>
      <c r="Y60" s="743">
        <f t="shared" si="63"/>
        <v>-3.8673554992785806E-3</v>
      </c>
      <c r="Z60" s="739">
        <f t="shared" si="69"/>
        <v>9.6683887481964514E-4</v>
      </c>
      <c r="AA60" s="216">
        <v>0.2</v>
      </c>
      <c r="AB60" s="584"/>
      <c r="AC60" s="743">
        <f t="shared" si="64"/>
        <v>2.9005166244591001</v>
      </c>
      <c r="AD60" s="730">
        <f t="shared" si="64"/>
        <v>-1.9336777496392903E-3</v>
      </c>
      <c r="AE60" s="730">
        <f t="shared" si="64"/>
        <v>-3.8673554992785806E-3</v>
      </c>
      <c r="AF60" s="739">
        <f t="shared" si="70"/>
        <v>9.6683887481964514E-4</v>
      </c>
      <c r="AG60" s="216">
        <v>0.2</v>
      </c>
      <c r="AH60" s="584"/>
      <c r="AI60" s="743">
        <f t="shared" si="65"/>
        <v>2.9005166244591001</v>
      </c>
      <c r="AJ60" s="730">
        <f t="shared" si="65"/>
        <v>-1.9336777496392903E-3</v>
      </c>
      <c r="AK60" s="730">
        <f t="shared" si="65"/>
        <v>-3.8673554992785806E-3</v>
      </c>
      <c r="AL60" s="739">
        <f t="shared" si="71"/>
        <v>9.6683887481964514E-4</v>
      </c>
      <c r="AM60" s="216">
        <v>0.2</v>
      </c>
    </row>
    <row r="61" spans="1:39" x14ac:dyDescent="0.25">
      <c r="A61" s="757">
        <v>200</v>
      </c>
      <c r="B61" s="749">
        <v>-9.9999999999994316E-2</v>
      </c>
      <c r="C61" s="749">
        <v>-0.19999999999998863</v>
      </c>
      <c r="D61" s="749">
        <f t="shared" si="66"/>
        <v>4.9999999999997158E-2</v>
      </c>
      <c r="E61" s="750">
        <v>0.2</v>
      </c>
      <c r="F61" s="165"/>
      <c r="G61" s="748">
        <v>200</v>
      </c>
      <c r="H61" s="749">
        <v>-9.9999999999994316E-2</v>
      </c>
      <c r="I61" s="749">
        <v>-0.19999999999998863</v>
      </c>
      <c r="J61" s="749">
        <f t="shared" si="67"/>
        <v>4.9999999999997158E-2</v>
      </c>
      <c r="K61" s="750">
        <v>0.2</v>
      </c>
      <c r="L61" s="165"/>
      <c r="M61" s="748">
        <v>200</v>
      </c>
      <c r="N61" s="749">
        <v>-9.9999999999994316E-2</v>
      </c>
      <c r="O61" s="749">
        <v>-0.19999999999998863</v>
      </c>
      <c r="P61" s="749">
        <f t="shared" si="68"/>
        <v>4.9999999999997158E-2</v>
      </c>
      <c r="Q61" s="750">
        <v>0.2</v>
      </c>
      <c r="R61" s="2"/>
      <c r="W61" s="743">
        <f t="shared" si="63"/>
        <v>3.8673554992788004</v>
      </c>
      <c r="X61" s="743">
        <f t="shared" si="63"/>
        <v>-1.9336777496392903E-3</v>
      </c>
      <c r="Y61" s="743">
        <f t="shared" si="63"/>
        <v>-3.8673554992785806E-3</v>
      </c>
      <c r="Z61" s="739">
        <f t="shared" si="69"/>
        <v>9.6683887481964514E-4</v>
      </c>
      <c r="AA61" s="216">
        <v>0.2</v>
      </c>
      <c r="AB61" s="584"/>
      <c r="AC61" s="743">
        <f t="shared" si="64"/>
        <v>3.8673554992788004</v>
      </c>
      <c r="AD61" s="730">
        <f t="shared" si="64"/>
        <v>-1.9336777496392903E-3</v>
      </c>
      <c r="AE61" s="730">
        <f t="shared" si="64"/>
        <v>-3.8673554992785806E-3</v>
      </c>
      <c r="AF61" s="739">
        <f t="shared" si="70"/>
        <v>9.6683887481964514E-4</v>
      </c>
      <c r="AG61" s="216">
        <v>0.2</v>
      </c>
      <c r="AH61" s="584"/>
      <c r="AI61" s="743">
        <f t="shared" si="65"/>
        <v>3.8673554992788004</v>
      </c>
      <c r="AJ61" s="730">
        <f t="shared" si="65"/>
        <v>-1.9336777496392903E-3</v>
      </c>
      <c r="AK61" s="730">
        <f t="shared" si="65"/>
        <v>-3.8673554992785806E-3</v>
      </c>
      <c r="AL61" s="739">
        <f t="shared" si="71"/>
        <v>9.6683887481964514E-4</v>
      </c>
      <c r="AM61" s="216">
        <v>0.2</v>
      </c>
    </row>
    <row r="62" spans="1:39" x14ac:dyDescent="0.25">
      <c r="A62" s="757">
        <v>250</v>
      </c>
      <c r="B62" s="749">
        <v>-9.9999999999994316E-2</v>
      </c>
      <c r="C62" s="749">
        <v>-0.19999999999998863</v>
      </c>
      <c r="D62" s="749">
        <f t="shared" si="66"/>
        <v>4.9999999999997158E-2</v>
      </c>
      <c r="E62" s="750">
        <v>0.2</v>
      </c>
      <c r="F62" s="165"/>
      <c r="G62" s="748">
        <v>250</v>
      </c>
      <c r="H62" s="749">
        <v>-9.9999999999994316E-2</v>
      </c>
      <c r="I62" s="749">
        <v>-0.19999999999998863</v>
      </c>
      <c r="J62" s="749">
        <f t="shared" si="67"/>
        <v>4.9999999999997158E-2</v>
      </c>
      <c r="K62" s="750">
        <v>0.2</v>
      </c>
      <c r="L62" s="165"/>
      <c r="M62" s="748">
        <v>250</v>
      </c>
      <c r="N62" s="749">
        <v>-9.9999999999994316E-2</v>
      </c>
      <c r="O62" s="749">
        <v>-0.19999999999998863</v>
      </c>
      <c r="P62" s="749">
        <f t="shared" si="68"/>
        <v>4.9999999999997158E-2</v>
      </c>
      <c r="Q62" s="750">
        <v>0.2</v>
      </c>
      <c r="R62" s="2"/>
      <c r="W62" s="743">
        <f t="shared" si="63"/>
        <v>4.8341943740985007</v>
      </c>
      <c r="X62" s="743">
        <f t="shared" si="63"/>
        <v>-1.9336777496392903E-3</v>
      </c>
      <c r="Y62" s="743">
        <f t="shared" si="63"/>
        <v>-3.8673554992785806E-3</v>
      </c>
      <c r="Z62" s="739">
        <f t="shared" si="69"/>
        <v>9.6683887481964514E-4</v>
      </c>
      <c r="AA62" s="216">
        <v>0.2</v>
      </c>
      <c r="AB62" s="584"/>
      <c r="AC62" s="743">
        <f t="shared" si="64"/>
        <v>4.8341943740985007</v>
      </c>
      <c r="AD62" s="730">
        <f t="shared" si="64"/>
        <v>-1.9336777496392903E-3</v>
      </c>
      <c r="AE62" s="730">
        <f t="shared" si="64"/>
        <v>-3.8673554992785806E-3</v>
      </c>
      <c r="AF62" s="739">
        <f t="shared" si="70"/>
        <v>9.6683887481964514E-4</v>
      </c>
      <c r="AG62" s="216">
        <v>0.2</v>
      </c>
      <c r="AH62" s="584"/>
      <c r="AI62" s="743">
        <f t="shared" si="65"/>
        <v>4.8341943740985007</v>
      </c>
      <c r="AJ62" s="730">
        <f t="shared" si="65"/>
        <v>-1.9336777496392903E-3</v>
      </c>
      <c r="AK62" s="730">
        <f t="shared" si="65"/>
        <v>-3.8673554992785806E-3</v>
      </c>
      <c r="AL62" s="739">
        <f t="shared" si="71"/>
        <v>9.6683887481964514E-4</v>
      </c>
      <c r="AM62" s="216">
        <v>0.2</v>
      </c>
    </row>
    <row r="63" spans="1:39" x14ac:dyDescent="0.25">
      <c r="A63" s="757">
        <v>300</v>
      </c>
      <c r="B63" s="749">
        <v>9.9999999999999995E-7</v>
      </c>
      <c r="C63" s="749">
        <v>-0.19999999999998863</v>
      </c>
      <c r="D63" s="749">
        <f t="shared" si="66"/>
        <v>0.10000049999999432</v>
      </c>
      <c r="E63" s="750">
        <v>0.2</v>
      </c>
      <c r="F63" s="165"/>
      <c r="G63" s="748">
        <v>300</v>
      </c>
      <c r="H63" s="749">
        <v>9.9999999999999995E-7</v>
      </c>
      <c r="I63" s="749">
        <v>-0.19999999999998863</v>
      </c>
      <c r="J63" s="749">
        <f t="shared" si="67"/>
        <v>0.10000049999999432</v>
      </c>
      <c r="K63" s="750">
        <v>0.2</v>
      </c>
      <c r="L63" s="165"/>
      <c r="M63" s="748">
        <v>300</v>
      </c>
      <c r="N63" s="749">
        <v>9.9999999999999995E-7</v>
      </c>
      <c r="O63" s="749">
        <v>-0.19999999999998863</v>
      </c>
      <c r="P63" s="749">
        <f t="shared" si="68"/>
        <v>0.10000049999999432</v>
      </c>
      <c r="Q63" s="750">
        <v>0.2</v>
      </c>
      <c r="R63" s="2"/>
      <c r="W63" s="743">
        <f t="shared" si="63"/>
        <v>5.8010332489182002</v>
      </c>
      <c r="X63" s="743">
        <f t="shared" si="63"/>
        <v>1.9336777496394002E-8</v>
      </c>
      <c r="Y63" s="743">
        <f t="shared" si="63"/>
        <v>-3.8673554992785806E-3</v>
      </c>
      <c r="Z63" s="739">
        <f t="shared" si="69"/>
        <v>1.9336874180280385E-3</v>
      </c>
      <c r="AA63" s="216">
        <v>0.2</v>
      </c>
      <c r="AB63" s="584"/>
      <c r="AC63" s="743">
        <f t="shared" si="64"/>
        <v>5.8010332489182002</v>
      </c>
      <c r="AD63" s="730">
        <f t="shared" si="64"/>
        <v>1.9336777496394002E-8</v>
      </c>
      <c r="AE63" s="730">
        <f t="shared" si="64"/>
        <v>-3.8673554992785806E-3</v>
      </c>
      <c r="AF63" s="739">
        <f t="shared" si="70"/>
        <v>1.9336874180280385E-3</v>
      </c>
      <c r="AG63" s="216">
        <v>0.2</v>
      </c>
      <c r="AH63" s="584"/>
      <c r="AI63" s="743">
        <f t="shared" si="65"/>
        <v>5.8010332489182002</v>
      </c>
      <c r="AJ63" s="730">
        <f t="shared" si="65"/>
        <v>1.9336777496394002E-8</v>
      </c>
      <c r="AK63" s="730">
        <f t="shared" si="65"/>
        <v>-3.8673554992785806E-3</v>
      </c>
      <c r="AL63" s="739">
        <f t="shared" si="71"/>
        <v>1.9336874180280385E-3</v>
      </c>
      <c r="AM63" s="216">
        <v>0.2</v>
      </c>
    </row>
    <row r="64" spans="1:39" x14ac:dyDescent="0.25">
      <c r="A64" s="757">
        <v>900</v>
      </c>
      <c r="B64" s="749">
        <v>9.9999999999999995E-7</v>
      </c>
      <c r="C64" s="749">
        <v>-0.19999999999998863</v>
      </c>
      <c r="D64" s="749">
        <f t="shared" si="66"/>
        <v>0.10000049999999432</v>
      </c>
      <c r="E64" s="750">
        <v>0.2</v>
      </c>
      <c r="F64" s="165"/>
      <c r="G64" s="748">
        <v>900</v>
      </c>
      <c r="H64" s="749">
        <v>9.9999999999999995E-7</v>
      </c>
      <c r="I64" s="749">
        <v>-0.19999999999998863</v>
      </c>
      <c r="J64" s="749">
        <f t="shared" si="67"/>
        <v>0.10000049999999432</v>
      </c>
      <c r="K64" s="750">
        <v>0.2</v>
      </c>
      <c r="L64" s="165"/>
      <c r="M64" s="748">
        <v>900</v>
      </c>
      <c r="N64" s="749">
        <v>9.9999999999999995E-7</v>
      </c>
      <c r="O64" s="749">
        <v>-0.19999999999998863</v>
      </c>
      <c r="P64" s="749">
        <f t="shared" si="68"/>
        <v>0.10000049999999432</v>
      </c>
      <c r="Q64" s="750">
        <v>0.2</v>
      </c>
      <c r="R64" s="2"/>
      <c r="W64" s="743">
        <f t="shared" si="63"/>
        <v>17.403099746754602</v>
      </c>
      <c r="X64" s="743">
        <f t="shared" si="63"/>
        <v>1.9336777496394002E-8</v>
      </c>
      <c r="Y64" s="743">
        <f t="shared" si="63"/>
        <v>-3.8673554992785806E-3</v>
      </c>
      <c r="Z64" s="739">
        <f t="shared" si="69"/>
        <v>1.9336874180280385E-3</v>
      </c>
      <c r="AA64" s="216">
        <v>0.2</v>
      </c>
      <c r="AB64" s="584"/>
      <c r="AC64" s="743">
        <f t="shared" si="64"/>
        <v>17.403099746754602</v>
      </c>
      <c r="AD64" s="730">
        <f t="shared" si="64"/>
        <v>1.9336777496394002E-8</v>
      </c>
      <c r="AE64" s="730">
        <f t="shared" si="64"/>
        <v>-3.8673554992785806E-3</v>
      </c>
      <c r="AF64" s="739">
        <f t="shared" si="70"/>
        <v>1.9336874180280385E-3</v>
      </c>
      <c r="AG64" s="216">
        <v>0.2</v>
      </c>
      <c r="AH64" s="584"/>
      <c r="AI64" s="743">
        <f t="shared" si="65"/>
        <v>17.403099746754602</v>
      </c>
      <c r="AJ64" s="730">
        <f t="shared" si="65"/>
        <v>1.9336777496394002E-8</v>
      </c>
      <c r="AK64" s="730">
        <f t="shared" si="65"/>
        <v>-3.8673554992785806E-3</v>
      </c>
      <c r="AL64" s="739">
        <f t="shared" si="71"/>
        <v>1.9336874180280385E-3</v>
      </c>
      <c r="AM64" s="216">
        <v>0.2</v>
      </c>
    </row>
    <row r="65" spans="1:39" x14ac:dyDescent="0.25">
      <c r="A65" s="703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2"/>
      <c r="W65" s="584"/>
      <c r="X65" s="584"/>
      <c r="Y65" s="584"/>
      <c r="Z65" s="584"/>
      <c r="AA65" s="584"/>
      <c r="AB65" s="584"/>
      <c r="AC65" s="584"/>
      <c r="AD65" s="584"/>
      <c r="AE65" s="584"/>
      <c r="AF65" s="584"/>
      <c r="AG65" s="584"/>
      <c r="AH65" s="584"/>
      <c r="AI65" s="584"/>
      <c r="AJ65" s="584"/>
      <c r="AK65" s="584"/>
      <c r="AL65" s="584"/>
      <c r="AM65" s="584"/>
    </row>
    <row r="66" spans="1:39" x14ac:dyDescent="0.25">
      <c r="A66" s="703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2"/>
      <c r="W66" s="584"/>
      <c r="X66" s="584"/>
      <c r="Y66" s="584"/>
      <c r="Z66" s="584"/>
      <c r="AA66" s="584"/>
      <c r="AB66" s="584"/>
      <c r="AC66" s="584"/>
      <c r="AD66" s="584"/>
      <c r="AE66" s="584"/>
      <c r="AF66" s="584"/>
      <c r="AG66" s="584"/>
      <c r="AH66" s="584"/>
      <c r="AI66" s="584"/>
      <c r="AJ66" s="584"/>
      <c r="AK66" s="584"/>
      <c r="AL66" s="584"/>
      <c r="AM66" s="584"/>
    </row>
    <row r="67" spans="1:39" x14ac:dyDescent="0.25">
      <c r="A67" s="703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2"/>
      <c r="W67" s="584"/>
      <c r="X67" s="584"/>
      <c r="Y67" s="584"/>
      <c r="Z67" s="584"/>
      <c r="AA67" s="584"/>
      <c r="AB67" s="584"/>
      <c r="AC67" s="584"/>
      <c r="AD67" s="584"/>
      <c r="AE67" s="584"/>
      <c r="AF67" s="584"/>
      <c r="AG67" s="584"/>
      <c r="AH67" s="584"/>
      <c r="AI67" s="584"/>
      <c r="AJ67" s="584"/>
      <c r="AK67" s="584"/>
      <c r="AL67" s="584"/>
      <c r="AM67" s="584"/>
    </row>
    <row r="68" spans="1:39" ht="24.75" customHeight="1" x14ac:dyDescent="0.25">
      <c r="A68" s="1680" t="str">
        <f>' Input Data Tekanan Hisap'!A159</f>
        <v>Digital Pressure Meter, Merek : Fluke, Model : DPM4 2G, SN : 4813009</v>
      </c>
      <c r="B68" s="1679"/>
      <c r="C68" s="1679"/>
      <c r="D68" s="1679"/>
      <c r="E68" s="1679"/>
      <c r="F68" s="165"/>
      <c r="G68" s="1678" t="str">
        <f>' Input Data Tekanan Hisap'!A160</f>
        <v>Digital Pressure Meter, Merek : Fluke, Model : DPM4 2G, SN :</v>
      </c>
      <c r="H68" s="1679"/>
      <c r="I68" s="1679"/>
      <c r="J68" s="1679"/>
      <c r="K68" s="1679"/>
      <c r="L68" s="165"/>
      <c r="M68" s="1678" t="str">
        <f>' Input Data Tekanan Hisap'!A161</f>
        <v>Digital Pressure Meter, Merek : Fluke, Model : DPM4 2G, SN :</v>
      </c>
      <c r="N68" s="1679"/>
      <c r="O68" s="1679"/>
      <c r="P68" s="1679"/>
      <c r="Q68" s="1679"/>
      <c r="R68" s="2"/>
      <c r="W68" s="1687" t="str">
        <f>A68</f>
        <v>Digital Pressure Meter, Merek : Fluke, Model : DPM4 2G, SN : 4813009</v>
      </c>
      <c r="X68" s="1688"/>
      <c r="Y68" s="1688"/>
      <c r="Z68" s="1688"/>
      <c r="AA68" s="1688"/>
      <c r="AB68" s="584"/>
      <c r="AC68" s="1687" t="str">
        <f>G68</f>
        <v>Digital Pressure Meter, Merek : Fluke, Model : DPM4 2G, SN :</v>
      </c>
      <c r="AD68" s="1688"/>
      <c r="AE68" s="1688"/>
      <c r="AF68" s="1688"/>
      <c r="AG68" s="1688"/>
      <c r="AH68" s="584"/>
      <c r="AI68" s="1687" t="str">
        <f>M68</f>
        <v>Digital Pressure Meter, Merek : Fluke, Model : DPM4 2G, SN :</v>
      </c>
      <c r="AJ68" s="1688"/>
      <c r="AK68" s="1688"/>
      <c r="AL68" s="1688"/>
      <c r="AM68" s="1688"/>
    </row>
    <row r="69" spans="1:39" ht="24.75" customHeight="1" x14ac:dyDescent="0.25">
      <c r="A69" s="744" t="s">
        <v>567</v>
      </c>
      <c r="B69" s="1673" t="s">
        <v>127</v>
      </c>
      <c r="C69" s="1674"/>
      <c r="D69" s="1675" t="s">
        <v>568</v>
      </c>
      <c r="E69" s="1676" t="s">
        <v>145</v>
      </c>
      <c r="F69" s="165"/>
      <c r="G69" s="745" t="s">
        <v>567</v>
      </c>
      <c r="H69" s="1673" t="s">
        <v>127</v>
      </c>
      <c r="I69" s="1674"/>
      <c r="J69" s="1675" t="s">
        <v>568</v>
      </c>
      <c r="K69" s="1676" t="s">
        <v>145</v>
      </c>
      <c r="L69" s="165"/>
      <c r="M69" s="745" t="s">
        <v>567</v>
      </c>
      <c r="N69" s="1673" t="s">
        <v>127</v>
      </c>
      <c r="O69" s="1674"/>
      <c r="P69" s="1675" t="s">
        <v>568</v>
      </c>
      <c r="Q69" s="1676" t="s">
        <v>145</v>
      </c>
      <c r="R69" s="2"/>
      <c r="W69" s="723" t="s">
        <v>567</v>
      </c>
      <c r="X69" s="1681" t="s">
        <v>127</v>
      </c>
      <c r="Y69" s="1682"/>
      <c r="Z69" s="1683" t="s">
        <v>568</v>
      </c>
      <c r="AA69" s="1685" t="s">
        <v>145</v>
      </c>
      <c r="AB69" s="584"/>
      <c r="AC69" s="723" t="s">
        <v>567</v>
      </c>
      <c r="AD69" s="1681" t="s">
        <v>127</v>
      </c>
      <c r="AE69" s="1682"/>
      <c r="AF69" s="1683" t="s">
        <v>568</v>
      </c>
      <c r="AG69" s="1685" t="s">
        <v>145</v>
      </c>
      <c r="AH69" s="584"/>
      <c r="AI69" s="723" t="s">
        <v>567</v>
      </c>
      <c r="AJ69" s="1681" t="s">
        <v>127</v>
      </c>
      <c r="AK69" s="1682"/>
      <c r="AL69" s="1683" t="s">
        <v>568</v>
      </c>
      <c r="AM69" s="1685" t="s">
        <v>145</v>
      </c>
    </row>
    <row r="70" spans="1:39" x14ac:dyDescent="0.25">
      <c r="A70" s="744" t="s">
        <v>199</v>
      </c>
      <c r="B70" s="219">
        <v>2017</v>
      </c>
      <c r="C70" s="219">
        <v>2018</v>
      </c>
      <c r="D70" s="1671"/>
      <c r="E70" s="1677"/>
      <c r="F70" s="165"/>
      <c r="G70" s="745" t="s">
        <v>199</v>
      </c>
      <c r="H70" s="219">
        <v>2017</v>
      </c>
      <c r="I70" s="219">
        <v>2018</v>
      </c>
      <c r="J70" s="1671"/>
      <c r="K70" s="1677"/>
      <c r="L70" s="165"/>
      <c r="M70" s="745" t="s">
        <v>199</v>
      </c>
      <c r="N70" s="219">
        <v>2017</v>
      </c>
      <c r="O70" s="219">
        <v>2018</v>
      </c>
      <c r="P70" s="1671"/>
      <c r="Q70" s="1677"/>
      <c r="R70" s="2"/>
      <c r="W70" s="723" t="s">
        <v>378</v>
      </c>
      <c r="X70" s="725">
        <v>2017</v>
      </c>
      <c r="Y70" s="725">
        <v>2018</v>
      </c>
      <c r="Z70" s="1684"/>
      <c r="AA70" s="1686"/>
      <c r="AB70" s="584"/>
      <c r="AC70" s="723" t="s">
        <v>378</v>
      </c>
      <c r="AD70" s="725">
        <v>2017</v>
      </c>
      <c r="AE70" s="725">
        <v>2018</v>
      </c>
      <c r="AF70" s="1684"/>
      <c r="AG70" s="1686"/>
      <c r="AH70" s="584"/>
      <c r="AI70" s="723" t="s">
        <v>378</v>
      </c>
      <c r="AJ70" s="725">
        <v>2017</v>
      </c>
      <c r="AK70" s="725">
        <v>2018</v>
      </c>
      <c r="AL70" s="1684"/>
      <c r="AM70" s="1686"/>
    </row>
    <row r="71" spans="1:39" x14ac:dyDescent="0.25">
      <c r="A71" s="757">
        <v>0</v>
      </c>
      <c r="B71" s="749">
        <v>9.9999999999999995E-7</v>
      </c>
      <c r="C71" s="749">
        <v>9.9999999999999995E-7</v>
      </c>
      <c r="D71" s="749">
        <f>0.5*(MAX(B71:C71)-MIN(B71:C71))</f>
        <v>0</v>
      </c>
      <c r="E71" s="750">
        <v>0.1</v>
      </c>
      <c r="F71" s="165"/>
      <c r="G71" s="748">
        <v>0</v>
      </c>
      <c r="H71" s="749">
        <v>9.9999999999999995E-7</v>
      </c>
      <c r="I71" s="749">
        <v>9.9999999999999995E-7</v>
      </c>
      <c r="J71" s="749">
        <f>0.5*(MAX(H71:I71)-MIN(H71:I71))</f>
        <v>0</v>
      </c>
      <c r="K71" s="750">
        <v>0.1</v>
      </c>
      <c r="L71" s="165"/>
      <c r="M71" s="748">
        <v>0</v>
      </c>
      <c r="N71" s="749">
        <v>9.9999999999999995E-7</v>
      </c>
      <c r="O71" s="749">
        <v>9.9999999999999995E-7</v>
      </c>
      <c r="P71" s="749">
        <f>0.5*(MAX(N71:O71)-MIN(N71:O71))</f>
        <v>0</v>
      </c>
      <c r="Q71" s="750">
        <v>0.1</v>
      </c>
      <c r="R71" s="2"/>
      <c r="W71" s="743">
        <f t="shared" ref="W71:Y78" si="72">A71*$T$2</f>
        <v>0</v>
      </c>
      <c r="X71" s="730">
        <f t="shared" si="72"/>
        <v>1.9336777496394002E-8</v>
      </c>
      <c r="Y71" s="730">
        <f t="shared" si="72"/>
        <v>1.9336777496394002E-8</v>
      </c>
      <c r="Z71" s="739">
        <f>0.5*(MAX(X71:Y71)-MIN(X71:Y71))</f>
        <v>0</v>
      </c>
      <c r="AA71" s="216">
        <v>0.1</v>
      </c>
      <c r="AB71" s="584"/>
      <c r="AC71" s="743">
        <f t="shared" ref="AC71:AE78" si="73">G71*$T$2</f>
        <v>0</v>
      </c>
      <c r="AD71" s="730">
        <f t="shared" si="73"/>
        <v>1.9336777496394002E-8</v>
      </c>
      <c r="AE71" s="730">
        <f t="shared" si="73"/>
        <v>1.9336777496394002E-8</v>
      </c>
      <c r="AF71" s="739">
        <f>0.5*(MAX(AD71:AE71)-MIN(AD71:AE71))</f>
        <v>0</v>
      </c>
      <c r="AG71" s="216">
        <v>0.1</v>
      </c>
      <c r="AH71" s="584"/>
      <c r="AI71" s="743">
        <f t="shared" ref="AI71:AK78" si="74">M71*$T$2</f>
        <v>0</v>
      </c>
      <c r="AJ71" s="730">
        <f t="shared" si="74"/>
        <v>1.9336777496394002E-8</v>
      </c>
      <c r="AK71" s="730">
        <f t="shared" si="74"/>
        <v>1.9336777496394002E-8</v>
      </c>
      <c r="AL71" s="739">
        <f>0.5*(MAX(AJ71:AK71)-MIN(AJ71:AK71))</f>
        <v>0</v>
      </c>
      <c r="AM71" s="216">
        <v>0.1</v>
      </c>
    </row>
    <row r="72" spans="1:39" x14ac:dyDescent="0.25">
      <c r="A72" s="757">
        <v>50</v>
      </c>
      <c r="B72" s="749">
        <v>-0.10000000000000142</v>
      </c>
      <c r="C72" s="749">
        <v>-0.10000000000000142</v>
      </c>
      <c r="D72" s="749">
        <f t="shared" ref="D72:D78" si="75">0.5*(MAX(B72:C72)-MIN(B72:C72))</f>
        <v>0</v>
      </c>
      <c r="E72" s="750">
        <v>0.2</v>
      </c>
      <c r="F72" s="165"/>
      <c r="G72" s="748">
        <v>50</v>
      </c>
      <c r="H72" s="749">
        <v>-0.10000000000000142</v>
      </c>
      <c r="I72" s="749">
        <v>-0.10000000000000142</v>
      </c>
      <c r="J72" s="749">
        <f t="shared" ref="J72:J78" si="76">0.5*(MAX(H72:I72)-MIN(H72:I72))</f>
        <v>0</v>
      </c>
      <c r="K72" s="750">
        <v>0.2</v>
      </c>
      <c r="L72" s="165"/>
      <c r="M72" s="748">
        <v>50</v>
      </c>
      <c r="N72" s="749">
        <v>-0.10000000000000142</v>
      </c>
      <c r="O72" s="749">
        <v>-0.10000000000000142</v>
      </c>
      <c r="P72" s="749">
        <f t="shared" ref="P72:P78" si="77">0.5*(MAX(N72:O72)-MIN(N72:O72))</f>
        <v>0</v>
      </c>
      <c r="Q72" s="750">
        <v>0.2</v>
      </c>
      <c r="R72" s="2"/>
      <c r="W72" s="743">
        <f t="shared" si="72"/>
        <v>0.9668388748197001</v>
      </c>
      <c r="X72" s="730">
        <f t="shared" si="72"/>
        <v>-1.9336777496394278E-3</v>
      </c>
      <c r="Y72" s="730">
        <f t="shared" si="72"/>
        <v>-1.9336777496394278E-3</v>
      </c>
      <c r="Z72" s="739">
        <f t="shared" ref="Z72:Z78" si="78">0.5*(MAX(X72:Y72)-MIN(X72:Y72))</f>
        <v>0</v>
      </c>
      <c r="AA72" s="216">
        <v>0.2</v>
      </c>
      <c r="AB72" s="584"/>
      <c r="AC72" s="743">
        <f t="shared" si="73"/>
        <v>0.9668388748197001</v>
      </c>
      <c r="AD72" s="730">
        <f t="shared" si="73"/>
        <v>-1.9336777496394278E-3</v>
      </c>
      <c r="AE72" s="730">
        <f t="shared" si="73"/>
        <v>-1.9336777496394278E-3</v>
      </c>
      <c r="AF72" s="739">
        <f t="shared" ref="AF72:AF78" si="79">0.5*(MAX(AD72:AE72)-MIN(AD72:AE72))</f>
        <v>0</v>
      </c>
      <c r="AG72" s="216">
        <v>0.2</v>
      </c>
      <c r="AH72" s="584"/>
      <c r="AI72" s="743">
        <f t="shared" si="74"/>
        <v>0.9668388748197001</v>
      </c>
      <c r="AJ72" s="730">
        <f t="shared" si="74"/>
        <v>-1.9336777496394278E-3</v>
      </c>
      <c r="AK72" s="730">
        <f t="shared" si="74"/>
        <v>-1.9336777496394278E-3</v>
      </c>
      <c r="AL72" s="739">
        <f t="shared" ref="AL72:AL78" si="80">0.5*(MAX(AJ72:AK72)-MIN(AJ72:AK72))</f>
        <v>0</v>
      </c>
      <c r="AM72" s="216">
        <v>0.2</v>
      </c>
    </row>
    <row r="73" spans="1:39" x14ac:dyDescent="0.25">
      <c r="A73" s="757">
        <v>100</v>
      </c>
      <c r="B73" s="749">
        <v>-9.9999999999994316E-2</v>
      </c>
      <c r="C73" s="749">
        <v>-0.20000000000000284</v>
      </c>
      <c r="D73" s="749">
        <f t="shared" si="75"/>
        <v>5.0000000000004263E-2</v>
      </c>
      <c r="E73" s="750">
        <v>0.2</v>
      </c>
      <c r="F73" s="165"/>
      <c r="G73" s="748">
        <v>100</v>
      </c>
      <c r="H73" s="749">
        <v>-9.9999999999994316E-2</v>
      </c>
      <c r="I73" s="749">
        <v>-0.20000000000000284</v>
      </c>
      <c r="J73" s="749">
        <f t="shared" si="76"/>
        <v>5.0000000000004263E-2</v>
      </c>
      <c r="K73" s="750">
        <v>0.2</v>
      </c>
      <c r="L73" s="165"/>
      <c r="M73" s="748">
        <v>100</v>
      </c>
      <c r="N73" s="749">
        <v>-9.9999999999994316E-2</v>
      </c>
      <c r="O73" s="749">
        <v>-0.20000000000000284</v>
      </c>
      <c r="P73" s="749">
        <f t="shared" si="77"/>
        <v>5.0000000000004263E-2</v>
      </c>
      <c r="Q73" s="750">
        <v>0.2</v>
      </c>
      <c r="R73" s="2"/>
      <c r="W73" s="743">
        <f t="shared" si="72"/>
        <v>1.9336777496394002</v>
      </c>
      <c r="X73" s="730">
        <f t="shared" si="72"/>
        <v>-1.9336777496392903E-3</v>
      </c>
      <c r="Y73" s="730">
        <f t="shared" si="72"/>
        <v>-3.8673554992788555E-3</v>
      </c>
      <c r="Z73" s="739">
        <f t="shared" si="78"/>
        <v>9.6683887481978262E-4</v>
      </c>
      <c r="AA73" s="216">
        <v>0.2</v>
      </c>
      <c r="AB73" s="584"/>
      <c r="AC73" s="743">
        <f t="shared" si="73"/>
        <v>1.9336777496394002</v>
      </c>
      <c r="AD73" s="730">
        <f t="shared" si="73"/>
        <v>-1.9336777496392903E-3</v>
      </c>
      <c r="AE73" s="730">
        <f t="shared" si="73"/>
        <v>-3.8673554992788555E-3</v>
      </c>
      <c r="AF73" s="739">
        <f t="shared" si="79"/>
        <v>9.6683887481978262E-4</v>
      </c>
      <c r="AG73" s="216">
        <v>0.2</v>
      </c>
      <c r="AH73" s="584"/>
      <c r="AI73" s="743">
        <f t="shared" si="74"/>
        <v>1.9336777496394002</v>
      </c>
      <c r="AJ73" s="730">
        <f t="shared" si="74"/>
        <v>-1.9336777496392903E-3</v>
      </c>
      <c r="AK73" s="730">
        <f t="shared" si="74"/>
        <v>-3.8673554992788555E-3</v>
      </c>
      <c r="AL73" s="739">
        <f t="shared" si="80"/>
        <v>9.6683887481978262E-4</v>
      </c>
      <c r="AM73" s="216">
        <v>0.2</v>
      </c>
    </row>
    <row r="74" spans="1:39" x14ac:dyDescent="0.25">
      <c r="A74" s="757">
        <v>150</v>
      </c>
      <c r="B74" s="749">
        <v>-9.9999999999994316E-2</v>
      </c>
      <c r="C74" s="749">
        <v>-0.19999999999998863</v>
      </c>
      <c r="D74" s="749">
        <f t="shared" si="75"/>
        <v>4.9999999999997158E-2</v>
      </c>
      <c r="E74" s="750">
        <v>0.2</v>
      </c>
      <c r="F74" s="165"/>
      <c r="G74" s="748">
        <v>150</v>
      </c>
      <c r="H74" s="749">
        <v>-9.9999999999994316E-2</v>
      </c>
      <c r="I74" s="749">
        <v>-0.19999999999998863</v>
      </c>
      <c r="J74" s="749">
        <f t="shared" si="76"/>
        <v>4.9999999999997158E-2</v>
      </c>
      <c r="K74" s="750">
        <v>0.2</v>
      </c>
      <c r="L74" s="165"/>
      <c r="M74" s="748">
        <v>150</v>
      </c>
      <c r="N74" s="749">
        <v>-9.9999999999994316E-2</v>
      </c>
      <c r="O74" s="749">
        <v>-0.19999999999998863</v>
      </c>
      <c r="P74" s="749">
        <f t="shared" si="77"/>
        <v>4.9999999999997158E-2</v>
      </c>
      <c r="Q74" s="750">
        <v>0.2</v>
      </c>
      <c r="R74" s="2"/>
      <c r="W74" s="743">
        <f t="shared" si="72"/>
        <v>2.9005166244591001</v>
      </c>
      <c r="X74" s="730">
        <f t="shared" si="72"/>
        <v>-1.9336777496392903E-3</v>
      </c>
      <c r="Y74" s="730">
        <f t="shared" si="72"/>
        <v>-3.8673554992785806E-3</v>
      </c>
      <c r="Z74" s="739">
        <f t="shared" si="78"/>
        <v>9.6683887481964514E-4</v>
      </c>
      <c r="AA74" s="216">
        <v>0.2</v>
      </c>
      <c r="AB74" s="584"/>
      <c r="AC74" s="743">
        <f t="shared" si="73"/>
        <v>2.9005166244591001</v>
      </c>
      <c r="AD74" s="730">
        <f t="shared" si="73"/>
        <v>-1.9336777496392903E-3</v>
      </c>
      <c r="AE74" s="730">
        <f t="shared" si="73"/>
        <v>-3.8673554992785806E-3</v>
      </c>
      <c r="AF74" s="739">
        <f t="shared" si="79"/>
        <v>9.6683887481964514E-4</v>
      </c>
      <c r="AG74" s="216">
        <v>0.2</v>
      </c>
      <c r="AH74" s="584"/>
      <c r="AI74" s="743">
        <f t="shared" si="74"/>
        <v>2.9005166244591001</v>
      </c>
      <c r="AJ74" s="730">
        <f t="shared" si="74"/>
        <v>-1.9336777496392903E-3</v>
      </c>
      <c r="AK74" s="730">
        <f t="shared" si="74"/>
        <v>-3.8673554992785806E-3</v>
      </c>
      <c r="AL74" s="739">
        <f t="shared" si="80"/>
        <v>9.6683887481964514E-4</v>
      </c>
      <c r="AM74" s="216">
        <v>0.2</v>
      </c>
    </row>
    <row r="75" spans="1:39" x14ac:dyDescent="0.25">
      <c r="A75" s="757">
        <v>200</v>
      </c>
      <c r="B75" s="749">
        <v>-9.9999999999994316E-2</v>
      </c>
      <c r="C75" s="749">
        <v>-0.19999999999998863</v>
      </c>
      <c r="D75" s="749">
        <f t="shared" si="75"/>
        <v>4.9999999999997158E-2</v>
      </c>
      <c r="E75" s="750">
        <v>0.2</v>
      </c>
      <c r="F75" s="165"/>
      <c r="G75" s="748">
        <v>200</v>
      </c>
      <c r="H75" s="749">
        <v>-9.9999999999994316E-2</v>
      </c>
      <c r="I75" s="749">
        <v>-0.19999999999998863</v>
      </c>
      <c r="J75" s="749">
        <f t="shared" si="76"/>
        <v>4.9999999999997158E-2</v>
      </c>
      <c r="K75" s="750">
        <v>0.2</v>
      </c>
      <c r="L75" s="165"/>
      <c r="M75" s="748">
        <v>200</v>
      </c>
      <c r="N75" s="749">
        <v>-9.9999999999994316E-2</v>
      </c>
      <c r="O75" s="749">
        <v>-0.19999999999998863</v>
      </c>
      <c r="P75" s="749">
        <f t="shared" si="77"/>
        <v>4.9999999999997158E-2</v>
      </c>
      <c r="Q75" s="750">
        <v>0.2</v>
      </c>
      <c r="R75" s="2"/>
      <c r="W75" s="743">
        <f t="shared" si="72"/>
        <v>3.8673554992788004</v>
      </c>
      <c r="X75" s="730">
        <f t="shared" si="72"/>
        <v>-1.9336777496392903E-3</v>
      </c>
      <c r="Y75" s="730">
        <f t="shared" si="72"/>
        <v>-3.8673554992785806E-3</v>
      </c>
      <c r="Z75" s="739">
        <f t="shared" si="78"/>
        <v>9.6683887481964514E-4</v>
      </c>
      <c r="AA75" s="216">
        <v>0.2</v>
      </c>
      <c r="AB75" s="584"/>
      <c r="AC75" s="743">
        <f t="shared" si="73"/>
        <v>3.8673554992788004</v>
      </c>
      <c r="AD75" s="730">
        <f t="shared" si="73"/>
        <v>-1.9336777496392903E-3</v>
      </c>
      <c r="AE75" s="730">
        <f t="shared" si="73"/>
        <v>-3.8673554992785806E-3</v>
      </c>
      <c r="AF75" s="739">
        <f t="shared" si="79"/>
        <v>9.6683887481964514E-4</v>
      </c>
      <c r="AG75" s="216">
        <v>0.2</v>
      </c>
      <c r="AH75" s="584"/>
      <c r="AI75" s="743">
        <f t="shared" si="74"/>
        <v>3.8673554992788004</v>
      </c>
      <c r="AJ75" s="730">
        <f t="shared" si="74"/>
        <v>-1.9336777496392903E-3</v>
      </c>
      <c r="AK75" s="730">
        <f t="shared" si="74"/>
        <v>-3.8673554992785806E-3</v>
      </c>
      <c r="AL75" s="739">
        <f t="shared" si="80"/>
        <v>9.6683887481964514E-4</v>
      </c>
      <c r="AM75" s="216">
        <v>0.2</v>
      </c>
    </row>
    <row r="76" spans="1:39" x14ac:dyDescent="0.25">
      <c r="A76" s="757">
        <v>250</v>
      </c>
      <c r="B76" s="749">
        <v>-9.9999999999994316E-2</v>
      </c>
      <c r="C76" s="749">
        <v>-0.19999999999998863</v>
      </c>
      <c r="D76" s="749">
        <f t="shared" si="75"/>
        <v>4.9999999999997158E-2</v>
      </c>
      <c r="E76" s="750">
        <v>0.2</v>
      </c>
      <c r="F76" s="165"/>
      <c r="G76" s="748">
        <v>250</v>
      </c>
      <c r="H76" s="749">
        <v>-9.9999999999994316E-2</v>
      </c>
      <c r="I76" s="749">
        <v>-0.19999999999998863</v>
      </c>
      <c r="J76" s="749">
        <f t="shared" si="76"/>
        <v>4.9999999999997158E-2</v>
      </c>
      <c r="K76" s="750">
        <v>0.2</v>
      </c>
      <c r="L76" s="165"/>
      <c r="M76" s="748">
        <v>250</v>
      </c>
      <c r="N76" s="749">
        <v>-9.9999999999994316E-2</v>
      </c>
      <c r="O76" s="749">
        <v>-0.19999999999998863</v>
      </c>
      <c r="P76" s="749">
        <f t="shared" si="77"/>
        <v>4.9999999999997158E-2</v>
      </c>
      <c r="Q76" s="750">
        <v>0.2</v>
      </c>
      <c r="R76" s="2"/>
      <c r="W76" s="743">
        <f t="shared" si="72"/>
        <v>4.8341943740985007</v>
      </c>
      <c r="X76" s="730">
        <f t="shared" si="72"/>
        <v>-1.9336777496392903E-3</v>
      </c>
      <c r="Y76" s="730">
        <f t="shared" si="72"/>
        <v>-3.8673554992785806E-3</v>
      </c>
      <c r="Z76" s="739">
        <f t="shared" si="78"/>
        <v>9.6683887481964514E-4</v>
      </c>
      <c r="AA76" s="216">
        <v>0.2</v>
      </c>
      <c r="AB76" s="584"/>
      <c r="AC76" s="743">
        <f t="shared" si="73"/>
        <v>4.8341943740985007</v>
      </c>
      <c r="AD76" s="730">
        <f t="shared" si="73"/>
        <v>-1.9336777496392903E-3</v>
      </c>
      <c r="AE76" s="730">
        <f t="shared" si="73"/>
        <v>-3.8673554992785806E-3</v>
      </c>
      <c r="AF76" s="739">
        <f t="shared" si="79"/>
        <v>9.6683887481964514E-4</v>
      </c>
      <c r="AG76" s="216">
        <v>0.2</v>
      </c>
      <c r="AH76" s="584"/>
      <c r="AI76" s="743">
        <f t="shared" si="74"/>
        <v>4.8341943740985007</v>
      </c>
      <c r="AJ76" s="730">
        <f t="shared" si="74"/>
        <v>-1.9336777496392903E-3</v>
      </c>
      <c r="AK76" s="730">
        <f t="shared" si="74"/>
        <v>-3.8673554992785806E-3</v>
      </c>
      <c r="AL76" s="739">
        <f t="shared" si="80"/>
        <v>9.6683887481964514E-4</v>
      </c>
      <c r="AM76" s="216">
        <v>0.2</v>
      </c>
    </row>
    <row r="77" spans="1:39" x14ac:dyDescent="0.25">
      <c r="A77" s="757">
        <v>300</v>
      </c>
      <c r="B77" s="749">
        <v>9.9999999999999995E-7</v>
      </c>
      <c r="C77" s="749">
        <v>-0.19999999999998863</v>
      </c>
      <c r="D77" s="749">
        <f t="shared" si="75"/>
        <v>0.10000049999999432</v>
      </c>
      <c r="E77" s="750">
        <v>0.2</v>
      </c>
      <c r="F77" s="165"/>
      <c r="G77" s="748">
        <v>300</v>
      </c>
      <c r="H77" s="749">
        <v>9.9999999999999995E-7</v>
      </c>
      <c r="I77" s="749">
        <v>-0.19999999999998863</v>
      </c>
      <c r="J77" s="749">
        <f t="shared" si="76"/>
        <v>0.10000049999999432</v>
      </c>
      <c r="K77" s="750">
        <v>0.2</v>
      </c>
      <c r="L77" s="165"/>
      <c r="M77" s="748">
        <v>300</v>
      </c>
      <c r="N77" s="749">
        <v>9.9999999999999995E-7</v>
      </c>
      <c r="O77" s="749">
        <v>-0.19999999999998863</v>
      </c>
      <c r="P77" s="749">
        <f t="shared" si="77"/>
        <v>0.10000049999999432</v>
      </c>
      <c r="Q77" s="750">
        <v>0.2</v>
      </c>
      <c r="R77" s="2"/>
      <c r="W77" s="743">
        <f t="shared" si="72"/>
        <v>5.8010332489182002</v>
      </c>
      <c r="X77" s="730">
        <f t="shared" si="72"/>
        <v>1.9336777496394002E-8</v>
      </c>
      <c r="Y77" s="730">
        <f t="shared" si="72"/>
        <v>-3.8673554992785806E-3</v>
      </c>
      <c r="Z77" s="739">
        <f t="shared" si="78"/>
        <v>1.9336874180280385E-3</v>
      </c>
      <c r="AA77" s="216">
        <v>0.2</v>
      </c>
      <c r="AB77" s="584"/>
      <c r="AC77" s="743">
        <f t="shared" si="73"/>
        <v>5.8010332489182002</v>
      </c>
      <c r="AD77" s="730">
        <f t="shared" si="73"/>
        <v>1.9336777496394002E-8</v>
      </c>
      <c r="AE77" s="730">
        <f t="shared" si="73"/>
        <v>-3.8673554992785806E-3</v>
      </c>
      <c r="AF77" s="739">
        <f t="shared" si="79"/>
        <v>1.9336874180280385E-3</v>
      </c>
      <c r="AG77" s="216">
        <v>0.2</v>
      </c>
      <c r="AH77" s="584"/>
      <c r="AI77" s="743">
        <f t="shared" si="74"/>
        <v>5.8010332489182002</v>
      </c>
      <c r="AJ77" s="730">
        <f t="shared" si="74"/>
        <v>1.9336777496394002E-8</v>
      </c>
      <c r="AK77" s="730">
        <f t="shared" si="74"/>
        <v>-3.8673554992785806E-3</v>
      </c>
      <c r="AL77" s="739">
        <f t="shared" si="80"/>
        <v>1.9336874180280385E-3</v>
      </c>
      <c r="AM77" s="216">
        <v>0.2</v>
      </c>
    </row>
    <row r="78" spans="1:39" x14ac:dyDescent="0.25">
      <c r="A78" s="757">
        <v>900</v>
      </c>
      <c r="B78" s="749">
        <v>9.9999999999999995E-7</v>
      </c>
      <c r="C78" s="749">
        <v>-0.19999999999998863</v>
      </c>
      <c r="D78" s="749">
        <f t="shared" si="75"/>
        <v>0.10000049999999432</v>
      </c>
      <c r="E78" s="750">
        <v>0.2</v>
      </c>
      <c r="F78" s="165"/>
      <c r="G78" s="748">
        <v>900</v>
      </c>
      <c r="H78" s="749">
        <v>9.9999999999999995E-7</v>
      </c>
      <c r="I78" s="749">
        <v>-0.19999999999998863</v>
      </c>
      <c r="J78" s="749">
        <f t="shared" si="76"/>
        <v>0.10000049999999432</v>
      </c>
      <c r="K78" s="750">
        <v>0.2</v>
      </c>
      <c r="L78" s="165"/>
      <c r="M78" s="748">
        <v>900</v>
      </c>
      <c r="N78" s="749">
        <v>9.9999999999999995E-7</v>
      </c>
      <c r="O78" s="749">
        <v>-0.19999999999998863</v>
      </c>
      <c r="P78" s="749">
        <f t="shared" si="77"/>
        <v>0.10000049999999432</v>
      </c>
      <c r="Q78" s="750">
        <v>0.2</v>
      </c>
      <c r="R78" s="2"/>
      <c r="W78" s="743">
        <f t="shared" si="72"/>
        <v>17.403099746754602</v>
      </c>
      <c r="X78" s="730">
        <f t="shared" si="72"/>
        <v>1.9336777496394002E-8</v>
      </c>
      <c r="Y78" s="730">
        <f t="shared" si="72"/>
        <v>-3.8673554992785806E-3</v>
      </c>
      <c r="Z78" s="739">
        <f t="shared" si="78"/>
        <v>1.9336874180280385E-3</v>
      </c>
      <c r="AA78" s="216">
        <v>0.2</v>
      </c>
      <c r="AB78" s="584"/>
      <c r="AC78" s="743">
        <f t="shared" si="73"/>
        <v>17.403099746754602</v>
      </c>
      <c r="AD78" s="730">
        <f t="shared" si="73"/>
        <v>1.9336777496394002E-8</v>
      </c>
      <c r="AE78" s="730">
        <f t="shared" si="73"/>
        <v>-3.8673554992785806E-3</v>
      </c>
      <c r="AF78" s="739">
        <f t="shared" si="79"/>
        <v>1.9336874180280385E-3</v>
      </c>
      <c r="AG78" s="216">
        <v>0.2</v>
      </c>
      <c r="AH78" s="584"/>
      <c r="AI78" s="743">
        <f t="shared" si="74"/>
        <v>17.403099746754602</v>
      </c>
      <c r="AJ78" s="730">
        <f t="shared" si="74"/>
        <v>1.9336777496394002E-8</v>
      </c>
      <c r="AK78" s="730">
        <f t="shared" si="74"/>
        <v>-3.8673554992785806E-3</v>
      </c>
      <c r="AL78" s="739">
        <f t="shared" si="80"/>
        <v>1.9336874180280385E-3</v>
      </c>
      <c r="AM78" s="216">
        <v>0.2</v>
      </c>
    </row>
    <row r="79" spans="1:39" x14ac:dyDescent="0.25">
      <c r="A79" s="703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2"/>
      <c r="W79" s="584"/>
      <c r="X79" s="584"/>
      <c r="Y79" s="584"/>
      <c r="Z79" s="584"/>
      <c r="AA79" s="584"/>
      <c r="AB79" s="584"/>
      <c r="AC79" s="584"/>
      <c r="AD79" s="584"/>
      <c r="AE79" s="584"/>
      <c r="AF79" s="584"/>
      <c r="AG79" s="584"/>
      <c r="AH79" s="584"/>
      <c r="AI79" s="584"/>
      <c r="AJ79" s="584"/>
      <c r="AK79" s="584"/>
      <c r="AL79" s="584"/>
      <c r="AM79" s="584"/>
    </row>
    <row r="80" spans="1:39" x14ac:dyDescent="0.25">
      <c r="A80" s="703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2"/>
      <c r="W80" s="584"/>
      <c r="X80" s="584"/>
      <c r="Y80" s="584"/>
      <c r="Z80" s="584"/>
      <c r="AA80" s="584"/>
      <c r="AB80" s="584"/>
      <c r="AC80" s="584"/>
      <c r="AD80" s="584"/>
      <c r="AE80" s="584"/>
      <c r="AF80" s="584"/>
      <c r="AG80" s="584"/>
      <c r="AH80" s="584"/>
      <c r="AI80" s="584"/>
      <c r="AJ80" s="584"/>
      <c r="AK80" s="584"/>
      <c r="AL80" s="584"/>
      <c r="AM80" s="584"/>
    </row>
    <row r="81" spans="1:39" ht="25.5" customHeight="1" x14ac:dyDescent="0.25">
      <c r="A81" s="1680" t="str">
        <f>' Input Data Tekanan Hisap'!A162</f>
        <v>Digital Pressure Meter, Merek : Fluke, Model : DPM4 2H, SN :</v>
      </c>
      <c r="B81" s="1679"/>
      <c r="C81" s="1679"/>
      <c r="D81" s="1679"/>
      <c r="E81" s="1679"/>
      <c r="F81" s="165"/>
      <c r="G81" s="1678" t="str">
        <f>' Input Data Tekanan Hisap'!A163</f>
        <v>Digital Pressure Meter, Merek : Fluke, Model : DPM4 2H, SN : 1</v>
      </c>
      <c r="H81" s="1679"/>
      <c r="I81" s="1679"/>
      <c r="J81" s="1679"/>
      <c r="K81" s="1679"/>
      <c r="L81" s="165"/>
      <c r="M81" s="1678" t="str">
        <f>' Input Data Tekanan Hisap'!A164</f>
        <v>Digital Pressure Meter, Merek : Fluke, Model : DPM4 2H, SN : 2</v>
      </c>
      <c r="N81" s="1679"/>
      <c r="O81" s="1679"/>
      <c r="P81" s="1679"/>
      <c r="Q81" s="1679"/>
      <c r="R81" s="2"/>
      <c r="W81" s="1661" t="str">
        <f>A81</f>
        <v>Digital Pressure Meter, Merek : Fluke, Model : DPM4 2H, SN :</v>
      </c>
      <c r="X81" s="1662"/>
      <c r="Y81" s="1662"/>
      <c r="Z81" s="1662"/>
      <c r="AA81" s="1663"/>
      <c r="AB81" s="584"/>
      <c r="AC81" s="1687" t="str">
        <f>G81</f>
        <v>Digital Pressure Meter, Merek : Fluke, Model : DPM4 2H, SN : 1</v>
      </c>
      <c r="AD81" s="1688"/>
      <c r="AE81" s="1688"/>
      <c r="AF81" s="1688"/>
      <c r="AG81" s="1688"/>
      <c r="AH81" s="584"/>
      <c r="AI81" s="1687" t="str">
        <f>M81</f>
        <v>Digital Pressure Meter, Merek : Fluke, Model : DPM4 2H, SN : 2</v>
      </c>
      <c r="AJ81" s="1688"/>
      <c r="AK81" s="1688"/>
      <c r="AL81" s="1688"/>
      <c r="AM81" s="1688"/>
    </row>
    <row r="82" spans="1:39" ht="25.5" customHeight="1" x14ac:dyDescent="0.25">
      <c r="A82" s="744" t="s">
        <v>567</v>
      </c>
      <c r="B82" s="1673" t="s">
        <v>127</v>
      </c>
      <c r="C82" s="1674"/>
      <c r="D82" s="1675" t="s">
        <v>568</v>
      </c>
      <c r="E82" s="1676" t="s">
        <v>145</v>
      </c>
      <c r="F82" s="165"/>
      <c r="G82" s="745" t="s">
        <v>567</v>
      </c>
      <c r="H82" s="1673" t="s">
        <v>127</v>
      </c>
      <c r="I82" s="1674"/>
      <c r="J82" s="1675" t="s">
        <v>568</v>
      </c>
      <c r="K82" s="1676" t="s">
        <v>145</v>
      </c>
      <c r="L82" s="165"/>
      <c r="M82" s="745" t="s">
        <v>567</v>
      </c>
      <c r="N82" s="1673" t="s">
        <v>127</v>
      </c>
      <c r="O82" s="1674"/>
      <c r="P82" s="1675" t="s">
        <v>568</v>
      </c>
      <c r="Q82" s="1676" t="s">
        <v>145</v>
      </c>
      <c r="R82" s="2"/>
      <c r="W82" s="723" t="s">
        <v>567</v>
      </c>
      <c r="X82" s="735" t="s">
        <v>127</v>
      </c>
      <c r="Y82" s="736"/>
      <c r="Z82" s="737" t="s">
        <v>568</v>
      </c>
      <c r="AA82" s="713" t="s">
        <v>145</v>
      </c>
      <c r="AB82" s="584"/>
      <c r="AC82" s="723" t="s">
        <v>567</v>
      </c>
      <c r="AD82" s="1681" t="s">
        <v>127</v>
      </c>
      <c r="AE82" s="1682"/>
      <c r="AF82" s="1683" t="s">
        <v>568</v>
      </c>
      <c r="AG82" s="1685" t="s">
        <v>145</v>
      </c>
      <c r="AH82" s="584"/>
      <c r="AI82" s="723" t="s">
        <v>567</v>
      </c>
      <c r="AJ82" s="1681" t="s">
        <v>127</v>
      </c>
      <c r="AK82" s="1682"/>
      <c r="AL82" s="1683" t="s">
        <v>568</v>
      </c>
      <c r="AM82" s="1685" t="s">
        <v>145</v>
      </c>
    </row>
    <row r="83" spans="1:39" x14ac:dyDescent="0.25">
      <c r="A83" s="744" t="s">
        <v>199</v>
      </c>
      <c r="B83" s="219">
        <v>2017</v>
      </c>
      <c r="C83" s="219">
        <v>2018</v>
      </c>
      <c r="D83" s="1671"/>
      <c r="E83" s="1677"/>
      <c r="F83" s="165"/>
      <c r="G83" s="745" t="s">
        <v>199</v>
      </c>
      <c r="H83" s="219">
        <v>2017</v>
      </c>
      <c r="I83" s="219">
        <v>2018</v>
      </c>
      <c r="J83" s="1671"/>
      <c r="K83" s="1677"/>
      <c r="L83" s="165"/>
      <c r="M83" s="745" t="s">
        <v>199</v>
      </c>
      <c r="N83" s="219">
        <v>2017</v>
      </c>
      <c r="O83" s="219">
        <v>2018</v>
      </c>
      <c r="P83" s="1671"/>
      <c r="Q83" s="1677"/>
      <c r="R83" s="2"/>
      <c r="W83" s="723" t="s">
        <v>378</v>
      </c>
      <c r="X83" s="725">
        <v>2017</v>
      </c>
      <c r="Y83" s="725">
        <v>2018</v>
      </c>
      <c r="Z83" s="738"/>
      <c r="AA83" s="714"/>
      <c r="AB83" s="584"/>
      <c r="AC83" s="723" t="s">
        <v>378</v>
      </c>
      <c r="AD83" s="725">
        <v>2017</v>
      </c>
      <c r="AE83" s="725">
        <v>2018</v>
      </c>
      <c r="AF83" s="1684"/>
      <c r="AG83" s="1686"/>
      <c r="AH83" s="584"/>
      <c r="AI83" s="723" t="s">
        <v>378</v>
      </c>
      <c r="AJ83" s="725">
        <v>2017</v>
      </c>
      <c r="AK83" s="725">
        <v>2018</v>
      </c>
      <c r="AL83" s="1684"/>
      <c r="AM83" s="1686"/>
    </row>
    <row r="84" spans="1:39" x14ac:dyDescent="0.25">
      <c r="A84" s="757">
        <v>0</v>
      </c>
      <c r="B84" s="749">
        <v>9.9999999999999995E-7</v>
      </c>
      <c r="C84" s="749">
        <v>9.9999999999999995E-7</v>
      </c>
      <c r="D84" s="749">
        <f>0.5*(MAX(B84:C84)-MIN(B84:C84))</f>
        <v>0</v>
      </c>
      <c r="E84" s="750">
        <v>0.1</v>
      </c>
      <c r="F84" s="165"/>
      <c r="G84" s="748">
        <v>0</v>
      </c>
      <c r="H84" s="749">
        <v>9.9999999999999995E-7</v>
      </c>
      <c r="I84" s="749">
        <v>9.9999999999999995E-7</v>
      </c>
      <c r="J84" s="749">
        <f>0.5*(MAX(H84:I84)-MIN(H84:I84))</f>
        <v>0</v>
      </c>
      <c r="K84" s="750">
        <v>0.1</v>
      </c>
      <c r="L84" s="165"/>
      <c r="M84" s="748">
        <v>0</v>
      </c>
      <c r="N84" s="749">
        <v>9.9999999999999995E-7</v>
      </c>
      <c r="O84" s="749">
        <v>9.9999999999999995E-7</v>
      </c>
      <c r="P84" s="749">
        <f>0.5*(MAX(N84:O84)-MIN(N84:O84))</f>
        <v>0</v>
      </c>
      <c r="Q84" s="750">
        <v>0.1</v>
      </c>
      <c r="R84" s="2"/>
      <c r="W84" s="743">
        <f t="shared" ref="W84:Y91" si="81">A84*$T$2</f>
        <v>0</v>
      </c>
      <c r="X84" s="730">
        <f t="shared" si="81"/>
        <v>1.9336777496394002E-8</v>
      </c>
      <c r="Y84" s="730">
        <f t="shared" si="81"/>
        <v>1.9336777496394002E-8</v>
      </c>
      <c r="Z84" s="739">
        <f>0.5*(MAX(X84:Y84)-MIN(X84:Y84))</f>
        <v>0</v>
      </c>
      <c r="AA84" s="216">
        <v>0.1</v>
      </c>
      <c r="AB84" s="584"/>
      <c r="AC84" s="743">
        <f t="shared" ref="AC84:AE91" si="82">G84*$T$2</f>
        <v>0</v>
      </c>
      <c r="AD84" s="730">
        <f t="shared" si="82"/>
        <v>1.9336777496394002E-8</v>
      </c>
      <c r="AE84" s="730">
        <f t="shared" si="82"/>
        <v>1.9336777496394002E-8</v>
      </c>
      <c r="AF84" s="739">
        <f>0.5*(MAX(AD84:AE84)-MIN(AD84:AE84))</f>
        <v>0</v>
      </c>
      <c r="AG84" s="216">
        <v>0.1</v>
      </c>
      <c r="AH84" s="584"/>
      <c r="AI84" s="743">
        <f t="shared" ref="AI84:AK91" si="83">M84*$T$2</f>
        <v>0</v>
      </c>
      <c r="AJ84" s="730">
        <f t="shared" si="83"/>
        <v>1.9336777496394002E-8</v>
      </c>
      <c r="AK84" s="730">
        <f t="shared" si="83"/>
        <v>1.9336777496394002E-8</v>
      </c>
      <c r="AL84" s="739">
        <f>0.5*(MAX(AJ84:AK84)-MIN(AJ84:AK84))</f>
        <v>0</v>
      </c>
      <c r="AM84" s="216">
        <v>0.1</v>
      </c>
    </row>
    <row r="85" spans="1:39" x14ac:dyDescent="0.25">
      <c r="A85" s="757">
        <v>50</v>
      </c>
      <c r="B85" s="749">
        <v>-0.10000000000000142</v>
      </c>
      <c r="C85" s="749">
        <v>-0.10000000000000142</v>
      </c>
      <c r="D85" s="749">
        <f t="shared" ref="D85:D91" si="84">0.5*(MAX(B85:C85)-MIN(B85:C85))</f>
        <v>0</v>
      </c>
      <c r="E85" s="750">
        <v>0.2</v>
      </c>
      <c r="F85" s="165"/>
      <c r="G85" s="748">
        <v>50</v>
      </c>
      <c r="H85" s="749">
        <v>-0.10000000000000142</v>
      </c>
      <c r="I85" s="749">
        <v>-0.10000000000000142</v>
      </c>
      <c r="J85" s="749">
        <f t="shared" ref="J85:J91" si="85">0.5*(MAX(H85:I85)-MIN(H85:I85))</f>
        <v>0</v>
      </c>
      <c r="K85" s="750">
        <v>0.2</v>
      </c>
      <c r="L85" s="165"/>
      <c r="M85" s="748">
        <v>50</v>
      </c>
      <c r="N85" s="749">
        <v>-0.10000000000000142</v>
      </c>
      <c r="O85" s="749">
        <v>-0.10000000000000142</v>
      </c>
      <c r="P85" s="749">
        <f t="shared" ref="P85:P91" si="86">0.5*(MAX(N85:O85)-MIN(N85:O85))</f>
        <v>0</v>
      </c>
      <c r="Q85" s="750">
        <v>0.2</v>
      </c>
      <c r="R85" s="2"/>
      <c r="W85" s="743">
        <f t="shared" si="81"/>
        <v>0.9668388748197001</v>
      </c>
      <c r="X85" s="730">
        <f t="shared" si="81"/>
        <v>-1.9336777496394278E-3</v>
      </c>
      <c r="Y85" s="730">
        <f t="shared" si="81"/>
        <v>-1.9336777496394278E-3</v>
      </c>
      <c r="Z85" s="739">
        <f t="shared" ref="Z85:Z91" si="87">0.5*(MAX(X85:Y85)-MIN(X85:Y85))</f>
        <v>0</v>
      </c>
      <c r="AA85" s="216">
        <v>0.2</v>
      </c>
      <c r="AB85" s="584"/>
      <c r="AC85" s="743">
        <f t="shared" si="82"/>
        <v>0.9668388748197001</v>
      </c>
      <c r="AD85" s="730">
        <f t="shared" si="82"/>
        <v>-1.9336777496394278E-3</v>
      </c>
      <c r="AE85" s="730">
        <f t="shared" si="82"/>
        <v>-1.9336777496394278E-3</v>
      </c>
      <c r="AF85" s="739">
        <f t="shared" ref="AF85:AF91" si="88">0.5*(MAX(AD85:AE85)-MIN(AD85:AE85))</f>
        <v>0</v>
      </c>
      <c r="AG85" s="216">
        <v>0.2</v>
      </c>
      <c r="AH85" s="584"/>
      <c r="AI85" s="743">
        <f t="shared" si="83"/>
        <v>0.9668388748197001</v>
      </c>
      <c r="AJ85" s="730">
        <f t="shared" si="83"/>
        <v>-1.9336777496394278E-3</v>
      </c>
      <c r="AK85" s="730">
        <f t="shared" si="83"/>
        <v>-1.9336777496394278E-3</v>
      </c>
      <c r="AL85" s="739">
        <f t="shared" ref="AL85:AL91" si="89">0.5*(MAX(AJ85:AK85)-MIN(AJ85:AK85))</f>
        <v>0</v>
      </c>
      <c r="AM85" s="216">
        <v>0.2</v>
      </c>
    </row>
    <row r="86" spans="1:39" x14ac:dyDescent="0.25">
      <c r="A86" s="757">
        <v>100</v>
      </c>
      <c r="B86" s="749">
        <v>-9.9999999999994316E-2</v>
      </c>
      <c r="C86" s="749">
        <v>-0.20000000000000284</v>
      </c>
      <c r="D86" s="749">
        <f t="shared" si="84"/>
        <v>5.0000000000004263E-2</v>
      </c>
      <c r="E86" s="750">
        <v>0.2</v>
      </c>
      <c r="F86" s="165"/>
      <c r="G86" s="748">
        <v>100</v>
      </c>
      <c r="H86" s="749">
        <v>-9.9999999999994316E-2</v>
      </c>
      <c r="I86" s="749">
        <v>-0.20000000000000284</v>
      </c>
      <c r="J86" s="749">
        <f t="shared" si="85"/>
        <v>5.0000000000004263E-2</v>
      </c>
      <c r="K86" s="750">
        <v>0.2</v>
      </c>
      <c r="L86" s="165"/>
      <c r="M86" s="748">
        <v>100</v>
      </c>
      <c r="N86" s="749">
        <v>-9.9999999999994316E-2</v>
      </c>
      <c r="O86" s="749">
        <v>-0.20000000000000284</v>
      </c>
      <c r="P86" s="749">
        <f t="shared" si="86"/>
        <v>5.0000000000004263E-2</v>
      </c>
      <c r="Q86" s="750">
        <v>0.2</v>
      </c>
      <c r="R86" s="2"/>
      <c r="W86" s="743">
        <f t="shared" si="81"/>
        <v>1.9336777496394002</v>
      </c>
      <c r="X86" s="730">
        <f t="shared" si="81"/>
        <v>-1.9336777496392903E-3</v>
      </c>
      <c r="Y86" s="730">
        <f t="shared" si="81"/>
        <v>-3.8673554992788555E-3</v>
      </c>
      <c r="Z86" s="739">
        <f t="shared" si="87"/>
        <v>9.6683887481978262E-4</v>
      </c>
      <c r="AA86" s="216">
        <v>0.2</v>
      </c>
      <c r="AB86" s="584"/>
      <c r="AC86" s="743">
        <f t="shared" si="82"/>
        <v>1.9336777496394002</v>
      </c>
      <c r="AD86" s="730">
        <f t="shared" si="82"/>
        <v>-1.9336777496392903E-3</v>
      </c>
      <c r="AE86" s="730">
        <f t="shared" si="82"/>
        <v>-3.8673554992788555E-3</v>
      </c>
      <c r="AF86" s="739">
        <f t="shared" si="88"/>
        <v>9.6683887481978262E-4</v>
      </c>
      <c r="AG86" s="216">
        <v>0.2</v>
      </c>
      <c r="AH86" s="584"/>
      <c r="AI86" s="743">
        <f t="shared" si="83"/>
        <v>1.9336777496394002</v>
      </c>
      <c r="AJ86" s="730">
        <f t="shared" si="83"/>
        <v>-1.9336777496392903E-3</v>
      </c>
      <c r="AK86" s="730">
        <f t="shared" si="83"/>
        <v>-3.8673554992788555E-3</v>
      </c>
      <c r="AL86" s="739">
        <f t="shared" si="89"/>
        <v>9.6683887481978262E-4</v>
      </c>
      <c r="AM86" s="216">
        <v>0.2</v>
      </c>
    </row>
    <row r="87" spans="1:39" x14ac:dyDescent="0.25">
      <c r="A87" s="757">
        <v>150</v>
      </c>
      <c r="B87" s="749">
        <v>-9.9999999999994316E-2</v>
      </c>
      <c r="C87" s="749">
        <v>-0.19999999999998863</v>
      </c>
      <c r="D87" s="749">
        <f t="shared" si="84"/>
        <v>4.9999999999997158E-2</v>
      </c>
      <c r="E87" s="750">
        <v>0.2</v>
      </c>
      <c r="F87" s="165"/>
      <c r="G87" s="748">
        <v>150</v>
      </c>
      <c r="H87" s="749">
        <v>-9.9999999999994316E-2</v>
      </c>
      <c r="I87" s="749">
        <v>-0.19999999999998863</v>
      </c>
      <c r="J87" s="749">
        <f t="shared" si="85"/>
        <v>4.9999999999997158E-2</v>
      </c>
      <c r="K87" s="750">
        <v>0.2</v>
      </c>
      <c r="L87" s="165"/>
      <c r="M87" s="748">
        <v>150</v>
      </c>
      <c r="N87" s="749">
        <v>-9.9999999999994316E-2</v>
      </c>
      <c r="O87" s="749">
        <v>-0.19999999999998863</v>
      </c>
      <c r="P87" s="749">
        <f t="shared" si="86"/>
        <v>4.9999999999997158E-2</v>
      </c>
      <c r="Q87" s="750">
        <v>0.2</v>
      </c>
      <c r="R87" s="2"/>
      <c r="W87" s="743">
        <f t="shared" si="81"/>
        <v>2.9005166244591001</v>
      </c>
      <c r="X87" s="730">
        <f t="shared" si="81"/>
        <v>-1.9336777496392903E-3</v>
      </c>
      <c r="Y87" s="730">
        <f t="shared" si="81"/>
        <v>-3.8673554992785806E-3</v>
      </c>
      <c r="Z87" s="739">
        <f t="shared" si="87"/>
        <v>9.6683887481964514E-4</v>
      </c>
      <c r="AA87" s="216">
        <v>0.2</v>
      </c>
      <c r="AB87" s="584"/>
      <c r="AC87" s="743">
        <f t="shared" si="82"/>
        <v>2.9005166244591001</v>
      </c>
      <c r="AD87" s="730">
        <f t="shared" si="82"/>
        <v>-1.9336777496392903E-3</v>
      </c>
      <c r="AE87" s="730">
        <f t="shared" si="82"/>
        <v>-3.8673554992785806E-3</v>
      </c>
      <c r="AF87" s="739">
        <f t="shared" si="88"/>
        <v>9.6683887481964514E-4</v>
      </c>
      <c r="AG87" s="216">
        <v>0.2</v>
      </c>
      <c r="AH87" s="584"/>
      <c r="AI87" s="743">
        <f t="shared" si="83"/>
        <v>2.9005166244591001</v>
      </c>
      <c r="AJ87" s="730">
        <f t="shared" si="83"/>
        <v>-1.9336777496392903E-3</v>
      </c>
      <c r="AK87" s="730">
        <f t="shared" si="83"/>
        <v>-3.8673554992785806E-3</v>
      </c>
      <c r="AL87" s="739">
        <f t="shared" si="89"/>
        <v>9.6683887481964514E-4</v>
      </c>
      <c r="AM87" s="216">
        <v>0.2</v>
      </c>
    </row>
    <row r="88" spans="1:39" x14ac:dyDescent="0.25">
      <c r="A88" s="757">
        <v>200</v>
      </c>
      <c r="B88" s="749">
        <v>-9.9999999999994316E-2</v>
      </c>
      <c r="C88" s="749">
        <v>-0.19999999999998863</v>
      </c>
      <c r="D88" s="749">
        <f t="shared" si="84"/>
        <v>4.9999999999997158E-2</v>
      </c>
      <c r="E88" s="750">
        <v>0.2</v>
      </c>
      <c r="F88" s="165"/>
      <c r="G88" s="748">
        <v>200</v>
      </c>
      <c r="H88" s="749">
        <v>-9.9999999999994316E-2</v>
      </c>
      <c r="I88" s="749">
        <v>-0.19999999999998863</v>
      </c>
      <c r="J88" s="749">
        <f t="shared" si="85"/>
        <v>4.9999999999997158E-2</v>
      </c>
      <c r="K88" s="750">
        <v>0.2</v>
      </c>
      <c r="L88" s="165"/>
      <c r="M88" s="748">
        <v>200</v>
      </c>
      <c r="N88" s="749">
        <v>-9.9999999999994316E-2</v>
      </c>
      <c r="O88" s="749">
        <v>-0.19999999999998863</v>
      </c>
      <c r="P88" s="749">
        <f t="shared" si="86"/>
        <v>4.9999999999997158E-2</v>
      </c>
      <c r="Q88" s="750">
        <v>0.2</v>
      </c>
      <c r="R88" s="2"/>
      <c r="W88" s="743">
        <f t="shared" si="81"/>
        <v>3.8673554992788004</v>
      </c>
      <c r="X88" s="730">
        <f t="shared" si="81"/>
        <v>-1.9336777496392903E-3</v>
      </c>
      <c r="Y88" s="730">
        <f t="shared" si="81"/>
        <v>-3.8673554992785806E-3</v>
      </c>
      <c r="Z88" s="739">
        <f t="shared" si="87"/>
        <v>9.6683887481964514E-4</v>
      </c>
      <c r="AA88" s="216">
        <v>0.2</v>
      </c>
      <c r="AB88" s="584"/>
      <c r="AC88" s="743">
        <f t="shared" si="82"/>
        <v>3.8673554992788004</v>
      </c>
      <c r="AD88" s="730">
        <f t="shared" si="82"/>
        <v>-1.9336777496392903E-3</v>
      </c>
      <c r="AE88" s="730">
        <f t="shared" si="82"/>
        <v>-3.8673554992785806E-3</v>
      </c>
      <c r="AF88" s="739">
        <f t="shared" si="88"/>
        <v>9.6683887481964514E-4</v>
      </c>
      <c r="AG88" s="216">
        <v>0.2</v>
      </c>
      <c r="AH88" s="584"/>
      <c r="AI88" s="743">
        <f t="shared" si="83"/>
        <v>3.8673554992788004</v>
      </c>
      <c r="AJ88" s="730">
        <f t="shared" si="83"/>
        <v>-1.9336777496392903E-3</v>
      </c>
      <c r="AK88" s="730">
        <f t="shared" si="83"/>
        <v>-3.8673554992785806E-3</v>
      </c>
      <c r="AL88" s="739">
        <f t="shared" si="89"/>
        <v>9.6683887481964514E-4</v>
      </c>
      <c r="AM88" s="216">
        <v>0.2</v>
      </c>
    </row>
    <row r="89" spans="1:39" x14ac:dyDescent="0.25">
      <c r="A89" s="757">
        <v>250</v>
      </c>
      <c r="B89" s="749">
        <v>-9.9999999999994316E-2</v>
      </c>
      <c r="C89" s="749">
        <v>-0.19999999999998863</v>
      </c>
      <c r="D89" s="749">
        <f t="shared" si="84"/>
        <v>4.9999999999997158E-2</v>
      </c>
      <c r="E89" s="750">
        <v>0.2</v>
      </c>
      <c r="F89" s="165"/>
      <c r="G89" s="748">
        <v>250</v>
      </c>
      <c r="H89" s="749">
        <v>-9.9999999999994316E-2</v>
      </c>
      <c r="I89" s="749">
        <v>-0.19999999999998863</v>
      </c>
      <c r="J89" s="749">
        <f t="shared" si="85"/>
        <v>4.9999999999997158E-2</v>
      </c>
      <c r="K89" s="750">
        <v>0.2</v>
      </c>
      <c r="L89" s="165"/>
      <c r="M89" s="748">
        <v>250</v>
      </c>
      <c r="N89" s="749">
        <v>-9.9999999999994316E-2</v>
      </c>
      <c r="O89" s="749">
        <v>-0.19999999999998863</v>
      </c>
      <c r="P89" s="749">
        <f t="shared" si="86"/>
        <v>4.9999999999997158E-2</v>
      </c>
      <c r="Q89" s="750">
        <v>0.2</v>
      </c>
      <c r="R89" s="2"/>
      <c r="W89" s="743">
        <f t="shared" si="81"/>
        <v>4.8341943740985007</v>
      </c>
      <c r="X89" s="730">
        <f t="shared" si="81"/>
        <v>-1.9336777496392903E-3</v>
      </c>
      <c r="Y89" s="730">
        <f t="shared" si="81"/>
        <v>-3.8673554992785806E-3</v>
      </c>
      <c r="Z89" s="739">
        <f t="shared" si="87"/>
        <v>9.6683887481964514E-4</v>
      </c>
      <c r="AA89" s="216">
        <v>0.2</v>
      </c>
      <c r="AB89" s="584"/>
      <c r="AC89" s="743">
        <f t="shared" si="82"/>
        <v>4.8341943740985007</v>
      </c>
      <c r="AD89" s="730">
        <f t="shared" si="82"/>
        <v>-1.9336777496392903E-3</v>
      </c>
      <c r="AE89" s="730">
        <f t="shared" si="82"/>
        <v>-3.8673554992785806E-3</v>
      </c>
      <c r="AF89" s="739">
        <f t="shared" si="88"/>
        <v>9.6683887481964514E-4</v>
      </c>
      <c r="AG89" s="216">
        <v>0.2</v>
      </c>
      <c r="AH89" s="584"/>
      <c r="AI89" s="743">
        <f t="shared" si="83"/>
        <v>4.8341943740985007</v>
      </c>
      <c r="AJ89" s="730">
        <f t="shared" si="83"/>
        <v>-1.9336777496392903E-3</v>
      </c>
      <c r="AK89" s="730">
        <f t="shared" si="83"/>
        <v>-3.8673554992785806E-3</v>
      </c>
      <c r="AL89" s="739">
        <f t="shared" si="89"/>
        <v>9.6683887481964514E-4</v>
      </c>
      <c r="AM89" s="216">
        <v>0.2</v>
      </c>
    </row>
    <row r="90" spans="1:39" x14ac:dyDescent="0.25">
      <c r="A90" s="757">
        <v>300</v>
      </c>
      <c r="B90" s="749">
        <v>9.9999999999999995E-7</v>
      </c>
      <c r="C90" s="749">
        <v>-0.19999999999998863</v>
      </c>
      <c r="D90" s="749">
        <f t="shared" si="84"/>
        <v>0.10000049999999432</v>
      </c>
      <c r="E90" s="750">
        <v>0.2</v>
      </c>
      <c r="F90" s="165"/>
      <c r="G90" s="748">
        <v>300</v>
      </c>
      <c r="H90" s="749">
        <v>9.9999999999999995E-7</v>
      </c>
      <c r="I90" s="749">
        <v>-0.19999999999998863</v>
      </c>
      <c r="J90" s="749">
        <f t="shared" si="85"/>
        <v>0.10000049999999432</v>
      </c>
      <c r="K90" s="750">
        <v>0.2</v>
      </c>
      <c r="L90" s="165"/>
      <c r="M90" s="748">
        <v>300</v>
      </c>
      <c r="N90" s="749">
        <v>9.9999999999999995E-7</v>
      </c>
      <c r="O90" s="749">
        <v>-0.19999999999998863</v>
      </c>
      <c r="P90" s="749">
        <f t="shared" si="86"/>
        <v>0.10000049999999432</v>
      </c>
      <c r="Q90" s="750">
        <v>0.2</v>
      </c>
      <c r="R90" s="2"/>
      <c r="W90" s="743">
        <f t="shared" si="81"/>
        <v>5.8010332489182002</v>
      </c>
      <c r="X90" s="730">
        <f t="shared" si="81"/>
        <v>1.9336777496394002E-8</v>
      </c>
      <c r="Y90" s="730">
        <f t="shared" si="81"/>
        <v>-3.8673554992785806E-3</v>
      </c>
      <c r="Z90" s="739">
        <f t="shared" si="87"/>
        <v>1.9336874180280385E-3</v>
      </c>
      <c r="AA90" s="216">
        <v>0.2</v>
      </c>
      <c r="AB90" s="584"/>
      <c r="AC90" s="743">
        <f t="shared" si="82"/>
        <v>5.8010332489182002</v>
      </c>
      <c r="AD90" s="730">
        <f t="shared" si="82"/>
        <v>1.9336777496394002E-8</v>
      </c>
      <c r="AE90" s="730">
        <f t="shared" si="82"/>
        <v>-3.8673554992785806E-3</v>
      </c>
      <c r="AF90" s="739">
        <f t="shared" si="88"/>
        <v>1.9336874180280385E-3</v>
      </c>
      <c r="AG90" s="216">
        <v>0.2</v>
      </c>
      <c r="AH90" s="584"/>
      <c r="AI90" s="743">
        <f t="shared" si="83"/>
        <v>5.8010332489182002</v>
      </c>
      <c r="AJ90" s="730">
        <f t="shared" si="83"/>
        <v>1.9336777496394002E-8</v>
      </c>
      <c r="AK90" s="730">
        <f t="shared" si="83"/>
        <v>-3.8673554992785806E-3</v>
      </c>
      <c r="AL90" s="739">
        <f t="shared" si="89"/>
        <v>1.9336874180280385E-3</v>
      </c>
      <c r="AM90" s="216">
        <v>0.2</v>
      </c>
    </row>
    <row r="91" spans="1:39" x14ac:dyDescent="0.25">
      <c r="A91" s="757">
        <v>900</v>
      </c>
      <c r="B91" s="749">
        <v>9.9999999999999995E-7</v>
      </c>
      <c r="C91" s="749">
        <v>-0.19999999999998863</v>
      </c>
      <c r="D91" s="749">
        <f t="shared" si="84"/>
        <v>0.10000049999999432</v>
      </c>
      <c r="E91" s="750">
        <v>0.2</v>
      </c>
      <c r="F91" s="165"/>
      <c r="G91" s="748">
        <v>900</v>
      </c>
      <c r="H91" s="749">
        <v>9.9999999999999995E-7</v>
      </c>
      <c r="I91" s="749">
        <v>-0.19999999999998863</v>
      </c>
      <c r="J91" s="749">
        <f t="shared" si="85"/>
        <v>0.10000049999999432</v>
      </c>
      <c r="K91" s="750">
        <v>0.2</v>
      </c>
      <c r="L91" s="165"/>
      <c r="M91" s="748">
        <v>900</v>
      </c>
      <c r="N91" s="749">
        <v>9.9999999999999995E-7</v>
      </c>
      <c r="O91" s="749">
        <v>-0.19999999999998863</v>
      </c>
      <c r="P91" s="749">
        <f t="shared" si="86"/>
        <v>0.10000049999999432</v>
      </c>
      <c r="Q91" s="750">
        <v>0.2</v>
      </c>
      <c r="R91" s="2"/>
      <c r="W91" s="743">
        <f t="shared" si="81"/>
        <v>17.403099746754602</v>
      </c>
      <c r="X91" s="730">
        <f t="shared" si="81"/>
        <v>1.9336777496394002E-8</v>
      </c>
      <c r="Y91" s="730">
        <f t="shared" si="81"/>
        <v>-3.8673554992785806E-3</v>
      </c>
      <c r="Z91" s="739">
        <f t="shared" si="87"/>
        <v>1.9336874180280385E-3</v>
      </c>
      <c r="AA91" s="216">
        <v>0.2</v>
      </c>
      <c r="AB91" s="584"/>
      <c r="AC91" s="743">
        <f t="shared" si="82"/>
        <v>17.403099746754602</v>
      </c>
      <c r="AD91" s="730">
        <f t="shared" si="82"/>
        <v>1.9336777496394002E-8</v>
      </c>
      <c r="AE91" s="730">
        <f t="shared" si="82"/>
        <v>-3.8673554992785806E-3</v>
      </c>
      <c r="AF91" s="739">
        <f t="shared" si="88"/>
        <v>1.9336874180280385E-3</v>
      </c>
      <c r="AG91" s="216">
        <v>0.2</v>
      </c>
      <c r="AH91" s="584"/>
      <c r="AI91" s="743">
        <f t="shared" si="83"/>
        <v>17.403099746754602</v>
      </c>
      <c r="AJ91" s="730">
        <f t="shared" si="83"/>
        <v>1.9336777496394002E-8</v>
      </c>
      <c r="AK91" s="730">
        <f t="shared" si="83"/>
        <v>-3.8673554992785806E-3</v>
      </c>
      <c r="AL91" s="739">
        <f t="shared" si="89"/>
        <v>1.9336874180280385E-3</v>
      </c>
      <c r="AM91" s="216">
        <v>0.2</v>
      </c>
    </row>
    <row r="92" spans="1:39" ht="13.8" thickBot="1" x14ac:dyDescent="0.3">
      <c r="A92" s="60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151"/>
      <c r="W92" s="584"/>
      <c r="X92" s="584"/>
      <c r="Y92" s="584"/>
      <c r="Z92" s="584"/>
      <c r="AA92" s="584"/>
      <c r="AB92" s="584"/>
      <c r="AC92" s="584"/>
      <c r="AD92" s="584"/>
      <c r="AE92" s="584"/>
      <c r="AF92" s="584"/>
      <c r="AG92" s="584"/>
      <c r="AH92" s="584"/>
      <c r="AI92" s="584"/>
      <c r="AJ92" s="584"/>
      <c r="AK92" s="584"/>
      <c r="AL92" s="584"/>
      <c r="AM92" s="584"/>
    </row>
    <row r="94" spans="1:39" ht="16.5" customHeight="1" x14ac:dyDescent="0.25"/>
    <row r="95" spans="1:39" ht="16.5" customHeight="1" x14ac:dyDescent="0.25">
      <c r="A95" s="1335" t="s">
        <v>135</v>
      </c>
      <c r="B95" s="1336"/>
      <c r="C95" s="218"/>
      <c r="D95" s="1664"/>
      <c r="E95" s="1664"/>
    </row>
    <row r="96" spans="1:39" x14ac:dyDescent="0.25">
      <c r="A96" s="163" t="s">
        <v>138</v>
      </c>
      <c r="B96" s="224">
        <f>ID!K35</f>
        <v>6</v>
      </c>
      <c r="C96" s="219">
        <f>B116</f>
        <v>5.9967018600153557</v>
      </c>
      <c r="D96" s="760"/>
      <c r="E96" s="649"/>
    </row>
    <row r="97" spans="1:13" x14ac:dyDescent="0.25">
      <c r="A97" s="212" t="s">
        <v>356</v>
      </c>
      <c r="B97" s="660">
        <f>(FORECAST($B$96,C103:C111,A103:A111))</f>
        <v>-3.2981399846439829E-3</v>
      </c>
      <c r="C97" s="761"/>
      <c r="D97" s="652"/>
      <c r="E97" s="653"/>
      <c r="F97" s="215"/>
      <c r="L97" s="215"/>
      <c r="M97" s="215"/>
    </row>
    <row r="98" spans="1:13" x14ac:dyDescent="0.25">
      <c r="A98" s="212" t="s">
        <v>139</v>
      </c>
      <c r="B98" s="660">
        <f>IF(C98&gt;0.000001,C98,0.000001)</f>
        <v>1.0981031788332531E-3</v>
      </c>
      <c r="C98" s="761">
        <f>(FORECAST($C$96,D104:D112,A104:A112))</f>
        <v>1.0981031788332531E-3</v>
      </c>
      <c r="D98" s="652"/>
      <c r="E98" s="653"/>
      <c r="F98" s="215"/>
      <c r="L98" s="215"/>
      <c r="M98" s="215"/>
    </row>
    <row r="99" spans="1:13" x14ac:dyDescent="0.25">
      <c r="A99" s="212" t="s">
        <v>137</v>
      </c>
      <c r="B99" s="591">
        <f>(FORECAST($C$96,E104:E112,A104:A112))</f>
        <v>3.6812890618028956E-3</v>
      </c>
      <c r="C99" s="762"/>
      <c r="D99" s="652"/>
      <c r="E99" s="653"/>
      <c r="F99" s="215"/>
      <c r="L99" s="215"/>
      <c r="M99" s="215"/>
    </row>
    <row r="100" spans="1:13" ht="13.8" thickBot="1" x14ac:dyDescent="0.3">
      <c r="A100" s="622"/>
      <c r="B100" s="622"/>
      <c r="C100" s="622"/>
      <c r="D100" s="622"/>
      <c r="E100" s="622"/>
      <c r="F100" s="215"/>
      <c r="L100" s="215"/>
      <c r="M100" s="215"/>
    </row>
    <row r="101" spans="1:13" ht="24.75" customHeight="1" thickBot="1" x14ac:dyDescent="0.3">
      <c r="A101" s="1665" t="str">
        <f>ID!B54</f>
        <v>Digital Pressure Meter, Merek : Fluke, Model : DPM4 2G, SN : 4821027</v>
      </c>
      <c r="B101" s="1666"/>
      <c r="C101" s="1666"/>
      <c r="D101" s="1666"/>
      <c r="E101" s="1667"/>
      <c r="F101" s="215"/>
      <c r="L101" s="215"/>
      <c r="M101" s="215"/>
    </row>
    <row r="102" spans="1:13" x14ac:dyDescent="0.25">
      <c r="A102" s="222" t="s">
        <v>567</v>
      </c>
      <c r="B102" s="1668" t="s">
        <v>127</v>
      </c>
      <c r="C102" s="1669"/>
      <c r="D102" s="1670" t="s">
        <v>568</v>
      </c>
      <c r="E102" s="1672" t="s">
        <v>145</v>
      </c>
      <c r="F102" s="215"/>
      <c r="L102" s="215"/>
      <c r="M102" s="215"/>
    </row>
    <row r="103" spans="1:13" x14ac:dyDescent="0.25">
      <c r="A103" s="219" t="str">
        <f>IF(ID!$B$54=' Input Data Tekanan Hisap'!$A$145,'Input Data Tekanan Semprot'!W4,IF(ID!$B$54=' Input Data Tekanan Hisap'!$A$146,'Input Data Tekanan Semprot'!AC4,IF(ID!$B$54=' Input Data Tekanan Hisap'!$A$147,'Input Data Tekanan Semprot'!AI4,IF(ID!$B$54=' Input Data Tekanan Hisap'!$A$148,'Input Data Tekanan Semprot'!W17,IF(ID!$B$54=' Input Data Tekanan Hisap'!$A$149,'Input Data Tekanan Semprot'!AC17,IF(ID!$B$54=' Input Data Tekanan Hisap'!$A$150,'Input Data Tekanan Semprot'!AI17,IF(ID!$B$54=' Input Data Tekanan Hisap'!$A$151,'Input Data Tekanan Semprot'!W30,IF(ID!$B$54=' Input Data Tekanan Hisap'!$A$152,'Input Data Tekanan Semprot'!AC30,IF(ID!$B$54=' Input Data Tekanan Hisap'!$A$153,'Input Data Tekanan Semprot'!AI30,IF(ID!$B$54=' Input Data Tekanan Hisap'!$A$154,'Input Data Tekanan Semprot'!W43,IF(ID!$B$54=' Input Data Tekanan Hisap'!$A$155,'Input Data Tekanan Semprot'!AC43,IF(ID!$B$54=' Input Data Tekanan Hisap'!$A$156,'Input Data Tekanan Semprot'!W56,IF(ID!$B$54=' Input Data Tekanan Hisap'!$A$157,'Input Data Tekanan Semprot'!AC56,IF(ID!$B$54=' Input Data Tekanan Hisap'!$A$158,'Input Data Tekanan Semprot'!AI56,IF(ID!$B$54=' Input Data Tekanan Hisap'!$A$159,'Input Data Tekanan Semprot'!W70,IF(ID!$B$54=' Input Data Tekanan Hisap'!$A$160,'Input Data Tekanan Semprot'!AC70,IF(ID!$B$54=' Input Data Tekanan Hisap'!$A$161,'Input Data Tekanan Semprot'!AI70,IF(ID!$B$54=' Input Data Tekanan Hisap'!$A$162,'Input Data Tekanan Semprot'!W83,IF(ID!$B$54=' Input Data Tekanan Hisap'!$A$163,'Input Data Tekanan Semprot'!AC83,IF(ID!$B$54=' Input Data Tekanan Hisap'!$A$164,'Input Data Tekanan Semprot'!AI83,IF(ID!$B$54=' Input Data Tekanan Hisap'!$A$163,'Input Data Tekanan Semprot'!AC83,'Input Data Tekanan Semprot'!AI83)))))))))))))))))))))</f>
        <v>PSI</v>
      </c>
      <c r="B103" s="219">
        <f>IF(ID!$B$54=' Input Data Tekanan Hisap'!$A$145,'Input Data Tekanan Semprot'!X4,IF(ID!$B$54=' Input Data Tekanan Hisap'!$A$146,'Input Data Tekanan Semprot'!AD4,IF(ID!$B$54=' Input Data Tekanan Hisap'!$A$147,'Input Data Tekanan Semprot'!AJ4,IF(ID!$B$54=' Input Data Tekanan Hisap'!$A$148,'Input Data Tekanan Semprot'!X17,IF(ID!$B$54=' Input Data Tekanan Hisap'!$A$149,'Input Data Tekanan Semprot'!AD17,IF(ID!$B$54=' Input Data Tekanan Hisap'!$A$150,'Input Data Tekanan Semprot'!AJ17,IF(ID!$B$54=' Input Data Tekanan Hisap'!$A$151,'Input Data Tekanan Semprot'!X30,IF(ID!$B$54=' Input Data Tekanan Hisap'!$A$152,'Input Data Tekanan Semprot'!AD30,IF(ID!$B$54=' Input Data Tekanan Hisap'!$A$153,'Input Data Tekanan Semprot'!AJ30,IF(ID!$B$54=' Input Data Tekanan Hisap'!$A$154,'Input Data Tekanan Semprot'!X43,IF(ID!$B$54=' Input Data Tekanan Hisap'!$A$155,'Input Data Tekanan Semprot'!AD43,IF(ID!$B$54=' Input Data Tekanan Hisap'!$A$156,'Input Data Tekanan Semprot'!X56,IF(ID!$B$54=' Input Data Tekanan Hisap'!$A$157,'Input Data Tekanan Semprot'!AD56,IF(ID!$B$54=' Input Data Tekanan Hisap'!$A$158,'Input Data Tekanan Semprot'!AJ56,IF(ID!$B$54=' Input Data Tekanan Hisap'!$A$159,'Input Data Tekanan Semprot'!X70,IF(ID!$B$54=' Input Data Tekanan Hisap'!$A$160,'Input Data Tekanan Semprot'!AD70,IF(ID!$B$54=' Input Data Tekanan Hisap'!$A$161,'Input Data Tekanan Semprot'!AJ70,IF(ID!$B$54=' Input Data Tekanan Hisap'!$A$162,'Input Data Tekanan Semprot'!X83,IF(ID!$B$54=' Input Data Tekanan Hisap'!$A$163,'Input Data Tekanan Semprot'!AD83,IF(ID!$B$54=' Input Data Tekanan Hisap'!$A$164,'Input Data Tekanan Semprot'!AJ83,IF(ID!$B$54=' Input Data Tekanan Hisap'!$A$163,'Input Data Tekanan Semprot'!AD83,'Input Data Tekanan Semprot'!AJ83)))))))))))))))))))))</f>
        <v>2017</v>
      </c>
      <c r="C103" s="219">
        <f>IF(ID!$B$54=' Input Data Tekanan Hisap'!$A$145,'Input Data Tekanan Semprot'!Y4,IF(ID!$B$54=' Input Data Tekanan Hisap'!$A$146,'Input Data Tekanan Semprot'!AE4,IF(ID!$B$54=' Input Data Tekanan Hisap'!$A$147,'Input Data Tekanan Semprot'!AK4,IF(ID!$B$54=' Input Data Tekanan Hisap'!$A$148,'Input Data Tekanan Semprot'!Y17,IF(ID!$B$54=' Input Data Tekanan Hisap'!$A$149,'Input Data Tekanan Semprot'!AE17,IF(ID!$B$54=' Input Data Tekanan Hisap'!$A$150,'Input Data Tekanan Semprot'!AK17,IF(ID!$B$54=' Input Data Tekanan Hisap'!$A$151,'Input Data Tekanan Semprot'!Y30,IF(ID!$B$54=' Input Data Tekanan Hisap'!$A$152,'Input Data Tekanan Semprot'!AE30,IF(ID!$B$54=' Input Data Tekanan Hisap'!$A$153,'Input Data Tekanan Semprot'!AK30,IF(ID!$B$54=' Input Data Tekanan Hisap'!$A$154,'Input Data Tekanan Semprot'!Y43,IF(ID!$B$54=' Input Data Tekanan Hisap'!$A$155,'Input Data Tekanan Semprot'!AE43,IF(ID!$B$54=' Input Data Tekanan Hisap'!$A$156,'Input Data Tekanan Semprot'!Y56,IF(ID!$B$54=' Input Data Tekanan Hisap'!$A$157,'Input Data Tekanan Semprot'!AE56,IF(ID!$B$54=' Input Data Tekanan Hisap'!$A$158,'Input Data Tekanan Semprot'!AK56,IF(ID!$B$54=' Input Data Tekanan Hisap'!$A$159,'Input Data Tekanan Semprot'!Y70,IF(ID!$B$54=' Input Data Tekanan Hisap'!$A$160,'Input Data Tekanan Semprot'!AE70,IF(ID!$B$54=' Input Data Tekanan Hisap'!$A$161,'Input Data Tekanan Semprot'!AK70,IF(ID!$B$54=' Input Data Tekanan Hisap'!$A$162,'Input Data Tekanan Semprot'!Y83,IF(ID!$B$54=' Input Data Tekanan Hisap'!$A$163,'Input Data Tekanan Semprot'!AE83,IF(ID!$B$54=' Input Data Tekanan Hisap'!$A$164,'Input Data Tekanan Semprot'!AK83,IF(ID!$B$54=' Input Data Tekanan Hisap'!$A$163,'Input Data Tekanan Semprot'!AE83,'Input Data Tekanan Semprot'!AK83)))))))))))))))))))))</f>
        <v>2018</v>
      </c>
      <c r="D103" s="1671"/>
      <c r="E103" s="1672"/>
      <c r="F103" s="215"/>
      <c r="L103" s="215"/>
      <c r="M103" s="215"/>
    </row>
    <row r="104" spans="1:13" x14ac:dyDescent="0.25">
      <c r="A104" s="1008">
        <f>IF(ID!$B$54=' Input Data Tekanan Hisap'!$A$145,'Input Data Tekanan Semprot'!W5,IF(ID!$B$54=' Input Data Tekanan Hisap'!$A$146,'Input Data Tekanan Semprot'!AC5,IF(ID!$B$54=' Input Data Tekanan Hisap'!$A$147,'Input Data Tekanan Semprot'!AI5,IF(ID!$B$54=' Input Data Tekanan Hisap'!$A$148,'Input Data Tekanan Semprot'!W18,IF(ID!$B$54=' Input Data Tekanan Hisap'!$A$149,'Input Data Tekanan Semprot'!AC18,IF(ID!$B$54=' Input Data Tekanan Hisap'!$A$150,'Input Data Tekanan Semprot'!AI18,IF(ID!$B$54=' Input Data Tekanan Hisap'!$A$151,'Input Data Tekanan Semprot'!W31,IF(ID!$B$54=' Input Data Tekanan Hisap'!$A$152,'Input Data Tekanan Semprot'!AC31,IF(ID!$B$54=' Input Data Tekanan Hisap'!$A$153,'Input Data Tekanan Semprot'!AI31,IF(ID!$B$54=' Input Data Tekanan Hisap'!$A$154,'Input Data Tekanan Semprot'!W44,IF(ID!$B$54=' Input Data Tekanan Hisap'!$A$155,'Input Data Tekanan Semprot'!AC44,IF(ID!$B$54=' Input Data Tekanan Hisap'!$A$156,'Input Data Tekanan Semprot'!W57,IF(ID!$B$54=' Input Data Tekanan Hisap'!$A$157,'Input Data Tekanan Semprot'!AC57,IF(ID!$B$54=' Input Data Tekanan Hisap'!$A$158,'Input Data Tekanan Semprot'!AI57,IF(ID!$B$54=' Input Data Tekanan Hisap'!$A$159,'Input Data Tekanan Semprot'!W71,IF(ID!$B$54=' Input Data Tekanan Hisap'!$A$160,'Input Data Tekanan Semprot'!AC71,IF(ID!$B$54=' Input Data Tekanan Hisap'!$A$161,'Input Data Tekanan Semprot'!AI71,IF(ID!$B$54=' Input Data Tekanan Hisap'!$A$162,'Input Data Tekanan Semprot'!W84,IF(ID!$B$54=' Input Data Tekanan Hisap'!$A$163,'Input Data Tekanan Semprot'!AC84,IF(ID!$B$54=' Input Data Tekanan Hisap'!$A$164,'Input Data Tekanan Semprot'!AI84,IF(ID!$B$54=' Input Data Tekanan Hisap'!$A$163,'Input Data Tekanan Semprot'!AC84,'Input Data Tekanan Semprot'!AI84)))))))))))))))))))))</f>
        <v>0</v>
      </c>
      <c r="B104" s="1008">
        <f>IF(ID!$B$54=' Input Data Tekanan Hisap'!$A$145,'Input Data Tekanan Semprot'!X5,IF(ID!$B$54=' Input Data Tekanan Hisap'!$A$146,'Input Data Tekanan Semprot'!AD5,IF(ID!$B$54=' Input Data Tekanan Hisap'!$A$147,'Input Data Tekanan Semprot'!AJ5,IF(ID!$B$54=' Input Data Tekanan Hisap'!$A$148,'Input Data Tekanan Semprot'!X18,IF(ID!$B$54=' Input Data Tekanan Hisap'!$A$149,'Input Data Tekanan Semprot'!AD18,IF(ID!$B$54=' Input Data Tekanan Hisap'!$A$150,'Input Data Tekanan Semprot'!AJ18,IF(ID!$B$54=' Input Data Tekanan Hisap'!$A$151,'Input Data Tekanan Semprot'!X31,IF(ID!$B$54=' Input Data Tekanan Hisap'!$A$152,'Input Data Tekanan Semprot'!AD31,IF(ID!$B$54=' Input Data Tekanan Hisap'!$A$153,'Input Data Tekanan Semprot'!AJ31,IF(ID!$B$54=' Input Data Tekanan Hisap'!$A$154,'Input Data Tekanan Semprot'!X44,IF(ID!$B$54=' Input Data Tekanan Hisap'!$A$155,'Input Data Tekanan Semprot'!AD44,IF(ID!$B$54=' Input Data Tekanan Hisap'!$A$156,'Input Data Tekanan Semprot'!X57,IF(ID!$B$54=' Input Data Tekanan Hisap'!$A$157,'Input Data Tekanan Semprot'!AD57,IF(ID!$B$54=' Input Data Tekanan Hisap'!$A$158,'Input Data Tekanan Semprot'!AJ57,IF(ID!$B$54=' Input Data Tekanan Hisap'!$A$159,'Input Data Tekanan Semprot'!X71,IF(ID!$B$54=' Input Data Tekanan Hisap'!$A$160,'Input Data Tekanan Semprot'!AD71,IF(ID!$B$54=' Input Data Tekanan Hisap'!$A$161,'Input Data Tekanan Semprot'!AJ71,IF(ID!$B$54=' Input Data Tekanan Hisap'!$A$162,'Input Data Tekanan Semprot'!X84,IF(ID!$B$54=' Input Data Tekanan Hisap'!$A$163,'Input Data Tekanan Semprot'!AD84,IF(ID!$B$54=' Input Data Tekanan Hisap'!$A$164,'Input Data Tekanan Semprot'!AJ84,IF(ID!$B$54=' Input Data Tekanan Hisap'!$A$163,'Input Data Tekanan Semprot'!AD84,'Input Data Tekanan Semprot'!AJ84)))))))))))))))))))))</f>
        <v>1.9336777496394002E-8</v>
      </c>
      <c r="C104" s="1008">
        <f>IF(ID!$B$54=' Input Data Tekanan Hisap'!$A$145,'Input Data Tekanan Semprot'!Y5,IF(ID!$B$54=' Input Data Tekanan Hisap'!$A$146,'Input Data Tekanan Semprot'!AE5,IF(ID!$B$54=' Input Data Tekanan Hisap'!$A$147,'Input Data Tekanan Semprot'!AK5,IF(ID!$B$54=' Input Data Tekanan Hisap'!$A$148,'Input Data Tekanan Semprot'!Y18,IF(ID!$B$54=' Input Data Tekanan Hisap'!$A$149,'Input Data Tekanan Semprot'!AE18,IF(ID!$B$54=' Input Data Tekanan Hisap'!$A$150,'Input Data Tekanan Semprot'!AK18,IF(ID!$B$54=' Input Data Tekanan Hisap'!$A$151,'Input Data Tekanan Semprot'!Y31,IF(ID!$B$54=' Input Data Tekanan Hisap'!$A$152,'Input Data Tekanan Semprot'!AE31,IF(ID!$B$54=' Input Data Tekanan Hisap'!$A$153,'Input Data Tekanan Semprot'!AK31,IF(ID!$B$54=' Input Data Tekanan Hisap'!$A$154,'Input Data Tekanan Semprot'!Y44,IF(ID!$B$54=' Input Data Tekanan Hisap'!$A$155,'Input Data Tekanan Semprot'!AE44,IF(ID!$B$54=' Input Data Tekanan Hisap'!$A$156,'Input Data Tekanan Semprot'!Y57,IF(ID!$B$54=' Input Data Tekanan Hisap'!$A$157,'Input Data Tekanan Semprot'!AE57,IF(ID!$B$54=' Input Data Tekanan Hisap'!$A$158,'Input Data Tekanan Semprot'!AK57,IF(ID!$B$54=' Input Data Tekanan Hisap'!$A$159,'Input Data Tekanan Semprot'!Y71,IF(ID!$B$54=' Input Data Tekanan Hisap'!$A$160,'Input Data Tekanan Semprot'!AE71,IF(ID!$B$54=' Input Data Tekanan Hisap'!$A$161,'Input Data Tekanan Semprot'!AK71,IF(ID!$B$54=' Input Data Tekanan Hisap'!$A$162,'Input Data Tekanan Semprot'!Y84,IF(ID!$B$54=' Input Data Tekanan Hisap'!$A$163,'Input Data Tekanan Semprot'!AE84,IF(ID!$B$54=' Input Data Tekanan Hisap'!$A$164,'Input Data Tekanan Semprot'!AK84,IF(ID!$B$54=' Input Data Tekanan Hisap'!$A$163,'Input Data Tekanan Semprot'!AE84,'Input Data Tekanan Semprot'!AK84)))))))))))))))))))))</f>
        <v>1.9336777496394002E-8</v>
      </c>
      <c r="D104" s="1009">
        <f>IF(ID!$B$54=' Input Data Tekanan Hisap'!$A$145,'Input Data Tekanan Semprot'!Z5,IF(ID!$B$54=' Input Data Tekanan Hisap'!$A$146,'Input Data Tekanan Semprot'!AF5,IF(ID!$B$54=' Input Data Tekanan Hisap'!$A$147,'Input Data Tekanan Semprot'!AL5,IF(ID!$B$54=' Input Data Tekanan Hisap'!$A$148,'Input Data Tekanan Semprot'!Z18,IF(ID!$B$54=' Input Data Tekanan Hisap'!$A$149,'Input Data Tekanan Semprot'!AF18,IF(ID!$B$54=' Input Data Tekanan Hisap'!$A$150,'Input Data Tekanan Semprot'!AL18,IF(ID!$B$54=' Input Data Tekanan Hisap'!$A$151,'Input Data Tekanan Semprot'!Z31,IF(ID!$B$54=' Input Data Tekanan Hisap'!$A$152,'Input Data Tekanan Semprot'!AF31,IF(ID!$B$54=' Input Data Tekanan Hisap'!$A$153,'Input Data Tekanan Semprot'!AL31,IF(ID!$B$54=' Input Data Tekanan Hisap'!$A$154,'Input Data Tekanan Semprot'!Z44,IF(ID!$B$54=' Input Data Tekanan Hisap'!$A$155,'Input Data Tekanan Semprot'!AF44,IF(ID!$B$54=' Input Data Tekanan Hisap'!$A$156,'Input Data Tekanan Semprot'!Z57,IF(ID!$B$54=' Input Data Tekanan Hisap'!$A$157,'Input Data Tekanan Semprot'!AF57,IF(ID!$B$54=' Input Data Tekanan Hisap'!$A$158,'Input Data Tekanan Semprot'!AL57,IF(ID!$B$54=' Input Data Tekanan Hisap'!$A$159,'Input Data Tekanan Semprot'!Z71,IF(ID!$B$54=' Input Data Tekanan Hisap'!$A$160,'Input Data Tekanan Semprot'!AF71,IF(ID!$B$54=' Input Data Tekanan Hisap'!$A$161,'Input Data Tekanan Semprot'!AL71,IF(ID!$B$54=' Input Data Tekanan Hisap'!$A$162,'Input Data Tekanan Semprot'!Z84,IF(ID!$B$54=' Input Data Tekanan Hisap'!$A$163,'Input Data Tekanan Semprot'!AF84,IF(ID!$B$54=' Input Data Tekanan Hisap'!$A$164,'Input Data Tekanan Semprot'!AL84,IF(ID!$B$54=' Input Data Tekanan Hisap'!$A$163,'Input Data Tekanan Semprot'!AF84,'Input Data Tekanan Semprot'!AL84)))))))))))))))))))))</f>
        <v>0</v>
      </c>
      <c r="E104" s="1009">
        <f>IF(ID!$B$54=' Input Data Tekanan Hisap'!$A$145,'Input Data Tekanan Semprot'!AA5,IF(ID!$B$54=' Input Data Tekanan Hisap'!$A$146,'Input Data Tekanan Semprot'!AG5,IF(ID!$B$54=' Input Data Tekanan Hisap'!$A$147,'Input Data Tekanan Semprot'!AM5,IF(ID!$B$54=' Input Data Tekanan Hisap'!$A$148,'Input Data Tekanan Semprot'!AA18,IF(ID!$B$54=' Input Data Tekanan Hisap'!$A$149,'Input Data Tekanan Semprot'!AG18,IF(ID!$B$54=' Input Data Tekanan Hisap'!$A$150,'Input Data Tekanan Semprot'!AM18,IF(ID!$B$54=' Input Data Tekanan Hisap'!$A$151,'Input Data Tekanan Semprot'!AA31,IF(ID!$B$54=' Input Data Tekanan Hisap'!$A$152,'Input Data Tekanan Semprot'!AG31,IF(ID!$B$54=' Input Data Tekanan Hisap'!$A$153,'Input Data Tekanan Semprot'!AM31,IF(ID!$B$54=' Input Data Tekanan Hisap'!$A$154,'Input Data Tekanan Semprot'!AA44,IF(ID!$B$54=' Input Data Tekanan Hisap'!$A$155,'Input Data Tekanan Semprot'!AG44,IF(ID!$B$54=' Input Data Tekanan Hisap'!$A$156,'Input Data Tekanan Semprot'!AA57,IF(ID!$B$54=' Input Data Tekanan Hisap'!$A$157,'Input Data Tekanan Semprot'!AG57,IF(ID!$B$54=' Input Data Tekanan Hisap'!$A$158,'Input Data Tekanan Semprot'!AM57,IF(ID!$B$54=' Input Data Tekanan Hisap'!$A$159,'Input Data Tekanan Semprot'!AA71,IF(ID!$B$54=' Input Data Tekanan Hisap'!$A$160,'Input Data Tekanan Semprot'!AG71,IF(ID!$B$54=' Input Data Tekanan Hisap'!$A$161,'Input Data Tekanan Semprot'!AM71,IF(ID!$B$54=' Input Data Tekanan Hisap'!$A$162,'Input Data Tekanan Semprot'!AA84,IF(ID!$B$54=' Input Data Tekanan Hisap'!$A$163,'Input Data Tekanan Semprot'!AG84,IF(ID!$B$54=' Input Data Tekanan Hisap'!$A$164,'Input Data Tekanan Semprot'!AM84,IF(ID!$B$54=' Input Data Tekanan Hisap'!$A$163,'Input Data Tekanan Semprot'!AG84,'Input Data Tekanan Semprot'!AM84)))))))))))))))))))))</f>
        <v>1.9336777496394002E-3</v>
      </c>
    </row>
    <row r="105" spans="1:13" x14ac:dyDescent="0.25">
      <c r="A105" s="1008">
        <f>IF(ID!$B$54=' Input Data Tekanan Hisap'!$A$145,'Input Data Tekanan Semprot'!W6,IF(ID!$B$54=' Input Data Tekanan Hisap'!$A$146,'Input Data Tekanan Semprot'!AC6,IF(ID!$B$54=' Input Data Tekanan Hisap'!$A$147,'Input Data Tekanan Semprot'!AI6,IF(ID!$B$54=' Input Data Tekanan Hisap'!$A$148,'Input Data Tekanan Semprot'!W19,IF(ID!$B$54=' Input Data Tekanan Hisap'!$A$149,'Input Data Tekanan Semprot'!AC19,IF(ID!$B$54=' Input Data Tekanan Hisap'!$A$150,'Input Data Tekanan Semprot'!AI19,IF(ID!$B$54=' Input Data Tekanan Hisap'!$A$151,'Input Data Tekanan Semprot'!W32,IF(ID!$B$54=' Input Data Tekanan Hisap'!$A$152,'Input Data Tekanan Semprot'!AC32,IF(ID!$B$54=' Input Data Tekanan Hisap'!$A$153,'Input Data Tekanan Semprot'!AI32,IF(ID!$B$54=' Input Data Tekanan Hisap'!$A$154,'Input Data Tekanan Semprot'!W45,IF(ID!$B$54=' Input Data Tekanan Hisap'!$A$155,'Input Data Tekanan Semprot'!AC45,IF(ID!$B$54=' Input Data Tekanan Hisap'!$A$156,'Input Data Tekanan Semprot'!W58,IF(ID!$B$54=' Input Data Tekanan Hisap'!$A$157,'Input Data Tekanan Semprot'!AC58,IF(ID!$B$54=' Input Data Tekanan Hisap'!$A$158,'Input Data Tekanan Semprot'!AI58,IF(ID!$B$54=' Input Data Tekanan Hisap'!$A$159,'Input Data Tekanan Semprot'!W72,IF(ID!$B$54=' Input Data Tekanan Hisap'!$A$160,'Input Data Tekanan Semprot'!AC72,IF(ID!$B$54=' Input Data Tekanan Hisap'!$A$161,'Input Data Tekanan Semprot'!AI72,IF(ID!$B$54=' Input Data Tekanan Hisap'!$A$162,'Input Data Tekanan Semprot'!W85,IF(ID!$B$54=' Input Data Tekanan Hisap'!$A$163,'Input Data Tekanan Semprot'!AC85,IF(ID!$B$54=' Input Data Tekanan Hisap'!$A$164,'Input Data Tekanan Semprot'!AI85,IF(ID!$B$54=' Input Data Tekanan Hisap'!$A$163,'Input Data Tekanan Semprot'!AC85,'Input Data Tekanan Semprot'!AI85)))))))))))))))))))))</f>
        <v>0.9668388748197001</v>
      </c>
      <c r="B105" s="1008">
        <f>IF(ID!$B$54=' Input Data Tekanan Hisap'!$A$145,'Input Data Tekanan Semprot'!X6,IF(ID!$B$54=' Input Data Tekanan Hisap'!$A$146,'Input Data Tekanan Semprot'!AD6,IF(ID!$B$54=' Input Data Tekanan Hisap'!$A$147,'Input Data Tekanan Semprot'!AJ6,IF(ID!$B$54=' Input Data Tekanan Hisap'!$A$148,'Input Data Tekanan Semprot'!X19,IF(ID!$B$54=' Input Data Tekanan Hisap'!$A$149,'Input Data Tekanan Semprot'!AD19,IF(ID!$B$54=' Input Data Tekanan Hisap'!$A$150,'Input Data Tekanan Semprot'!AJ19,IF(ID!$B$54=' Input Data Tekanan Hisap'!$A$151,'Input Data Tekanan Semprot'!X32,IF(ID!$B$54=' Input Data Tekanan Hisap'!$A$152,'Input Data Tekanan Semprot'!AD32,IF(ID!$B$54=' Input Data Tekanan Hisap'!$A$153,'Input Data Tekanan Semprot'!AJ32,IF(ID!$B$54=' Input Data Tekanan Hisap'!$A$154,'Input Data Tekanan Semprot'!X45,IF(ID!$B$54=' Input Data Tekanan Hisap'!$A$155,'Input Data Tekanan Semprot'!AD45,IF(ID!$B$54=' Input Data Tekanan Hisap'!$A$156,'Input Data Tekanan Semprot'!X58,IF(ID!$B$54=' Input Data Tekanan Hisap'!$A$157,'Input Data Tekanan Semprot'!AD58,IF(ID!$B$54=' Input Data Tekanan Hisap'!$A$158,'Input Data Tekanan Semprot'!AJ58,IF(ID!$B$54=' Input Data Tekanan Hisap'!$A$159,'Input Data Tekanan Semprot'!X72,IF(ID!$B$54=' Input Data Tekanan Hisap'!$A$160,'Input Data Tekanan Semprot'!AD72,IF(ID!$B$54=' Input Data Tekanan Hisap'!$A$161,'Input Data Tekanan Semprot'!AJ72,IF(ID!$B$54=' Input Data Tekanan Hisap'!$A$162,'Input Data Tekanan Semprot'!X85,IF(ID!$B$54=' Input Data Tekanan Hisap'!$A$163,'Input Data Tekanan Semprot'!AD85,IF(ID!$B$54=' Input Data Tekanan Hisap'!$A$164,'Input Data Tekanan Semprot'!AJ85,IF(ID!$B$54=' Input Data Tekanan Hisap'!$A$163,'Input Data Tekanan Semprot'!AD85,'Input Data Tekanan Semprot'!AJ85)))))))))))))))))))))</f>
        <v>-1.9336777496394278E-3</v>
      </c>
      <c r="C105" s="1008">
        <f>IF(ID!$B$54=' Input Data Tekanan Hisap'!$A$145,'Input Data Tekanan Semprot'!Y6,IF(ID!$B$54=' Input Data Tekanan Hisap'!$A$146,'Input Data Tekanan Semprot'!AE6,IF(ID!$B$54=' Input Data Tekanan Hisap'!$A$147,'Input Data Tekanan Semprot'!AK6,IF(ID!$B$54=' Input Data Tekanan Hisap'!$A$148,'Input Data Tekanan Semprot'!Y19,IF(ID!$B$54=' Input Data Tekanan Hisap'!$A$149,'Input Data Tekanan Semprot'!AE19,IF(ID!$B$54=' Input Data Tekanan Hisap'!$A$150,'Input Data Tekanan Semprot'!AK19,IF(ID!$B$54=' Input Data Tekanan Hisap'!$A$151,'Input Data Tekanan Semprot'!Y32,IF(ID!$B$54=' Input Data Tekanan Hisap'!$A$152,'Input Data Tekanan Semprot'!AE32,IF(ID!$B$54=' Input Data Tekanan Hisap'!$A$153,'Input Data Tekanan Semprot'!AK32,IF(ID!$B$54=' Input Data Tekanan Hisap'!$A$154,'Input Data Tekanan Semprot'!Y45,IF(ID!$B$54=' Input Data Tekanan Hisap'!$A$155,'Input Data Tekanan Semprot'!AE45,IF(ID!$B$54=' Input Data Tekanan Hisap'!$A$156,'Input Data Tekanan Semprot'!Y58,IF(ID!$B$54=' Input Data Tekanan Hisap'!$A$157,'Input Data Tekanan Semprot'!AE58,IF(ID!$B$54=' Input Data Tekanan Hisap'!$A$158,'Input Data Tekanan Semprot'!AK58,IF(ID!$B$54=' Input Data Tekanan Hisap'!$A$159,'Input Data Tekanan Semprot'!Y72,IF(ID!$B$54=' Input Data Tekanan Hisap'!$A$160,'Input Data Tekanan Semprot'!AE72,IF(ID!$B$54=' Input Data Tekanan Hisap'!$A$161,'Input Data Tekanan Semprot'!AK72,IF(ID!$B$54=' Input Data Tekanan Hisap'!$A$162,'Input Data Tekanan Semprot'!Y85,IF(ID!$B$54=' Input Data Tekanan Hisap'!$A$163,'Input Data Tekanan Semprot'!AE85,IF(ID!$B$54=' Input Data Tekanan Hisap'!$A$164,'Input Data Tekanan Semprot'!AK85,IF(ID!$B$54=' Input Data Tekanan Hisap'!$A$163,'Input Data Tekanan Semprot'!AE85,'Input Data Tekanan Semprot'!AK85)))))))))))))))))))))</f>
        <v>-1.9336777496394278E-3</v>
      </c>
      <c r="D105" s="1009">
        <f>IF(ID!$B$54=' Input Data Tekanan Hisap'!$A$145,'Input Data Tekanan Semprot'!Z6,IF(ID!$B$54=' Input Data Tekanan Hisap'!$A$146,'Input Data Tekanan Semprot'!AF6,IF(ID!$B$54=' Input Data Tekanan Hisap'!$A$147,'Input Data Tekanan Semprot'!AL6,IF(ID!$B$54=' Input Data Tekanan Hisap'!$A$148,'Input Data Tekanan Semprot'!Z19,IF(ID!$B$54=' Input Data Tekanan Hisap'!$A$149,'Input Data Tekanan Semprot'!AF19,IF(ID!$B$54=' Input Data Tekanan Hisap'!$A$150,'Input Data Tekanan Semprot'!AL19,IF(ID!$B$54=' Input Data Tekanan Hisap'!$A$151,'Input Data Tekanan Semprot'!Z32,IF(ID!$B$54=' Input Data Tekanan Hisap'!$A$152,'Input Data Tekanan Semprot'!AF32,IF(ID!$B$54=' Input Data Tekanan Hisap'!$A$153,'Input Data Tekanan Semprot'!AL32,IF(ID!$B$54=' Input Data Tekanan Hisap'!$A$154,'Input Data Tekanan Semprot'!Z45,IF(ID!$B$54=' Input Data Tekanan Hisap'!$A$155,'Input Data Tekanan Semprot'!AF45,IF(ID!$B$54=' Input Data Tekanan Hisap'!$A$156,'Input Data Tekanan Semprot'!Z58,IF(ID!$B$54=' Input Data Tekanan Hisap'!$A$157,'Input Data Tekanan Semprot'!AF58,IF(ID!$B$54=' Input Data Tekanan Hisap'!$A$158,'Input Data Tekanan Semprot'!AL58,IF(ID!$B$54=' Input Data Tekanan Hisap'!$A$159,'Input Data Tekanan Semprot'!Z72,IF(ID!$B$54=' Input Data Tekanan Hisap'!$A$160,'Input Data Tekanan Semprot'!AF72,IF(ID!$B$54=' Input Data Tekanan Hisap'!$A$161,'Input Data Tekanan Semprot'!AL72,IF(ID!$B$54=' Input Data Tekanan Hisap'!$A$162,'Input Data Tekanan Semprot'!Z85,IF(ID!$B$54=' Input Data Tekanan Hisap'!$A$163,'Input Data Tekanan Semprot'!AF85,IF(ID!$B$54=' Input Data Tekanan Hisap'!$A$164,'Input Data Tekanan Semprot'!AL85,IF(ID!$B$54=' Input Data Tekanan Hisap'!$A$163,'Input Data Tekanan Semprot'!AF85,'Input Data Tekanan Semprot'!AL85)))))))))))))))))))))</f>
        <v>0</v>
      </c>
      <c r="E105" s="1009">
        <f>IF(ID!$B$54=' Input Data Tekanan Hisap'!$A$145,'Input Data Tekanan Semprot'!AA6,IF(ID!$B$54=' Input Data Tekanan Hisap'!$A$146,'Input Data Tekanan Semprot'!AG6,IF(ID!$B$54=' Input Data Tekanan Hisap'!$A$147,'Input Data Tekanan Semprot'!AM6,IF(ID!$B$54=' Input Data Tekanan Hisap'!$A$148,'Input Data Tekanan Semprot'!AA19,IF(ID!$B$54=' Input Data Tekanan Hisap'!$A$149,'Input Data Tekanan Semprot'!AG19,IF(ID!$B$54=' Input Data Tekanan Hisap'!$A$150,'Input Data Tekanan Semprot'!AM19,IF(ID!$B$54=' Input Data Tekanan Hisap'!$A$151,'Input Data Tekanan Semprot'!AA32,IF(ID!$B$54=' Input Data Tekanan Hisap'!$A$152,'Input Data Tekanan Semprot'!AG32,IF(ID!$B$54=' Input Data Tekanan Hisap'!$A$153,'Input Data Tekanan Semprot'!AM32,IF(ID!$B$54=' Input Data Tekanan Hisap'!$A$154,'Input Data Tekanan Semprot'!AA45,IF(ID!$B$54=' Input Data Tekanan Hisap'!$A$155,'Input Data Tekanan Semprot'!AG45,IF(ID!$B$54=' Input Data Tekanan Hisap'!$A$156,'Input Data Tekanan Semprot'!AA58,IF(ID!$B$54=' Input Data Tekanan Hisap'!$A$157,'Input Data Tekanan Semprot'!AG58,IF(ID!$B$54=' Input Data Tekanan Hisap'!$A$158,'Input Data Tekanan Semprot'!AM58,IF(ID!$B$54=' Input Data Tekanan Hisap'!$A$159,'Input Data Tekanan Semprot'!AA72,IF(ID!$B$54=' Input Data Tekanan Hisap'!$A$160,'Input Data Tekanan Semprot'!AG72,IF(ID!$B$54=' Input Data Tekanan Hisap'!$A$161,'Input Data Tekanan Semprot'!AM72,IF(ID!$B$54=' Input Data Tekanan Hisap'!$A$162,'Input Data Tekanan Semprot'!AA85,IF(ID!$B$54=' Input Data Tekanan Hisap'!$A$163,'Input Data Tekanan Semprot'!AG85,IF(ID!$B$54=' Input Data Tekanan Hisap'!$A$164,'Input Data Tekanan Semprot'!AM85,IF(ID!$B$54=' Input Data Tekanan Hisap'!$A$163,'Input Data Tekanan Semprot'!AG85,'Input Data Tekanan Semprot'!AM85)))))))))))))))))))))</f>
        <v>3.8673554992788004E-3</v>
      </c>
    </row>
    <row r="106" spans="1:13" x14ac:dyDescent="0.25">
      <c r="A106" s="1008">
        <f>IF(ID!$B$54=' Input Data Tekanan Hisap'!$A$145,'Input Data Tekanan Semprot'!W7,IF(ID!$B$54=' Input Data Tekanan Hisap'!$A$146,'Input Data Tekanan Semprot'!AC7,IF(ID!$B$54=' Input Data Tekanan Hisap'!$A$147,'Input Data Tekanan Semprot'!AI7,IF(ID!$B$54=' Input Data Tekanan Hisap'!$A$148,'Input Data Tekanan Semprot'!W20,IF(ID!$B$54=' Input Data Tekanan Hisap'!$A$149,'Input Data Tekanan Semprot'!AC20,IF(ID!$B$54=' Input Data Tekanan Hisap'!$A$150,'Input Data Tekanan Semprot'!AI20,IF(ID!$B$54=' Input Data Tekanan Hisap'!$A$151,'Input Data Tekanan Semprot'!W33,IF(ID!$B$54=' Input Data Tekanan Hisap'!$A$152,'Input Data Tekanan Semprot'!AC33,IF(ID!$B$54=' Input Data Tekanan Hisap'!$A$153,'Input Data Tekanan Semprot'!AI33,IF(ID!$B$54=' Input Data Tekanan Hisap'!$A$154,'Input Data Tekanan Semprot'!W46,IF(ID!$B$54=' Input Data Tekanan Hisap'!$A$155,'Input Data Tekanan Semprot'!AC46,IF(ID!$B$54=' Input Data Tekanan Hisap'!$A$156,'Input Data Tekanan Semprot'!W59,IF(ID!$B$54=' Input Data Tekanan Hisap'!$A$157,'Input Data Tekanan Semprot'!AC59,IF(ID!$B$54=' Input Data Tekanan Hisap'!$A$158,'Input Data Tekanan Semprot'!AI59,IF(ID!$B$54=' Input Data Tekanan Hisap'!$A$159,'Input Data Tekanan Semprot'!W73,IF(ID!$B$54=' Input Data Tekanan Hisap'!$A$160,'Input Data Tekanan Semprot'!AC73,IF(ID!$B$54=' Input Data Tekanan Hisap'!$A$161,'Input Data Tekanan Semprot'!AI73,IF(ID!$B$54=' Input Data Tekanan Hisap'!$A$162,'Input Data Tekanan Semprot'!W86,IF(ID!$B$54=' Input Data Tekanan Hisap'!$A$163,'Input Data Tekanan Semprot'!AC86,IF(ID!$B$54=' Input Data Tekanan Hisap'!$A$164,'Input Data Tekanan Semprot'!AI86,IF(ID!$B$54=' Input Data Tekanan Hisap'!$A$163,'Input Data Tekanan Semprot'!AC86,'Input Data Tekanan Semprot'!AI86)))))))))))))))))))))</f>
        <v>1.9336777496394002</v>
      </c>
      <c r="B106" s="1008">
        <f>IF(ID!$B$54=' Input Data Tekanan Hisap'!$A$145,'Input Data Tekanan Semprot'!X7,IF(ID!$B$54=' Input Data Tekanan Hisap'!$A$146,'Input Data Tekanan Semprot'!AD7,IF(ID!$B$54=' Input Data Tekanan Hisap'!$A$147,'Input Data Tekanan Semprot'!AJ7,IF(ID!$B$54=' Input Data Tekanan Hisap'!$A$148,'Input Data Tekanan Semprot'!X20,IF(ID!$B$54=' Input Data Tekanan Hisap'!$A$149,'Input Data Tekanan Semprot'!AD20,IF(ID!$B$54=' Input Data Tekanan Hisap'!$A$150,'Input Data Tekanan Semprot'!AJ20,IF(ID!$B$54=' Input Data Tekanan Hisap'!$A$151,'Input Data Tekanan Semprot'!X33,IF(ID!$B$54=' Input Data Tekanan Hisap'!$A$152,'Input Data Tekanan Semprot'!AD33,IF(ID!$B$54=' Input Data Tekanan Hisap'!$A$153,'Input Data Tekanan Semprot'!AJ33,IF(ID!$B$54=' Input Data Tekanan Hisap'!$A$154,'Input Data Tekanan Semprot'!X46,IF(ID!$B$54=' Input Data Tekanan Hisap'!$A$155,'Input Data Tekanan Semprot'!AD46,IF(ID!$B$54=' Input Data Tekanan Hisap'!$A$156,'Input Data Tekanan Semprot'!X59,IF(ID!$B$54=' Input Data Tekanan Hisap'!$A$157,'Input Data Tekanan Semprot'!AD59,IF(ID!$B$54=' Input Data Tekanan Hisap'!$A$158,'Input Data Tekanan Semprot'!AJ59,IF(ID!$B$54=' Input Data Tekanan Hisap'!$A$159,'Input Data Tekanan Semprot'!X73,IF(ID!$B$54=' Input Data Tekanan Hisap'!$A$160,'Input Data Tekanan Semprot'!AD73,IF(ID!$B$54=' Input Data Tekanan Hisap'!$A$161,'Input Data Tekanan Semprot'!AJ73,IF(ID!$B$54=' Input Data Tekanan Hisap'!$A$162,'Input Data Tekanan Semprot'!X86,IF(ID!$B$54=' Input Data Tekanan Hisap'!$A$163,'Input Data Tekanan Semprot'!AD86,IF(ID!$B$54=' Input Data Tekanan Hisap'!$A$164,'Input Data Tekanan Semprot'!AJ86,IF(ID!$B$54=' Input Data Tekanan Hisap'!$A$163,'Input Data Tekanan Semprot'!AD86,'Input Data Tekanan Semprot'!AJ86)))))))))))))))))))))</f>
        <v>-1.9336777496392903E-3</v>
      </c>
      <c r="C106" s="1008">
        <f>IF(ID!$B$54=' Input Data Tekanan Hisap'!$A$145,'Input Data Tekanan Semprot'!Y7,IF(ID!$B$54=' Input Data Tekanan Hisap'!$A$146,'Input Data Tekanan Semprot'!AE7,IF(ID!$B$54=' Input Data Tekanan Hisap'!$A$147,'Input Data Tekanan Semprot'!AK7,IF(ID!$B$54=' Input Data Tekanan Hisap'!$A$148,'Input Data Tekanan Semprot'!Y20,IF(ID!$B$54=' Input Data Tekanan Hisap'!$A$149,'Input Data Tekanan Semprot'!AE20,IF(ID!$B$54=' Input Data Tekanan Hisap'!$A$150,'Input Data Tekanan Semprot'!AK20,IF(ID!$B$54=' Input Data Tekanan Hisap'!$A$151,'Input Data Tekanan Semprot'!Y33,IF(ID!$B$54=' Input Data Tekanan Hisap'!$A$152,'Input Data Tekanan Semprot'!AE33,IF(ID!$B$54=' Input Data Tekanan Hisap'!$A$153,'Input Data Tekanan Semprot'!AK33,IF(ID!$B$54=' Input Data Tekanan Hisap'!$A$154,'Input Data Tekanan Semprot'!Y46,IF(ID!$B$54=' Input Data Tekanan Hisap'!$A$155,'Input Data Tekanan Semprot'!AE46,IF(ID!$B$54=' Input Data Tekanan Hisap'!$A$156,'Input Data Tekanan Semprot'!Y59,IF(ID!$B$54=' Input Data Tekanan Hisap'!$A$157,'Input Data Tekanan Semprot'!AE59,IF(ID!$B$54=' Input Data Tekanan Hisap'!$A$158,'Input Data Tekanan Semprot'!AK59,IF(ID!$B$54=' Input Data Tekanan Hisap'!$A$159,'Input Data Tekanan Semprot'!Y73,IF(ID!$B$54=' Input Data Tekanan Hisap'!$A$160,'Input Data Tekanan Semprot'!AE73,IF(ID!$B$54=' Input Data Tekanan Hisap'!$A$161,'Input Data Tekanan Semprot'!AK73,IF(ID!$B$54=' Input Data Tekanan Hisap'!$A$162,'Input Data Tekanan Semprot'!Y86,IF(ID!$B$54=' Input Data Tekanan Hisap'!$A$163,'Input Data Tekanan Semprot'!AE86,IF(ID!$B$54=' Input Data Tekanan Hisap'!$A$164,'Input Data Tekanan Semprot'!AK86,IF(ID!$B$54=' Input Data Tekanan Hisap'!$A$163,'Input Data Tekanan Semprot'!AE86,'Input Data Tekanan Semprot'!AK86)))))))))))))))))))))</f>
        <v>-3.8673554992788555E-3</v>
      </c>
      <c r="D106" s="1009">
        <f>IF(ID!$B$54=' Input Data Tekanan Hisap'!$A$145,'Input Data Tekanan Semprot'!Z7,IF(ID!$B$54=' Input Data Tekanan Hisap'!$A$146,'Input Data Tekanan Semprot'!AF7,IF(ID!$B$54=' Input Data Tekanan Hisap'!$A$147,'Input Data Tekanan Semprot'!AL7,IF(ID!$B$54=' Input Data Tekanan Hisap'!$A$148,'Input Data Tekanan Semprot'!Z20,IF(ID!$B$54=' Input Data Tekanan Hisap'!$A$149,'Input Data Tekanan Semprot'!AF20,IF(ID!$B$54=' Input Data Tekanan Hisap'!$A$150,'Input Data Tekanan Semprot'!AL20,IF(ID!$B$54=' Input Data Tekanan Hisap'!$A$151,'Input Data Tekanan Semprot'!Z33,IF(ID!$B$54=' Input Data Tekanan Hisap'!$A$152,'Input Data Tekanan Semprot'!AF33,IF(ID!$B$54=' Input Data Tekanan Hisap'!$A$153,'Input Data Tekanan Semprot'!AL33,IF(ID!$B$54=' Input Data Tekanan Hisap'!$A$154,'Input Data Tekanan Semprot'!Z46,IF(ID!$B$54=' Input Data Tekanan Hisap'!$A$155,'Input Data Tekanan Semprot'!AF46,IF(ID!$B$54=' Input Data Tekanan Hisap'!$A$156,'Input Data Tekanan Semprot'!Z59,IF(ID!$B$54=' Input Data Tekanan Hisap'!$A$157,'Input Data Tekanan Semprot'!AF59,IF(ID!$B$54=' Input Data Tekanan Hisap'!$A$158,'Input Data Tekanan Semprot'!AL59,IF(ID!$B$54=' Input Data Tekanan Hisap'!$A$159,'Input Data Tekanan Semprot'!Z73,IF(ID!$B$54=' Input Data Tekanan Hisap'!$A$160,'Input Data Tekanan Semprot'!AF73,IF(ID!$B$54=' Input Data Tekanan Hisap'!$A$161,'Input Data Tekanan Semprot'!AL73,IF(ID!$B$54=' Input Data Tekanan Hisap'!$A$162,'Input Data Tekanan Semprot'!Z86,IF(ID!$B$54=' Input Data Tekanan Hisap'!$A$163,'Input Data Tekanan Semprot'!AF86,IF(ID!$B$54=' Input Data Tekanan Hisap'!$A$164,'Input Data Tekanan Semprot'!AL86,IF(ID!$B$54=' Input Data Tekanan Hisap'!$A$163,'Input Data Tekanan Semprot'!AF86,'Input Data Tekanan Semprot'!AL86)))))))))))))))))))))</f>
        <v>9.6683887481978262E-4</v>
      </c>
      <c r="E106" s="1009">
        <f>IF(ID!$B$54=' Input Data Tekanan Hisap'!$A$145,'Input Data Tekanan Semprot'!AA7,IF(ID!$B$54=' Input Data Tekanan Hisap'!$A$146,'Input Data Tekanan Semprot'!AG7,IF(ID!$B$54=' Input Data Tekanan Hisap'!$A$147,'Input Data Tekanan Semprot'!AM7,IF(ID!$B$54=' Input Data Tekanan Hisap'!$A$148,'Input Data Tekanan Semprot'!AA20,IF(ID!$B$54=' Input Data Tekanan Hisap'!$A$149,'Input Data Tekanan Semprot'!AG20,IF(ID!$B$54=' Input Data Tekanan Hisap'!$A$150,'Input Data Tekanan Semprot'!AM20,IF(ID!$B$54=' Input Data Tekanan Hisap'!$A$151,'Input Data Tekanan Semprot'!AA33,IF(ID!$B$54=' Input Data Tekanan Hisap'!$A$152,'Input Data Tekanan Semprot'!AG33,IF(ID!$B$54=' Input Data Tekanan Hisap'!$A$153,'Input Data Tekanan Semprot'!AM33,IF(ID!$B$54=' Input Data Tekanan Hisap'!$A$154,'Input Data Tekanan Semprot'!AA46,IF(ID!$B$54=' Input Data Tekanan Hisap'!$A$155,'Input Data Tekanan Semprot'!AG46,IF(ID!$B$54=' Input Data Tekanan Hisap'!$A$156,'Input Data Tekanan Semprot'!AA59,IF(ID!$B$54=' Input Data Tekanan Hisap'!$A$157,'Input Data Tekanan Semprot'!AG59,IF(ID!$B$54=' Input Data Tekanan Hisap'!$A$158,'Input Data Tekanan Semprot'!AM59,IF(ID!$B$54=' Input Data Tekanan Hisap'!$A$159,'Input Data Tekanan Semprot'!AA73,IF(ID!$B$54=' Input Data Tekanan Hisap'!$A$160,'Input Data Tekanan Semprot'!AG73,IF(ID!$B$54=' Input Data Tekanan Hisap'!$A$161,'Input Data Tekanan Semprot'!AM73,IF(ID!$B$54=' Input Data Tekanan Hisap'!$A$162,'Input Data Tekanan Semprot'!AA86,IF(ID!$B$54=' Input Data Tekanan Hisap'!$A$163,'Input Data Tekanan Semprot'!AG86,IF(ID!$B$54=' Input Data Tekanan Hisap'!$A$164,'Input Data Tekanan Semprot'!AM86,IF(ID!$B$54=' Input Data Tekanan Hisap'!$A$163,'Input Data Tekanan Semprot'!AG86,'Input Data Tekanan Semprot'!AM86)))))))))))))))))))))</f>
        <v>3.8673554992788004E-3</v>
      </c>
    </row>
    <row r="107" spans="1:13" ht="12.75" customHeight="1" x14ac:dyDescent="0.25">
      <c r="A107" s="1008">
        <f>IF(ID!$B$54=' Input Data Tekanan Hisap'!$A$145,'Input Data Tekanan Semprot'!W8,IF(ID!$B$54=' Input Data Tekanan Hisap'!$A$146,'Input Data Tekanan Semprot'!AC8,IF(ID!$B$54=' Input Data Tekanan Hisap'!$A$147,'Input Data Tekanan Semprot'!AI8,IF(ID!$B$54=' Input Data Tekanan Hisap'!$A$148,'Input Data Tekanan Semprot'!W21,IF(ID!$B$54=' Input Data Tekanan Hisap'!$A$149,'Input Data Tekanan Semprot'!AC21,IF(ID!$B$54=' Input Data Tekanan Hisap'!$A$150,'Input Data Tekanan Semprot'!AI21,IF(ID!$B$54=' Input Data Tekanan Hisap'!$A$151,'Input Data Tekanan Semprot'!W34,IF(ID!$B$54=' Input Data Tekanan Hisap'!$A$152,'Input Data Tekanan Semprot'!AC34,IF(ID!$B$54=' Input Data Tekanan Hisap'!$A$153,'Input Data Tekanan Semprot'!AI34,IF(ID!$B$54=' Input Data Tekanan Hisap'!$A$154,'Input Data Tekanan Semprot'!W47,IF(ID!$B$54=' Input Data Tekanan Hisap'!$A$155,'Input Data Tekanan Semprot'!AC47,IF(ID!$B$54=' Input Data Tekanan Hisap'!$A$156,'Input Data Tekanan Semprot'!W60,IF(ID!$B$54=' Input Data Tekanan Hisap'!$A$157,'Input Data Tekanan Semprot'!AC60,IF(ID!$B$54=' Input Data Tekanan Hisap'!$A$158,'Input Data Tekanan Semprot'!AI60,IF(ID!$B$54=' Input Data Tekanan Hisap'!$A$159,'Input Data Tekanan Semprot'!W74,IF(ID!$B$54=' Input Data Tekanan Hisap'!$A$160,'Input Data Tekanan Semprot'!AC74,IF(ID!$B$54=' Input Data Tekanan Hisap'!$A$161,'Input Data Tekanan Semprot'!AI74,IF(ID!$B$54=' Input Data Tekanan Hisap'!$A$162,'Input Data Tekanan Semprot'!W87,IF(ID!$B$54=' Input Data Tekanan Hisap'!$A$163,'Input Data Tekanan Semprot'!AC87,IF(ID!$B$54=' Input Data Tekanan Hisap'!$A$164,'Input Data Tekanan Semprot'!AI87,IF(ID!$B$54=' Input Data Tekanan Hisap'!$A$163,'Input Data Tekanan Semprot'!AC87,'Input Data Tekanan Semprot'!AI87)))))))))))))))))))))</f>
        <v>2.9005166244591001</v>
      </c>
      <c r="B107" s="1008">
        <f>IF(ID!$B$54=' Input Data Tekanan Hisap'!$A$145,'Input Data Tekanan Semprot'!X8,IF(ID!$B$54=' Input Data Tekanan Hisap'!$A$146,'Input Data Tekanan Semprot'!AD8,IF(ID!$B$54=' Input Data Tekanan Hisap'!$A$147,'Input Data Tekanan Semprot'!AJ8,IF(ID!$B$54=' Input Data Tekanan Hisap'!$A$148,'Input Data Tekanan Semprot'!X21,IF(ID!$B$54=' Input Data Tekanan Hisap'!$A$149,'Input Data Tekanan Semprot'!AD21,IF(ID!$B$54=' Input Data Tekanan Hisap'!$A$150,'Input Data Tekanan Semprot'!AJ21,IF(ID!$B$54=' Input Data Tekanan Hisap'!$A$151,'Input Data Tekanan Semprot'!X34,IF(ID!$B$54=' Input Data Tekanan Hisap'!$A$152,'Input Data Tekanan Semprot'!AD34,IF(ID!$B$54=' Input Data Tekanan Hisap'!$A$153,'Input Data Tekanan Semprot'!AJ34,IF(ID!$B$54=' Input Data Tekanan Hisap'!$A$154,'Input Data Tekanan Semprot'!X47,IF(ID!$B$54=' Input Data Tekanan Hisap'!$A$155,'Input Data Tekanan Semprot'!AD47,IF(ID!$B$54=' Input Data Tekanan Hisap'!$A$156,'Input Data Tekanan Semprot'!X60,IF(ID!$B$54=' Input Data Tekanan Hisap'!$A$157,'Input Data Tekanan Semprot'!AD60,IF(ID!$B$54=' Input Data Tekanan Hisap'!$A$158,'Input Data Tekanan Semprot'!AJ60,IF(ID!$B$54=' Input Data Tekanan Hisap'!$A$159,'Input Data Tekanan Semprot'!X74,IF(ID!$B$54=' Input Data Tekanan Hisap'!$A$160,'Input Data Tekanan Semprot'!AD74,IF(ID!$B$54=' Input Data Tekanan Hisap'!$A$161,'Input Data Tekanan Semprot'!AJ74,IF(ID!$B$54=' Input Data Tekanan Hisap'!$A$162,'Input Data Tekanan Semprot'!X87,IF(ID!$B$54=' Input Data Tekanan Hisap'!$A$163,'Input Data Tekanan Semprot'!AD87,IF(ID!$B$54=' Input Data Tekanan Hisap'!$A$164,'Input Data Tekanan Semprot'!AJ87,IF(ID!$B$54=' Input Data Tekanan Hisap'!$A$163,'Input Data Tekanan Semprot'!AD87,'Input Data Tekanan Semprot'!AJ87)))))))))))))))))))))</f>
        <v>-1.9336777496392903E-3</v>
      </c>
      <c r="C107" s="1008">
        <f>IF(ID!$B$54=' Input Data Tekanan Hisap'!$A$145,'Input Data Tekanan Semprot'!Y8,IF(ID!$B$54=' Input Data Tekanan Hisap'!$A$146,'Input Data Tekanan Semprot'!AE8,IF(ID!$B$54=' Input Data Tekanan Hisap'!$A$147,'Input Data Tekanan Semprot'!AK8,IF(ID!$B$54=' Input Data Tekanan Hisap'!$A$148,'Input Data Tekanan Semprot'!Y21,IF(ID!$B$54=' Input Data Tekanan Hisap'!$A$149,'Input Data Tekanan Semprot'!AE21,IF(ID!$B$54=' Input Data Tekanan Hisap'!$A$150,'Input Data Tekanan Semprot'!AK21,IF(ID!$B$54=' Input Data Tekanan Hisap'!$A$151,'Input Data Tekanan Semprot'!Y34,IF(ID!$B$54=' Input Data Tekanan Hisap'!$A$152,'Input Data Tekanan Semprot'!AE34,IF(ID!$B$54=' Input Data Tekanan Hisap'!$A$153,'Input Data Tekanan Semprot'!AK34,IF(ID!$B$54=' Input Data Tekanan Hisap'!$A$154,'Input Data Tekanan Semprot'!Y47,IF(ID!$B$54=' Input Data Tekanan Hisap'!$A$155,'Input Data Tekanan Semprot'!AE47,IF(ID!$B$54=' Input Data Tekanan Hisap'!$A$156,'Input Data Tekanan Semprot'!Y60,IF(ID!$B$54=' Input Data Tekanan Hisap'!$A$157,'Input Data Tekanan Semprot'!AE60,IF(ID!$B$54=' Input Data Tekanan Hisap'!$A$158,'Input Data Tekanan Semprot'!AK60,IF(ID!$B$54=' Input Data Tekanan Hisap'!$A$159,'Input Data Tekanan Semprot'!Y74,IF(ID!$B$54=' Input Data Tekanan Hisap'!$A$160,'Input Data Tekanan Semprot'!AE74,IF(ID!$B$54=' Input Data Tekanan Hisap'!$A$161,'Input Data Tekanan Semprot'!AK74,IF(ID!$B$54=' Input Data Tekanan Hisap'!$A$162,'Input Data Tekanan Semprot'!Y87,IF(ID!$B$54=' Input Data Tekanan Hisap'!$A$163,'Input Data Tekanan Semprot'!AE87,IF(ID!$B$54=' Input Data Tekanan Hisap'!$A$164,'Input Data Tekanan Semprot'!AK87,IF(ID!$B$54=' Input Data Tekanan Hisap'!$A$163,'Input Data Tekanan Semprot'!AE87,'Input Data Tekanan Semprot'!AK87)))))))))))))))))))))</f>
        <v>-3.8673554992785806E-3</v>
      </c>
      <c r="D107" s="1009">
        <f>IF(ID!$B$54=' Input Data Tekanan Hisap'!$A$145,'Input Data Tekanan Semprot'!Z8,IF(ID!$B$54=' Input Data Tekanan Hisap'!$A$146,'Input Data Tekanan Semprot'!AF8,IF(ID!$B$54=' Input Data Tekanan Hisap'!$A$147,'Input Data Tekanan Semprot'!AL8,IF(ID!$B$54=' Input Data Tekanan Hisap'!$A$148,'Input Data Tekanan Semprot'!Z21,IF(ID!$B$54=' Input Data Tekanan Hisap'!$A$149,'Input Data Tekanan Semprot'!AF21,IF(ID!$B$54=' Input Data Tekanan Hisap'!$A$150,'Input Data Tekanan Semprot'!AL21,IF(ID!$B$54=' Input Data Tekanan Hisap'!$A$151,'Input Data Tekanan Semprot'!Z34,IF(ID!$B$54=' Input Data Tekanan Hisap'!$A$152,'Input Data Tekanan Semprot'!AF34,IF(ID!$B$54=' Input Data Tekanan Hisap'!$A$153,'Input Data Tekanan Semprot'!AL34,IF(ID!$B$54=' Input Data Tekanan Hisap'!$A$154,'Input Data Tekanan Semprot'!Z47,IF(ID!$B$54=' Input Data Tekanan Hisap'!$A$155,'Input Data Tekanan Semprot'!AF47,IF(ID!$B$54=' Input Data Tekanan Hisap'!$A$156,'Input Data Tekanan Semprot'!Z60,IF(ID!$B$54=' Input Data Tekanan Hisap'!$A$157,'Input Data Tekanan Semprot'!AF60,IF(ID!$B$54=' Input Data Tekanan Hisap'!$A$158,'Input Data Tekanan Semprot'!AL60,IF(ID!$B$54=' Input Data Tekanan Hisap'!$A$159,'Input Data Tekanan Semprot'!Z74,IF(ID!$B$54=' Input Data Tekanan Hisap'!$A$160,'Input Data Tekanan Semprot'!AF74,IF(ID!$B$54=' Input Data Tekanan Hisap'!$A$161,'Input Data Tekanan Semprot'!AL74,IF(ID!$B$54=' Input Data Tekanan Hisap'!$A$162,'Input Data Tekanan Semprot'!Z87,IF(ID!$B$54=' Input Data Tekanan Hisap'!$A$163,'Input Data Tekanan Semprot'!AF87,IF(ID!$B$54=' Input Data Tekanan Hisap'!$A$164,'Input Data Tekanan Semprot'!AL87,IF(ID!$B$54=' Input Data Tekanan Hisap'!$A$163,'Input Data Tekanan Semprot'!AF87,'Input Data Tekanan Semprot'!AL87)))))))))))))))))))))</f>
        <v>9.6683887481964514E-4</v>
      </c>
      <c r="E107" s="1009">
        <f>IF(ID!$B$54=' Input Data Tekanan Hisap'!$A$145,'Input Data Tekanan Semprot'!AA8,IF(ID!$B$54=' Input Data Tekanan Hisap'!$A$146,'Input Data Tekanan Semprot'!AG8,IF(ID!$B$54=' Input Data Tekanan Hisap'!$A$147,'Input Data Tekanan Semprot'!AM8,IF(ID!$B$54=' Input Data Tekanan Hisap'!$A$148,'Input Data Tekanan Semprot'!AA21,IF(ID!$B$54=' Input Data Tekanan Hisap'!$A$149,'Input Data Tekanan Semprot'!AG21,IF(ID!$B$54=' Input Data Tekanan Hisap'!$A$150,'Input Data Tekanan Semprot'!AM21,IF(ID!$B$54=' Input Data Tekanan Hisap'!$A$151,'Input Data Tekanan Semprot'!AA34,IF(ID!$B$54=' Input Data Tekanan Hisap'!$A$152,'Input Data Tekanan Semprot'!AG34,IF(ID!$B$54=' Input Data Tekanan Hisap'!$A$153,'Input Data Tekanan Semprot'!AM34,IF(ID!$B$54=' Input Data Tekanan Hisap'!$A$154,'Input Data Tekanan Semprot'!AA47,IF(ID!$B$54=' Input Data Tekanan Hisap'!$A$155,'Input Data Tekanan Semprot'!AG47,IF(ID!$B$54=' Input Data Tekanan Hisap'!$A$156,'Input Data Tekanan Semprot'!AA60,IF(ID!$B$54=' Input Data Tekanan Hisap'!$A$157,'Input Data Tekanan Semprot'!AG60,IF(ID!$B$54=' Input Data Tekanan Hisap'!$A$158,'Input Data Tekanan Semprot'!AM60,IF(ID!$B$54=' Input Data Tekanan Hisap'!$A$159,'Input Data Tekanan Semprot'!AA74,IF(ID!$B$54=' Input Data Tekanan Hisap'!$A$160,'Input Data Tekanan Semprot'!AG74,IF(ID!$B$54=' Input Data Tekanan Hisap'!$A$161,'Input Data Tekanan Semprot'!AM74,IF(ID!$B$54=' Input Data Tekanan Hisap'!$A$162,'Input Data Tekanan Semprot'!AA87,IF(ID!$B$54=' Input Data Tekanan Hisap'!$A$163,'Input Data Tekanan Semprot'!AG87,IF(ID!$B$54=' Input Data Tekanan Hisap'!$A$164,'Input Data Tekanan Semprot'!AM87,IF(ID!$B$54=' Input Data Tekanan Hisap'!$A$163,'Input Data Tekanan Semprot'!AG87,'Input Data Tekanan Semprot'!AM87)))))))))))))))))))))</f>
        <v>3.8673554992788004E-3</v>
      </c>
    </row>
    <row r="108" spans="1:13" ht="24.75" customHeight="1" x14ac:dyDescent="0.25">
      <c r="A108" s="1008">
        <f>IF(ID!$B$54=' Input Data Tekanan Hisap'!$A$145,'Input Data Tekanan Semprot'!W9,IF(ID!$B$54=' Input Data Tekanan Hisap'!$A$146,'Input Data Tekanan Semprot'!AC9,IF(ID!$B$54=' Input Data Tekanan Hisap'!$A$147,'Input Data Tekanan Semprot'!AI9,IF(ID!$B$54=' Input Data Tekanan Hisap'!$A$148,'Input Data Tekanan Semprot'!W22,IF(ID!$B$54=' Input Data Tekanan Hisap'!$A$149,'Input Data Tekanan Semprot'!AC22,IF(ID!$B$54=' Input Data Tekanan Hisap'!$A$150,'Input Data Tekanan Semprot'!AI22,IF(ID!$B$54=' Input Data Tekanan Hisap'!$A$151,'Input Data Tekanan Semprot'!W35,IF(ID!$B$54=' Input Data Tekanan Hisap'!$A$152,'Input Data Tekanan Semprot'!AC35,IF(ID!$B$54=' Input Data Tekanan Hisap'!$A$153,'Input Data Tekanan Semprot'!AI35,IF(ID!$B$54=' Input Data Tekanan Hisap'!$A$154,'Input Data Tekanan Semprot'!W48,IF(ID!$B$54=' Input Data Tekanan Hisap'!$A$155,'Input Data Tekanan Semprot'!AC48,IF(ID!$B$54=' Input Data Tekanan Hisap'!$A$156,'Input Data Tekanan Semprot'!W61,IF(ID!$B$54=' Input Data Tekanan Hisap'!$A$157,'Input Data Tekanan Semprot'!AC61,IF(ID!$B$54=' Input Data Tekanan Hisap'!$A$158,'Input Data Tekanan Semprot'!AI61,IF(ID!$B$54=' Input Data Tekanan Hisap'!$A$159,'Input Data Tekanan Semprot'!W75,IF(ID!$B$54=' Input Data Tekanan Hisap'!$A$160,'Input Data Tekanan Semprot'!AC75,IF(ID!$B$54=' Input Data Tekanan Hisap'!$A$161,'Input Data Tekanan Semprot'!AI75,IF(ID!$B$54=' Input Data Tekanan Hisap'!$A$162,'Input Data Tekanan Semprot'!W88,IF(ID!$B$54=' Input Data Tekanan Hisap'!$A$163,'Input Data Tekanan Semprot'!AC88,IF(ID!$B$54=' Input Data Tekanan Hisap'!$A$164,'Input Data Tekanan Semprot'!AI88,IF(ID!$B$54=' Input Data Tekanan Hisap'!$A$163,'Input Data Tekanan Semprot'!AC88,'Input Data Tekanan Semprot'!AI88)))))))))))))))))))))</f>
        <v>3.8673554992788004</v>
      </c>
      <c r="B108" s="1008">
        <f>IF(ID!$B$54=' Input Data Tekanan Hisap'!$A$145,'Input Data Tekanan Semprot'!X9,IF(ID!$B$54=' Input Data Tekanan Hisap'!$A$146,'Input Data Tekanan Semprot'!AD9,IF(ID!$B$54=' Input Data Tekanan Hisap'!$A$147,'Input Data Tekanan Semprot'!AJ9,IF(ID!$B$54=' Input Data Tekanan Hisap'!$A$148,'Input Data Tekanan Semprot'!X22,IF(ID!$B$54=' Input Data Tekanan Hisap'!$A$149,'Input Data Tekanan Semprot'!AD22,IF(ID!$B$54=' Input Data Tekanan Hisap'!$A$150,'Input Data Tekanan Semprot'!AJ22,IF(ID!$B$54=' Input Data Tekanan Hisap'!$A$151,'Input Data Tekanan Semprot'!X35,IF(ID!$B$54=' Input Data Tekanan Hisap'!$A$152,'Input Data Tekanan Semprot'!AD35,IF(ID!$B$54=' Input Data Tekanan Hisap'!$A$153,'Input Data Tekanan Semprot'!AJ35,IF(ID!$B$54=' Input Data Tekanan Hisap'!$A$154,'Input Data Tekanan Semprot'!X48,IF(ID!$B$54=' Input Data Tekanan Hisap'!$A$155,'Input Data Tekanan Semprot'!AD48,IF(ID!$B$54=' Input Data Tekanan Hisap'!$A$156,'Input Data Tekanan Semprot'!X61,IF(ID!$B$54=' Input Data Tekanan Hisap'!$A$157,'Input Data Tekanan Semprot'!AD61,IF(ID!$B$54=' Input Data Tekanan Hisap'!$A$158,'Input Data Tekanan Semprot'!AJ61,IF(ID!$B$54=' Input Data Tekanan Hisap'!$A$159,'Input Data Tekanan Semprot'!X75,IF(ID!$B$54=' Input Data Tekanan Hisap'!$A$160,'Input Data Tekanan Semprot'!AD75,IF(ID!$B$54=' Input Data Tekanan Hisap'!$A$161,'Input Data Tekanan Semprot'!AJ75,IF(ID!$B$54=' Input Data Tekanan Hisap'!$A$162,'Input Data Tekanan Semprot'!X88,IF(ID!$B$54=' Input Data Tekanan Hisap'!$A$163,'Input Data Tekanan Semprot'!AD88,IF(ID!$B$54=' Input Data Tekanan Hisap'!$A$164,'Input Data Tekanan Semprot'!AJ88,IF(ID!$B$54=' Input Data Tekanan Hisap'!$A$163,'Input Data Tekanan Semprot'!AD88,'Input Data Tekanan Semprot'!AJ88)))))))))))))))))))))</f>
        <v>-1.9336777496392903E-3</v>
      </c>
      <c r="C108" s="1008">
        <f>IF(ID!$B$54=' Input Data Tekanan Hisap'!$A$145,'Input Data Tekanan Semprot'!Y9,IF(ID!$B$54=' Input Data Tekanan Hisap'!$A$146,'Input Data Tekanan Semprot'!AE9,IF(ID!$B$54=' Input Data Tekanan Hisap'!$A$147,'Input Data Tekanan Semprot'!AK9,IF(ID!$B$54=' Input Data Tekanan Hisap'!$A$148,'Input Data Tekanan Semprot'!Y22,IF(ID!$B$54=' Input Data Tekanan Hisap'!$A$149,'Input Data Tekanan Semprot'!AE22,IF(ID!$B$54=' Input Data Tekanan Hisap'!$A$150,'Input Data Tekanan Semprot'!AK22,IF(ID!$B$54=' Input Data Tekanan Hisap'!$A$151,'Input Data Tekanan Semprot'!Y35,IF(ID!$B$54=' Input Data Tekanan Hisap'!$A$152,'Input Data Tekanan Semprot'!AE35,IF(ID!$B$54=' Input Data Tekanan Hisap'!$A$153,'Input Data Tekanan Semprot'!AK35,IF(ID!$B$54=' Input Data Tekanan Hisap'!$A$154,'Input Data Tekanan Semprot'!Y48,IF(ID!$B$54=' Input Data Tekanan Hisap'!$A$155,'Input Data Tekanan Semprot'!AE48,IF(ID!$B$54=' Input Data Tekanan Hisap'!$A$156,'Input Data Tekanan Semprot'!Y61,IF(ID!$B$54=' Input Data Tekanan Hisap'!$A$157,'Input Data Tekanan Semprot'!AE61,IF(ID!$B$54=' Input Data Tekanan Hisap'!$A$158,'Input Data Tekanan Semprot'!AK61,IF(ID!$B$54=' Input Data Tekanan Hisap'!$A$159,'Input Data Tekanan Semprot'!Y75,IF(ID!$B$54=' Input Data Tekanan Hisap'!$A$160,'Input Data Tekanan Semprot'!AE75,IF(ID!$B$54=' Input Data Tekanan Hisap'!$A$161,'Input Data Tekanan Semprot'!AK75,IF(ID!$B$54=' Input Data Tekanan Hisap'!$A$162,'Input Data Tekanan Semprot'!Y88,IF(ID!$B$54=' Input Data Tekanan Hisap'!$A$163,'Input Data Tekanan Semprot'!AE88,IF(ID!$B$54=' Input Data Tekanan Hisap'!$A$164,'Input Data Tekanan Semprot'!AK88,IF(ID!$B$54=' Input Data Tekanan Hisap'!$A$163,'Input Data Tekanan Semprot'!AE88,'Input Data Tekanan Semprot'!AK88)))))))))))))))))))))</f>
        <v>-3.8673554992785806E-3</v>
      </c>
      <c r="D108" s="1009">
        <f>IF(ID!$B$54=' Input Data Tekanan Hisap'!$A$145,'Input Data Tekanan Semprot'!Z9,IF(ID!$B$54=' Input Data Tekanan Hisap'!$A$146,'Input Data Tekanan Semprot'!AF9,IF(ID!$B$54=' Input Data Tekanan Hisap'!$A$147,'Input Data Tekanan Semprot'!AL9,IF(ID!$B$54=' Input Data Tekanan Hisap'!$A$148,'Input Data Tekanan Semprot'!Z22,IF(ID!$B$54=' Input Data Tekanan Hisap'!$A$149,'Input Data Tekanan Semprot'!AF22,IF(ID!$B$54=' Input Data Tekanan Hisap'!$A$150,'Input Data Tekanan Semprot'!AL22,IF(ID!$B$54=' Input Data Tekanan Hisap'!$A$151,'Input Data Tekanan Semprot'!Z35,IF(ID!$B$54=' Input Data Tekanan Hisap'!$A$152,'Input Data Tekanan Semprot'!AF35,IF(ID!$B$54=' Input Data Tekanan Hisap'!$A$153,'Input Data Tekanan Semprot'!AL35,IF(ID!$B$54=' Input Data Tekanan Hisap'!$A$154,'Input Data Tekanan Semprot'!Z48,IF(ID!$B$54=' Input Data Tekanan Hisap'!$A$155,'Input Data Tekanan Semprot'!AF48,IF(ID!$B$54=' Input Data Tekanan Hisap'!$A$156,'Input Data Tekanan Semprot'!Z61,IF(ID!$B$54=' Input Data Tekanan Hisap'!$A$157,'Input Data Tekanan Semprot'!AF61,IF(ID!$B$54=' Input Data Tekanan Hisap'!$A$158,'Input Data Tekanan Semprot'!AL61,IF(ID!$B$54=' Input Data Tekanan Hisap'!$A$159,'Input Data Tekanan Semprot'!Z75,IF(ID!$B$54=' Input Data Tekanan Hisap'!$A$160,'Input Data Tekanan Semprot'!AF75,IF(ID!$B$54=' Input Data Tekanan Hisap'!$A$161,'Input Data Tekanan Semprot'!AL75,IF(ID!$B$54=' Input Data Tekanan Hisap'!$A$162,'Input Data Tekanan Semprot'!Z88,IF(ID!$B$54=' Input Data Tekanan Hisap'!$A$163,'Input Data Tekanan Semprot'!AF88,IF(ID!$B$54=' Input Data Tekanan Hisap'!$A$164,'Input Data Tekanan Semprot'!AL88,IF(ID!$B$54=' Input Data Tekanan Hisap'!$A$163,'Input Data Tekanan Semprot'!AF88,'Input Data Tekanan Semprot'!AL88)))))))))))))))))))))</f>
        <v>9.6683887481964514E-4</v>
      </c>
      <c r="E108" s="1009">
        <f>IF(ID!$B$54=' Input Data Tekanan Hisap'!$A$145,'Input Data Tekanan Semprot'!AA9,IF(ID!$B$54=' Input Data Tekanan Hisap'!$A$146,'Input Data Tekanan Semprot'!AG9,IF(ID!$B$54=' Input Data Tekanan Hisap'!$A$147,'Input Data Tekanan Semprot'!AM9,IF(ID!$B$54=' Input Data Tekanan Hisap'!$A$148,'Input Data Tekanan Semprot'!AA22,IF(ID!$B$54=' Input Data Tekanan Hisap'!$A$149,'Input Data Tekanan Semprot'!AG22,IF(ID!$B$54=' Input Data Tekanan Hisap'!$A$150,'Input Data Tekanan Semprot'!AM22,IF(ID!$B$54=' Input Data Tekanan Hisap'!$A$151,'Input Data Tekanan Semprot'!AA35,IF(ID!$B$54=' Input Data Tekanan Hisap'!$A$152,'Input Data Tekanan Semprot'!AG35,IF(ID!$B$54=' Input Data Tekanan Hisap'!$A$153,'Input Data Tekanan Semprot'!AM35,IF(ID!$B$54=' Input Data Tekanan Hisap'!$A$154,'Input Data Tekanan Semprot'!AA48,IF(ID!$B$54=' Input Data Tekanan Hisap'!$A$155,'Input Data Tekanan Semprot'!AG48,IF(ID!$B$54=' Input Data Tekanan Hisap'!$A$156,'Input Data Tekanan Semprot'!AA61,IF(ID!$B$54=' Input Data Tekanan Hisap'!$A$157,'Input Data Tekanan Semprot'!AG61,IF(ID!$B$54=' Input Data Tekanan Hisap'!$A$158,'Input Data Tekanan Semprot'!AM61,IF(ID!$B$54=' Input Data Tekanan Hisap'!$A$159,'Input Data Tekanan Semprot'!AA75,IF(ID!$B$54=' Input Data Tekanan Hisap'!$A$160,'Input Data Tekanan Semprot'!AG75,IF(ID!$B$54=' Input Data Tekanan Hisap'!$A$161,'Input Data Tekanan Semprot'!AM75,IF(ID!$B$54=' Input Data Tekanan Hisap'!$A$162,'Input Data Tekanan Semprot'!AA88,IF(ID!$B$54=' Input Data Tekanan Hisap'!$A$163,'Input Data Tekanan Semprot'!AG88,IF(ID!$B$54=' Input Data Tekanan Hisap'!$A$164,'Input Data Tekanan Semprot'!AM88,IF(ID!$B$54=' Input Data Tekanan Hisap'!$A$163,'Input Data Tekanan Semprot'!AG88,'Input Data Tekanan Semprot'!AM88)))))))))))))))))))))</f>
        <v>3.8673554992788004E-3</v>
      </c>
    </row>
    <row r="109" spans="1:13" ht="24.75" customHeight="1" x14ac:dyDescent="0.25">
      <c r="A109" s="1008">
        <f>IF(ID!$B$54=' Input Data Tekanan Hisap'!$A$145,'Input Data Tekanan Semprot'!W10,IF(ID!$B$54=' Input Data Tekanan Hisap'!$A$146,'Input Data Tekanan Semprot'!AC10,IF(ID!$B$54=' Input Data Tekanan Hisap'!$A$147,'Input Data Tekanan Semprot'!AI10,IF(ID!$B$54=' Input Data Tekanan Hisap'!$A$148,'Input Data Tekanan Semprot'!W23,IF(ID!$B$54=' Input Data Tekanan Hisap'!$A$149,'Input Data Tekanan Semprot'!AC23,IF(ID!$B$54=' Input Data Tekanan Hisap'!$A$150,'Input Data Tekanan Semprot'!AI23,IF(ID!$B$54=' Input Data Tekanan Hisap'!$A$151,'Input Data Tekanan Semprot'!W36,IF(ID!$B$54=' Input Data Tekanan Hisap'!$A$152,'Input Data Tekanan Semprot'!AC36,IF(ID!$B$54=' Input Data Tekanan Hisap'!$A$153,'Input Data Tekanan Semprot'!AI36,IF(ID!$B$54=' Input Data Tekanan Hisap'!$A$154,'Input Data Tekanan Semprot'!W49,IF(ID!$B$54=' Input Data Tekanan Hisap'!$A$155,'Input Data Tekanan Semprot'!AC49,IF(ID!$B$54=' Input Data Tekanan Hisap'!$A$156,'Input Data Tekanan Semprot'!W62,IF(ID!$B$54=' Input Data Tekanan Hisap'!$A$157,'Input Data Tekanan Semprot'!AC62,IF(ID!$B$54=' Input Data Tekanan Hisap'!$A$158,'Input Data Tekanan Semprot'!AI62,IF(ID!$B$54=' Input Data Tekanan Hisap'!$A$159,'Input Data Tekanan Semprot'!W76,IF(ID!$B$54=' Input Data Tekanan Hisap'!$A$160,'Input Data Tekanan Semprot'!AC76,IF(ID!$B$54=' Input Data Tekanan Hisap'!$A$161,'Input Data Tekanan Semprot'!AI76,IF(ID!$B$54=' Input Data Tekanan Hisap'!$A$162,'Input Data Tekanan Semprot'!W89,IF(ID!$B$54=' Input Data Tekanan Hisap'!$A$163,'Input Data Tekanan Semprot'!AC89,IF(ID!$B$54=' Input Data Tekanan Hisap'!$A$164,'Input Data Tekanan Semprot'!AI89,IF(ID!$B$54=' Input Data Tekanan Hisap'!$A$163,'Input Data Tekanan Semprot'!AC89,'Input Data Tekanan Semprot'!AI89)))))))))))))))))))))</f>
        <v>4.8341943740985007</v>
      </c>
      <c r="B109" s="1008">
        <f>IF(ID!$B$54=' Input Data Tekanan Hisap'!$A$145,'Input Data Tekanan Semprot'!X10,IF(ID!$B$54=' Input Data Tekanan Hisap'!$A$146,'Input Data Tekanan Semprot'!AD10,IF(ID!$B$54=' Input Data Tekanan Hisap'!$A$147,'Input Data Tekanan Semprot'!AJ10,IF(ID!$B$54=' Input Data Tekanan Hisap'!$A$148,'Input Data Tekanan Semprot'!X23,IF(ID!$B$54=' Input Data Tekanan Hisap'!$A$149,'Input Data Tekanan Semprot'!AD23,IF(ID!$B$54=' Input Data Tekanan Hisap'!$A$150,'Input Data Tekanan Semprot'!AJ23,IF(ID!$B$54=' Input Data Tekanan Hisap'!$A$151,'Input Data Tekanan Semprot'!X36,IF(ID!$B$54=' Input Data Tekanan Hisap'!$A$152,'Input Data Tekanan Semprot'!AD36,IF(ID!$B$54=' Input Data Tekanan Hisap'!$A$153,'Input Data Tekanan Semprot'!AJ36,IF(ID!$B$54=' Input Data Tekanan Hisap'!$A$154,'Input Data Tekanan Semprot'!X49,IF(ID!$B$54=' Input Data Tekanan Hisap'!$A$155,'Input Data Tekanan Semprot'!AD49,IF(ID!$B$54=' Input Data Tekanan Hisap'!$A$156,'Input Data Tekanan Semprot'!X62,IF(ID!$B$54=' Input Data Tekanan Hisap'!$A$157,'Input Data Tekanan Semprot'!AD62,IF(ID!$B$54=' Input Data Tekanan Hisap'!$A$158,'Input Data Tekanan Semprot'!AJ62,IF(ID!$B$54=' Input Data Tekanan Hisap'!$A$159,'Input Data Tekanan Semprot'!X76,IF(ID!$B$54=' Input Data Tekanan Hisap'!$A$160,'Input Data Tekanan Semprot'!AD76,IF(ID!$B$54=' Input Data Tekanan Hisap'!$A$161,'Input Data Tekanan Semprot'!AJ76,IF(ID!$B$54=' Input Data Tekanan Hisap'!$A$162,'Input Data Tekanan Semprot'!X89,IF(ID!$B$54=' Input Data Tekanan Hisap'!$A$163,'Input Data Tekanan Semprot'!AD89,IF(ID!$B$54=' Input Data Tekanan Hisap'!$A$164,'Input Data Tekanan Semprot'!AJ89,IF(ID!$B$54=' Input Data Tekanan Hisap'!$A$163,'Input Data Tekanan Semprot'!AD89,'Input Data Tekanan Semprot'!AJ89)))))))))))))))))))))</f>
        <v>-1.9336777496392903E-3</v>
      </c>
      <c r="C109" s="1008">
        <f>IF(ID!$B$54=' Input Data Tekanan Hisap'!$A$145,'Input Data Tekanan Semprot'!Y10,IF(ID!$B$54=' Input Data Tekanan Hisap'!$A$146,'Input Data Tekanan Semprot'!AE10,IF(ID!$B$54=' Input Data Tekanan Hisap'!$A$147,'Input Data Tekanan Semprot'!AK10,IF(ID!$B$54=' Input Data Tekanan Hisap'!$A$148,'Input Data Tekanan Semprot'!Y23,IF(ID!$B$54=' Input Data Tekanan Hisap'!$A$149,'Input Data Tekanan Semprot'!AE23,IF(ID!$B$54=' Input Data Tekanan Hisap'!$A$150,'Input Data Tekanan Semprot'!AK23,IF(ID!$B$54=' Input Data Tekanan Hisap'!$A$151,'Input Data Tekanan Semprot'!Y36,IF(ID!$B$54=' Input Data Tekanan Hisap'!$A$152,'Input Data Tekanan Semprot'!AE36,IF(ID!$B$54=' Input Data Tekanan Hisap'!$A$153,'Input Data Tekanan Semprot'!AK36,IF(ID!$B$54=' Input Data Tekanan Hisap'!$A$154,'Input Data Tekanan Semprot'!Y49,IF(ID!$B$54=' Input Data Tekanan Hisap'!$A$155,'Input Data Tekanan Semprot'!AE49,IF(ID!$B$54=' Input Data Tekanan Hisap'!$A$156,'Input Data Tekanan Semprot'!Y62,IF(ID!$B$54=' Input Data Tekanan Hisap'!$A$157,'Input Data Tekanan Semprot'!AE62,IF(ID!$B$54=' Input Data Tekanan Hisap'!$A$158,'Input Data Tekanan Semprot'!AK62,IF(ID!$B$54=' Input Data Tekanan Hisap'!$A$159,'Input Data Tekanan Semprot'!Y76,IF(ID!$B$54=' Input Data Tekanan Hisap'!$A$160,'Input Data Tekanan Semprot'!AE76,IF(ID!$B$54=' Input Data Tekanan Hisap'!$A$161,'Input Data Tekanan Semprot'!AK76,IF(ID!$B$54=' Input Data Tekanan Hisap'!$A$162,'Input Data Tekanan Semprot'!Y89,IF(ID!$B$54=' Input Data Tekanan Hisap'!$A$163,'Input Data Tekanan Semprot'!AE89,IF(ID!$B$54=' Input Data Tekanan Hisap'!$A$164,'Input Data Tekanan Semprot'!AK89,IF(ID!$B$54=' Input Data Tekanan Hisap'!$A$163,'Input Data Tekanan Semprot'!AE89,'Input Data Tekanan Semprot'!AK89)))))))))))))))))))))</f>
        <v>-3.8673554992785806E-3</v>
      </c>
      <c r="D109" s="1009">
        <f>IF(ID!$B$54=' Input Data Tekanan Hisap'!$A$145,'Input Data Tekanan Semprot'!Z10,IF(ID!$B$54=' Input Data Tekanan Hisap'!$A$146,'Input Data Tekanan Semprot'!AF10,IF(ID!$B$54=' Input Data Tekanan Hisap'!$A$147,'Input Data Tekanan Semprot'!AL10,IF(ID!$B$54=' Input Data Tekanan Hisap'!$A$148,'Input Data Tekanan Semprot'!Z23,IF(ID!$B$54=' Input Data Tekanan Hisap'!$A$149,'Input Data Tekanan Semprot'!AF23,IF(ID!$B$54=' Input Data Tekanan Hisap'!$A$150,'Input Data Tekanan Semprot'!AL23,IF(ID!$B$54=' Input Data Tekanan Hisap'!$A$151,'Input Data Tekanan Semprot'!Z36,IF(ID!$B$54=' Input Data Tekanan Hisap'!$A$152,'Input Data Tekanan Semprot'!AF36,IF(ID!$B$54=' Input Data Tekanan Hisap'!$A$153,'Input Data Tekanan Semprot'!AL36,IF(ID!$B$54=' Input Data Tekanan Hisap'!$A$154,'Input Data Tekanan Semprot'!Z49,IF(ID!$B$54=' Input Data Tekanan Hisap'!$A$155,'Input Data Tekanan Semprot'!AF49,IF(ID!$B$54=' Input Data Tekanan Hisap'!$A$156,'Input Data Tekanan Semprot'!Z62,IF(ID!$B$54=' Input Data Tekanan Hisap'!$A$157,'Input Data Tekanan Semprot'!AF62,IF(ID!$B$54=' Input Data Tekanan Hisap'!$A$158,'Input Data Tekanan Semprot'!AL62,IF(ID!$B$54=' Input Data Tekanan Hisap'!$A$159,'Input Data Tekanan Semprot'!Z76,IF(ID!$B$54=' Input Data Tekanan Hisap'!$A$160,'Input Data Tekanan Semprot'!AF76,IF(ID!$B$54=' Input Data Tekanan Hisap'!$A$161,'Input Data Tekanan Semprot'!AL76,IF(ID!$B$54=' Input Data Tekanan Hisap'!$A$162,'Input Data Tekanan Semprot'!Z89,IF(ID!$B$54=' Input Data Tekanan Hisap'!$A$163,'Input Data Tekanan Semprot'!AF89,IF(ID!$B$54=' Input Data Tekanan Hisap'!$A$164,'Input Data Tekanan Semprot'!AL89,IF(ID!$B$54=' Input Data Tekanan Hisap'!$A$163,'Input Data Tekanan Semprot'!AF89,'Input Data Tekanan Semprot'!AL89)))))))))))))))))))))</f>
        <v>9.6683887481964514E-4</v>
      </c>
      <c r="E109" s="1009">
        <f>IF(ID!$B$54=' Input Data Tekanan Hisap'!$A$145,'Input Data Tekanan Semprot'!AA10,IF(ID!$B$54=' Input Data Tekanan Hisap'!$A$146,'Input Data Tekanan Semprot'!AG10,IF(ID!$B$54=' Input Data Tekanan Hisap'!$A$147,'Input Data Tekanan Semprot'!AM10,IF(ID!$B$54=' Input Data Tekanan Hisap'!$A$148,'Input Data Tekanan Semprot'!AA23,IF(ID!$B$54=' Input Data Tekanan Hisap'!$A$149,'Input Data Tekanan Semprot'!AG23,IF(ID!$B$54=' Input Data Tekanan Hisap'!$A$150,'Input Data Tekanan Semprot'!AM23,IF(ID!$B$54=' Input Data Tekanan Hisap'!$A$151,'Input Data Tekanan Semprot'!AA36,IF(ID!$B$54=' Input Data Tekanan Hisap'!$A$152,'Input Data Tekanan Semprot'!AG36,IF(ID!$B$54=' Input Data Tekanan Hisap'!$A$153,'Input Data Tekanan Semprot'!AM36,IF(ID!$B$54=' Input Data Tekanan Hisap'!$A$154,'Input Data Tekanan Semprot'!AA49,IF(ID!$B$54=' Input Data Tekanan Hisap'!$A$155,'Input Data Tekanan Semprot'!AG49,IF(ID!$B$54=' Input Data Tekanan Hisap'!$A$156,'Input Data Tekanan Semprot'!AA62,IF(ID!$B$54=' Input Data Tekanan Hisap'!$A$157,'Input Data Tekanan Semprot'!AG62,IF(ID!$B$54=' Input Data Tekanan Hisap'!$A$158,'Input Data Tekanan Semprot'!AM62,IF(ID!$B$54=' Input Data Tekanan Hisap'!$A$159,'Input Data Tekanan Semprot'!AA76,IF(ID!$B$54=' Input Data Tekanan Hisap'!$A$160,'Input Data Tekanan Semprot'!AG76,IF(ID!$B$54=' Input Data Tekanan Hisap'!$A$161,'Input Data Tekanan Semprot'!AM76,IF(ID!$B$54=' Input Data Tekanan Hisap'!$A$162,'Input Data Tekanan Semprot'!AA89,IF(ID!$B$54=' Input Data Tekanan Hisap'!$A$163,'Input Data Tekanan Semprot'!AG89,IF(ID!$B$54=' Input Data Tekanan Hisap'!$A$164,'Input Data Tekanan Semprot'!AM89,IF(ID!$B$54=' Input Data Tekanan Hisap'!$A$163,'Input Data Tekanan Semprot'!AG89,'Input Data Tekanan Semprot'!AM89)))))))))))))))))))))</f>
        <v>3.8673554992788004E-3</v>
      </c>
    </row>
    <row r="110" spans="1:13" x14ac:dyDescent="0.25">
      <c r="A110" s="1008">
        <f>IF(ID!$B$54=' Input Data Tekanan Hisap'!$A$145,'Input Data Tekanan Semprot'!W11,IF(ID!$B$54=' Input Data Tekanan Hisap'!$A$146,'Input Data Tekanan Semprot'!AC11,IF(ID!$B$54=' Input Data Tekanan Hisap'!$A$147,'Input Data Tekanan Semprot'!AI11,IF(ID!$B$54=' Input Data Tekanan Hisap'!$A$148,'Input Data Tekanan Semprot'!W24,IF(ID!$B$54=' Input Data Tekanan Hisap'!$A$149,'Input Data Tekanan Semprot'!AC24,IF(ID!$B$54=' Input Data Tekanan Hisap'!$A$150,'Input Data Tekanan Semprot'!AI24,IF(ID!$B$54=' Input Data Tekanan Hisap'!$A$151,'Input Data Tekanan Semprot'!W37,IF(ID!$B$54=' Input Data Tekanan Hisap'!$A$152,'Input Data Tekanan Semprot'!AC37,IF(ID!$B$54=' Input Data Tekanan Hisap'!$A$153,'Input Data Tekanan Semprot'!AI37,IF(ID!$B$54=' Input Data Tekanan Hisap'!$A$154,'Input Data Tekanan Semprot'!W50,IF(ID!$B$54=' Input Data Tekanan Hisap'!$A$155,'Input Data Tekanan Semprot'!AC50,IF(ID!$B$54=' Input Data Tekanan Hisap'!$A$156,'Input Data Tekanan Semprot'!W63,IF(ID!$B$54=' Input Data Tekanan Hisap'!$A$157,'Input Data Tekanan Semprot'!AC63,IF(ID!$B$54=' Input Data Tekanan Hisap'!$A$158,'Input Data Tekanan Semprot'!AI63,IF(ID!$B$54=' Input Data Tekanan Hisap'!$A$159,'Input Data Tekanan Semprot'!W77,IF(ID!$B$54=' Input Data Tekanan Hisap'!$A$160,'Input Data Tekanan Semprot'!AC77,IF(ID!$B$54=' Input Data Tekanan Hisap'!$A$161,'Input Data Tekanan Semprot'!AI77,IF(ID!$B$54=' Input Data Tekanan Hisap'!$A$162,'Input Data Tekanan Semprot'!W90,IF(ID!$B$54=' Input Data Tekanan Hisap'!$A$163,'Input Data Tekanan Semprot'!AC90,IF(ID!$B$54=' Input Data Tekanan Hisap'!$A$164,'Input Data Tekanan Semprot'!AI90,IF(ID!$B$54=' Input Data Tekanan Hisap'!$A$163,'Input Data Tekanan Semprot'!AC90,'Input Data Tekanan Semprot'!AI90)))))))))))))))))))))</f>
        <v>5.8010332489182002</v>
      </c>
      <c r="B110" s="1008">
        <f>IF(ID!$B$54=' Input Data Tekanan Hisap'!$A$145,'Input Data Tekanan Semprot'!X11,IF(ID!$B$54=' Input Data Tekanan Hisap'!$A$146,'Input Data Tekanan Semprot'!AD11,IF(ID!$B$54=' Input Data Tekanan Hisap'!$A$147,'Input Data Tekanan Semprot'!AJ11,IF(ID!$B$54=' Input Data Tekanan Hisap'!$A$148,'Input Data Tekanan Semprot'!X24,IF(ID!$B$54=' Input Data Tekanan Hisap'!$A$149,'Input Data Tekanan Semprot'!AD24,IF(ID!$B$54=' Input Data Tekanan Hisap'!$A$150,'Input Data Tekanan Semprot'!AJ24,IF(ID!$B$54=' Input Data Tekanan Hisap'!$A$151,'Input Data Tekanan Semprot'!X37,IF(ID!$B$54=' Input Data Tekanan Hisap'!$A$152,'Input Data Tekanan Semprot'!AD37,IF(ID!$B$54=' Input Data Tekanan Hisap'!$A$153,'Input Data Tekanan Semprot'!AJ37,IF(ID!$B$54=' Input Data Tekanan Hisap'!$A$154,'Input Data Tekanan Semprot'!X50,IF(ID!$B$54=' Input Data Tekanan Hisap'!$A$155,'Input Data Tekanan Semprot'!AD50,IF(ID!$B$54=' Input Data Tekanan Hisap'!$A$156,'Input Data Tekanan Semprot'!X63,IF(ID!$B$54=' Input Data Tekanan Hisap'!$A$157,'Input Data Tekanan Semprot'!AD63,IF(ID!$B$54=' Input Data Tekanan Hisap'!$A$158,'Input Data Tekanan Semprot'!AJ63,IF(ID!$B$54=' Input Data Tekanan Hisap'!$A$159,'Input Data Tekanan Semprot'!X77,IF(ID!$B$54=' Input Data Tekanan Hisap'!$A$160,'Input Data Tekanan Semprot'!AD77,IF(ID!$B$54=' Input Data Tekanan Hisap'!$A$161,'Input Data Tekanan Semprot'!AJ77,IF(ID!$B$54=' Input Data Tekanan Hisap'!$A$162,'Input Data Tekanan Semprot'!X90,IF(ID!$B$54=' Input Data Tekanan Hisap'!$A$163,'Input Data Tekanan Semprot'!AD90,IF(ID!$B$54=' Input Data Tekanan Hisap'!$A$164,'Input Data Tekanan Semprot'!AJ90,IF(ID!$B$54=' Input Data Tekanan Hisap'!$A$163,'Input Data Tekanan Semprot'!AD90,'Input Data Tekanan Semprot'!AJ90)))))))))))))))))))))</f>
        <v>1.9336777496394002E-8</v>
      </c>
      <c r="C110" s="1008">
        <f>IF(ID!$B$54=' Input Data Tekanan Hisap'!$A$145,'Input Data Tekanan Semprot'!Y11,IF(ID!$B$54=' Input Data Tekanan Hisap'!$A$146,'Input Data Tekanan Semprot'!AE11,IF(ID!$B$54=' Input Data Tekanan Hisap'!$A$147,'Input Data Tekanan Semprot'!AK11,IF(ID!$B$54=' Input Data Tekanan Hisap'!$A$148,'Input Data Tekanan Semprot'!Y24,IF(ID!$B$54=' Input Data Tekanan Hisap'!$A$149,'Input Data Tekanan Semprot'!AE24,IF(ID!$B$54=' Input Data Tekanan Hisap'!$A$150,'Input Data Tekanan Semprot'!AK24,IF(ID!$B$54=' Input Data Tekanan Hisap'!$A$151,'Input Data Tekanan Semprot'!Y37,IF(ID!$B$54=' Input Data Tekanan Hisap'!$A$152,'Input Data Tekanan Semprot'!AE37,IF(ID!$B$54=' Input Data Tekanan Hisap'!$A$153,'Input Data Tekanan Semprot'!AK37,IF(ID!$B$54=' Input Data Tekanan Hisap'!$A$154,'Input Data Tekanan Semprot'!Y50,IF(ID!$B$54=' Input Data Tekanan Hisap'!$A$155,'Input Data Tekanan Semprot'!AE50,IF(ID!$B$54=' Input Data Tekanan Hisap'!$A$156,'Input Data Tekanan Semprot'!Y63,IF(ID!$B$54=' Input Data Tekanan Hisap'!$A$157,'Input Data Tekanan Semprot'!AE63,IF(ID!$B$54=' Input Data Tekanan Hisap'!$A$158,'Input Data Tekanan Semprot'!AK63,IF(ID!$B$54=' Input Data Tekanan Hisap'!$A$159,'Input Data Tekanan Semprot'!Y77,IF(ID!$B$54=' Input Data Tekanan Hisap'!$A$160,'Input Data Tekanan Semprot'!AE77,IF(ID!$B$54=' Input Data Tekanan Hisap'!$A$161,'Input Data Tekanan Semprot'!AK77,IF(ID!$B$54=' Input Data Tekanan Hisap'!$A$162,'Input Data Tekanan Semprot'!Y90,IF(ID!$B$54=' Input Data Tekanan Hisap'!$A$163,'Input Data Tekanan Semprot'!AE90,IF(ID!$B$54=' Input Data Tekanan Hisap'!$A$164,'Input Data Tekanan Semprot'!AK90,IF(ID!$B$54=' Input Data Tekanan Hisap'!$A$163,'Input Data Tekanan Semprot'!AE90,'Input Data Tekanan Semprot'!AK90)))))))))))))))))))))</f>
        <v>-3.8673554992785806E-3</v>
      </c>
      <c r="D110" s="1009">
        <f>IF(ID!$B$54=' Input Data Tekanan Hisap'!$A$145,'Input Data Tekanan Semprot'!Z11,IF(ID!$B$54=' Input Data Tekanan Hisap'!$A$146,'Input Data Tekanan Semprot'!AF11,IF(ID!$B$54=' Input Data Tekanan Hisap'!$A$147,'Input Data Tekanan Semprot'!AL11,IF(ID!$B$54=' Input Data Tekanan Hisap'!$A$148,'Input Data Tekanan Semprot'!Z24,IF(ID!$B$54=' Input Data Tekanan Hisap'!$A$149,'Input Data Tekanan Semprot'!AF24,IF(ID!$B$54=' Input Data Tekanan Hisap'!$A$150,'Input Data Tekanan Semprot'!AL24,IF(ID!$B$54=' Input Data Tekanan Hisap'!$A$151,'Input Data Tekanan Semprot'!Z37,IF(ID!$B$54=' Input Data Tekanan Hisap'!$A$152,'Input Data Tekanan Semprot'!AF37,IF(ID!$B$54=' Input Data Tekanan Hisap'!$A$153,'Input Data Tekanan Semprot'!AL37,IF(ID!$B$54=' Input Data Tekanan Hisap'!$A$154,'Input Data Tekanan Semprot'!Z50,IF(ID!$B$54=' Input Data Tekanan Hisap'!$A$155,'Input Data Tekanan Semprot'!AF50,IF(ID!$B$54=' Input Data Tekanan Hisap'!$A$156,'Input Data Tekanan Semprot'!Z63,IF(ID!$B$54=' Input Data Tekanan Hisap'!$A$157,'Input Data Tekanan Semprot'!AF63,IF(ID!$B$54=' Input Data Tekanan Hisap'!$A$158,'Input Data Tekanan Semprot'!AL63,IF(ID!$B$54=' Input Data Tekanan Hisap'!$A$159,'Input Data Tekanan Semprot'!Z77,IF(ID!$B$54=' Input Data Tekanan Hisap'!$A$160,'Input Data Tekanan Semprot'!AF77,IF(ID!$B$54=' Input Data Tekanan Hisap'!$A$161,'Input Data Tekanan Semprot'!AL77,IF(ID!$B$54=' Input Data Tekanan Hisap'!$A$162,'Input Data Tekanan Semprot'!Z90,IF(ID!$B$54=' Input Data Tekanan Hisap'!$A$163,'Input Data Tekanan Semprot'!AF90,IF(ID!$B$54=' Input Data Tekanan Hisap'!$A$164,'Input Data Tekanan Semprot'!AL90,IF(ID!$B$54=' Input Data Tekanan Hisap'!$A$163,'Input Data Tekanan Semprot'!AF90,'Input Data Tekanan Semprot'!AL90)))))))))))))))))))))</f>
        <v>1.9336874180280385E-3</v>
      </c>
      <c r="E110" s="1009">
        <f>IF(ID!$B$54=' Input Data Tekanan Hisap'!$A$145,'Input Data Tekanan Semprot'!AA11,IF(ID!$B$54=' Input Data Tekanan Hisap'!$A$146,'Input Data Tekanan Semprot'!AG11,IF(ID!$B$54=' Input Data Tekanan Hisap'!$A$147,'Input Data Tekanan Semprot'!AM11,IF(ID!$B$54=' Input Data Tekanan Hisap'!$A$148,'Input Data Tekanan Semprot'!AA24,IF(ID!$B$54=' Input Data Tekanan Hisap'!$A$149,'Input Data Tekanan Semprot'!AG24,IF(ID!$B$54=' Input Data Tekanan Hisap'!$A$150,'Input Data Tekanan Semprot'!AM24,IF(ID!$B$54=' Input Data Tekanan Hisap'!$A$151,'Input Data Tekanan Semprot'!AA37,IF(ID!$B$54=' Input Data Tekanan Hisap'!$A$152,'Input Data Tekanan Semprot'!AG37,IF(ID!$B$54=' Input Data Tekanan Hisap'!$A$153,'Input Data Tekanan Semprot'!AM37,IF(ID!$B$54=' Input Data Tekanan Hisap'!$A$154,'Input Data Tekanan Semprot'!AA50,IF(ID!$B$54=' Input Data Tekanan Hisap'!$A$155,'Input Data Tekanan Semprot'!AG50,IF(ID!$B$54=' Input Data Tekanan Hisap'!$A$156,'Input Data Tekanan Semprot'!AA63,IF(ID!$B$54=' Input Data Tekanan Hisap'!$A$157,'Input Data Tekanan Semprot'!AG63,IF(ID!$B$54=' Input Data Tekanan Hisap'!$A$158,'Input Data Tekanan Semprot'!AM63,IF(ID!$B$54=' Input Data Tekanan Hisap'!$A$159,'Input Data Tekanan Semprot'!AA77,IF(ID!$B$54=' Input Data Tekanan Hisap'!$A$160,'Input Data Tekanan Semprot'!AG77,IF(ID!$B$54=' Input Data Tekanan Hisap'!$A$161,'Input Data Tekanan Semprot'!AM77,IF(ID!$B$54=' Input Data Tekanan Hisap'!$A$162,'Input Data Tekanan Semprot'!AA90,IF(ID!$B$54=' Input Data Tekanan Hisap'!$A$163,'Input Data Tekanan Semprot'!AG90,IF(ID!$B$54=' Input Data Tekanan Hisap'!$A$164,'Input Data Tekanan Semprot'!AM90,IF(ID!$B$54=' Input Data Tekanan Hisap'!$A$163,'Input Data Tekanan Semprot'!AG90,'Input Data Tekanan Semprot'!AM90)))))))))))))))))))))</f>
        <v>3.8673554992788004E-3</v>
      </c>
    </row>
    <row r="111" spans="1:13" x14ac:dyDescent="0.25">
      <c r="A111" s="1008">
        <f>IF(ID!$B$54=' Input Data Tekanan Hisap'!$A$145,'Input Data Tekanan Semprot'!W12,IF(ID!$B$54=' Input Data Tekanan Hisap'!$A$146,'Input Data Tekanan Semprot'!AC12,IF(ID!$B$54=' Input Data Tekanan Hisap'!$A$147,'Input Data Tekanan Semprot'!AI12,IF(ID!$B$54=' Input Data Tekanan Hisap'!$A$148,'Input Data Tekanan Semprot'!W25,IF(ID!$B$54=' Input Data Tekanan Hisap'!$A$149,'Input Data Tekanan Semprot'!AC25,IF(ID!$B$54=' Input Data Tekanan Hisap'!$A$150,'Input Data Tekanan Semprot'!AI25,IF(ID!$B$54=' Input Data Tekanan Hisap'!$A$151,'Input Data Tekanan Semprot'!W38,IF(ID!$B$54=' Input Data Tekanan Hisap'!$A$152,'Input Data Tekanan Semprot'!AC38,IF(ID!$B$54=' Input Data Tekanan Hisap'!$A$153,'Input Data Tekanan Semprot'!AI38,IF(ID!$B$54=' Input Data Tekanan Hisap'!$A$154,'Input Data Tekanan Semprot'!W51,IF(ID!$B$54=' Input Data Tekanan Hisap'!$A$155,'Input Data Tekanan Semprot'!AC51,IF(ID!$B$54=' Input Data Tekanan Hisap'!$A$156,'Input Data Tekanan Semprot'!W64,IF(ID!$B$54=' Input Data Tekanan Hisap'!$A$157,'Input Data Tekanan Semprot'!AC64,IF(ID!$B$54=' Input Data Tekanan Hisap'!$A$158,'Input Data Tekanan Semprot'!AI64,IF(ID!$B$54=' Input Data Tekanan Hisap'!$A$159,'Input Data Tekanan Semprot'!W78,IF(ID!$B$54=' Input Data Tekanan Hisap'!$A$160,'Input Data Tekanan Semprot'!AC78,IF(ID!$B$54=' Input Data Tekanan Hisap'!$A$161,'Input Data Tekanan Semprot'!AI78,IF(ID!$B$54=' Input Data Tekanan Hisap'!$A$162,'Input Data Tekanan Semprot'!W91,IF(ID!$B$54=' Input Data Tekanan Hisap'!$A$163,'Input Data Tekanan Semprot'!AC91,IF(ID!$B$54=' Input Data Tekanan Hisap'!$A$164,'Input Data Tekanan Semprot'!AI91,IF(ID!$B$54=' Input Data Tekanan Hisap'!$A$163,'Input Data Tekanan Semprot'!AC91,'Input Data Tekanan Semprot'!AI91)))))))))))))))))))))</f>
        <v>17.403099746754602</v>
      </c>
      <c r="B111" s="1008">
        <f>IF(ID!$B$54=' Input Data Tekanan Hisap'!$A$145,'Input Data Tekanan Semprot'!X12,IF(ID!$B$54=' Input Data Tekanan Hisap'!$A$146,'Input Data Tekanan Semprot'!AD12,IF(ID!$B$54=' Input Data Tekanan Hisap'!$A$147,'Input Data Tekanan Semprot'!AJ12,IF(ID!$B$54=' Input Data Tekanan Hisap'!$A$148,'Input Data Tekanan Semprot'!X25,IF(ID!$B$54=' Input Data Tekanan Hisap'!$A$149,'Input Data Tekanan Semprot'!AD25,IF(ID!$B$54=' Input Data Tekanan Hisap'!$A$150,'Input Data Tekanan Semprot'!AJ25,IF(ID!$B$54=' Input Data Tekanan Hisap'!$A$151,'Input Data Tekanan Semprot'!X38,IF(ID!$B$54=' Input Data Tekanan Hisap'!$A$152,'Input Data Tekanan Semprot'!AD38,IF(ID!$B$54=' Input Data Tekanan Hisap'!$A$153,'Input Data Tekanan Semprot'!AJ38,IF(ID!$B$54=' Input Data Tekanan Hisap'!$A$154,'Input Data Tekanan Semprot'!X51,IF(ID!$B$54=' Input Data Tekanan Hisap'!$A$155,'Input Data Tekanan Semprot'!AD51,IF(ID!$B$54=' Input Data Tekanan Hisap'!$A$156,'Input Data Tekanan Semprot'!X64,IF(ID!$B$54=' Input Data Tekanan Hisap'!$A$157,'Input Data Tekanan Semprot'!AD64,IF(ID!$B$54=' Input Data Tekanan Hisap'!$A$158,'Input Data Tekanan Semprot'!AJ64,IF(ID!$B$54=' Input Data Tekanan Hisap'!$A$159,'Input Data Tekanan Semprot'!X78,IF(ID!$B$54=' Input Data Tekanan Hisap'!$A$160,'Input Data Tekanan Semprot'!AD78,IF(ID!$B$54=' Input Data Tekanan Hisap'!$A$161,'Input Data Tekanan Semprot'!AJ78,IF(ID!$B$54=' Input Data Tekanan Hisap'!$A$162,'Input Data Tekanan Semprot'!X91,IF(ID!$B$54=' Input Data Tekanan Hisap'!$A$163,'Input Data Tekanan Semprot'!AD91,IF(ID!$B$54=' Input Data Tekanan Hisap'!$A$164,'Input Data Tekanan Semprot'!AJ91,IF(ID!$B$54=' Input Data Tekanan Hisap'!$A$163,'Input Data Tekanan Semprot'!AD91,'Input Data Tekanan Semprot'!AJ91)))))))))))))))))))))</f>
        <v>1.9336777496394002E-8</v>
      </c>
      <c r="C111" s="1008">
        <f>IF(ID!$B$54=' Input Data Tekanan Hisap'!$A$145,'Input Data Tekanan Semprot'!Y12,IF(ID!$B$54=' Input Data Tekanan Hisap'!$A$146,'Input Data Tekanan Semprot'!AE12,IF(ID!$B$54=' Input Data Tekanan Hisap'!$A$147,'Input Data Tekanan Semprot'!AK12,IF(ID!$B$54=' Input Data Tekanan Hisap'!$A$148,'Input Data Tekanan Semprot'!Y25,IF(ID!$B$54=' Input Data Tekanan Hisap'!$A$149,'Input Data Tekanan Semprot'!AE25,IF(ID!$B$54=' Input Data Tekanan Hisap'!$A$150,'Input Data Tekanan Semprot'!AK25,IF(ID!$B$54=' Input Data Tekanan Hisap'!$A$151,'Input Data Tekanan Semprot'!Y38,IF(ID!$B$54=' Input Data Tekanan Hisap'!$A$152,'Input Data Tekanan Semprot'!AE38,IF(ID!$B$54=' Input Data Tekanan Hisap'!$A$153,'Input Data Tekanan Semprot'!AK38,IF(ID!$B$54=' Input Data Tekanan Hisap'!$A$154,'Input Data Tekanan Semprot'!Y51,IF(ID!$B$54=' Input Data Tekanan Hisap'!$A$155,'Input Data Tekanan Semprot'!AE51,IF(ID!$B$54=' Input Data Tekanan Hisap'!$A$156,'Input Data Tekanan Semprot'!Y64,IF(ID!$B$54=' Input Data Tekanan Hisap'!$A$157,'Input Data Tekanan Semprot'!AE64,IF(ID!$B$54=' Input Data Tekanan Hisap'!$A$158,'Input Data Tekanan Semprot'!AK64,IF(ID!$B$54=' Input Data Tekanan Hisap'!$A$159,'Input Data Tekanan Semprot'!Y78,IF(ID!$B$54=' Input Data Tekanan Hisap'!$A$160,'Input Data Tekanan Semprot'!AE78,IF(ID!$B$54=' Input Data Tekanan Hisap'!$A$161,'Input Data Tekanan Semprot'!AK78,IF(ID!$B$54=' Input Data Tekanan Hisap'!$A$162,'Input Data Tekanan Semprot'!Y91,IF(ID!$B$54=' Input Data Tekanan Hisap'!$A$163,'Input Data Tekanan Semprot'!AE91,IF(ID!$B$54=' Input Data Tekanan Hisap'!$A$164,'Input Data Tekanan Semprot'!AK91,IF(ID!$B$54=' Input Data Tekanan Hisap'!$A$163,'Input Data Tekanan Semprot'!AE91,'Input Data Tekanan Semprot'!AK91)))))))))))))))))))))</f>
        <v>-3.8673554992785806E-3</v>
      </c>
      <c r="D111" s="1009">
        <f>IF(ID!$B$54=' Input Data Tekanan Hisap'!$A$145,'Input Data Tekanan Semprot'!Z12,IF(ID!$B$54=' Input Data Tekanan Hisap'!$A$146,'Input Data Tekanan Semprot'!AF12,IF(ID!$B$54=' Input Data Tekanan Hisap'!$A$147,'Input Data Tekanan Semprot'!AL12,IF(ID!$B$54=' Input Data Tekanan Hisap'!$A$148,'Input Data Tekanan Semprot'!Z25,IF(ID!$B$54=' Input Data Tekanan Hisap'!$A$149,'Input Data Tekanan Semprot'!AF25,IF(ID!$B$54=' Input Data Tekanan Hisap'!$A$150,'Input Data Tekanan Semprot'!AL25,IF(ID!$B$54=' Input Data Tekanan Hisap'!$A$151,'Input Data Tekanan Semprot'!Z38,IF(ID!$B$54=' Input Data Tekanan Hisap'!$A$152,'Input Data Tekanan Semprot'!AF38,IF(ID!$B$54=' Input Data Tekanan Hisap'!$A$153,'Input Data Tekanan Semprot'!AL38,IF(ID!$B$54=' Input Data Tekanan Hisap'!$A$154,'Input Data Tekanan Semprot'!Z51,IF(ID!$B$54=' Input Data Tekanan Hisap'!$A$155,'Input Data Tekanan Semprot'!AF51,IF(ID!$B$54=' Input Data Tekanan Hisap'!$A$156,'Input Data Tekanan Semprot'!Z64,IF(ID!$B$54=' Input Data Tekanan Hisap'!$A$157,'Input Data Tekanan Semprot'!AF64,IF(ID!$B$54=' Input Data Tekanan Hisap'!$A$158,'Input Data Tekanan Semprot'!AL64,IF(ID!$B$54=' Input Data Tekanan Hisap'!$A$159,'Input Data Tekanan Semprot'!Z78,IF(ID!$B$54=' Input Data Tekanan Hisap'!$A$160,'Input Data Tekanan Semprot'!AF78,IF(ID!$B$54=' Input Data Tekanan Hisap'!$A$161,'Input Data Tekanan Semprot'!AL78,IF(ID!$B$54=' Input Data Tekanan Hisap'!$A$162,'Input Data Tekanan Semprot'!Z91,IF(ID!$B$54=' Input Data Tekanan Hisap'!$A$163,'Input Data Tekanan Semprot'!AF91,IF(ID!$B$54=' Input Data Tekanan Hisap'!$A$164,'Input Data Tekanan Semprot'!AL91,IF(ID!$B$54=' Input Data Tekanan Hisap'!$A$163,'Input Data Tekanan Semprot'!AF91,'Input Data Tekanan Semprot'!AL91)))))))))))))))))))))</f>
        <v>1.9336874180280385E-3</v>
      </c>
      <c r="E111" s="1009">
        <f>IF(ID!$B$54=' Input Data Tekanan Hisap'!$A$145,'Input Data Tekanan Semprot'!AA12,IF(ID!$B$54=' Input Data Tekanan Hisap'!$A$146,'Input Data Tekanan Semprot'!AG12,IF(ID!$B$54=' Input Data Tekanan Hisap'!$A$147,'Input Data Tekanan Semprot'!AM12,IF(ID!$B$54=' Input Data Tekanan Hisap'!$A$148,'Input Data Tekanan Semprot'!AA25,IF(ID!$B$54=' Input Data Tekanan Hisap'!$A$149,'Input Data Tekanan Semprot'!AG25,IF(ID!$B$54=' Input Data Tekanan Hisap'!$A$150,'Input Data Tekanan Semprot'!AM25,IF(ID!$B$54=' Input Data Tekanan Hisap'!$A$151,'Input Data Tekanan Semprot'!AA38,IF(ID!$B$54=' Input Data Tekanan Hisap'!$A$152,'Input Data Tekanan Semprot'!AG38,IF(ID!$B$54=' Input Data Tekanan Hisap'!$A$153,'Input Data Tekanan Semprot'!AM38,IF(ID!$B$54=' Input Data Tekanan Hisap'!$A$154,'Input Data Tekanan Semprot'!AA51,IF(ID!$B$54=' Input Data Tekanan Hisap'!$A$155,'Input Data Tekanan Semprot'!AG51,IF(ID!$B$54=' Input Data Tekanan Hisap'!$A$156,'Input Data Tekanan Semprot'!AA64,IF(ID!$B$54=' Input Data Tekanan Hisap'!$A$157,'Input Data Tekanan Semprot'!AG64,IF(ID!$B$54=' Input Data Tekanan Hisap'!$A$158,'Input Data Tekanan Semprot'!AM64,IF(ID!$B$54=' Input Data Tekanan Hisap'!$A$159,'Input Data Tekanan Semprot'!AA78,IF(ID!$B$54=' Input Data Tekanan Hisap'!$A$160,'Input Data Tekanan Semprot'!AG78,IF(ID!$B$54=' Input Data Tekanan Hisap'!$A$161,'Input Data Tekanan Semprot'!AM78,IF(ID!$B$54=' Input Data Tekanan Hisap'!$A$162,'Input Data Tekanan Semprot'!AA91,IF(ID!$B$54=' Input Data Tekanan Hisap'!$A$163,'Input Data Tekanan Semprot'!AG91,IF(ID!$B$54=' Input Data Tekanan Hisap'!$A$164,'Input Data Tekanan Semprot'!AM91,IF(ID!$B$54=' Input Data Tekanan Hisap'!$A$163,'Input Data Tekanan Semprot'!AG91,'Input Data Tekanan Semprot'!AM91)))))))))))))))))))))</f>
        <v>3.8673554992788004E-3</v>
      </c>
    </row>
    <row r="112" spans="1:13" x14ac:dyDescent="0.25">
      <c r="A112" s="655"/>
      <c r="B112" s="655"/>
      <c r="C112" s="655"/>
      <c r="D112" s="655"/>
      <c r="E112" s="654"/>
    </row>
    <row r="114" spans="1:11" ht="13.8" thickBot="1" x14ac:dyDescent="0.3"/>
    <row r="115" spans="1:11" ht="20.399999999999999" x14ac:dyDescent="0.25">
      <c r="A115" s="663" t="s">
        <v>140</v>
      </c>
      <c r="B115" s="663" t="s">
        <v>141</v>
      </c>
      <c r="C115" s="663" t="s">
        <v>142</v>
      </c>
      <c r="D115" s="663" t="s">
        <v>143</v>
      </c>
      <c r="E115" s="663" t="s">
        <v>144</v>
      </c>
      <c r="F115" s="664" t="s">
        <v>145</v>
      </c>
    </row>
    <row r="116" spans="1:11" x14ac:dyDescent="0.25">
      <c r="A116" s="683">
        <f>ID!K35</f>
        <v>6</v>
      </c>
      <c r="B116" s="684">
        <f>(A116)+B97</f>
        <v>5.9967018600153557</v>
      </c>
      <c r="C116" s="592">
        <f>ID!M16</f>
        <v>0</v>
      </c>
      <c r="D116" s="684">
        <f>(C116/ABS(B116)*100)</f>
        <v>0</v>
      </c>
      <c r="E116" s="592">
        <f>B116-(A116)</f>
        <v>-3.2981399846443438E-3</v>
      </c>
      <c r="F116" s="592">
        <f>UNCERT!X13</f>
        <v>0.28993721249871202</v>
      </c>
    </row>
    <row r="121" spans="1:11" ht="25.5" customHeight="1" thickBot="1" x14ac:dyDescent="0.3"/>
    <row r="122" spans="1:11" ht="25.5" customHeight="1" x14ac:dyDescent="0.25">
      <c r="A122" s="1390" t="s">
        <v>577</v>
      </c>
      <c r="B122" s="1391"/>
      <c r="C122" s="1391"/>
      <c r="D122" s="1391"/>
      <c r="E122" s="1391"/>
      <c r="F122" s="1391"/>
      <c r="G122" s="1391"/>
      <c r="H122" s="1391"/>
      <c r="I122" s="1391"/>
      <c r="J122" s="1391"/>
      <c r="K122" s="1392"/>
    </row>
    <row r="123" spans="1:11" x14ac:dyDescent="0.25">
      <c r="A123" s="673" t="s">
        <v>212</v>
      </c>
      <c r="B123" s="671"/>
      <c r="C123" s="671"/>
      <c r="D123" s="671"/>
      <c r="E123" s="671"/>
      <c r="F123" s="671"/>
      <c r="G123" s="671"/>
      <c r="H123" s="672"/>
      <c r="I123" s="620" t="s">
        <v>215</v>
      </c>
      <c r="J123" s="621">
        <f>IF(ID!$B$54=A123,1,0)</f>
        <v>0</v>
      </c>
      <c r="K123" s="690">
        <f>SUM(J123:J142)</f>
        <v>1</v>
      </c>
    </row>
    <row r="124" spans="1:11" x14ac:dyDescent="0.25">
      <c r="A124" s="673" t="s">
        <v>213</v>
      </c>
      <c r="B124" s="671"/>
      <c r="C124" s="671"/>
      <c r="D124" s="671"/>
      <c r="E124" s="671"/>
      <c r="F124" s="671"/>
      <c r="G124" s="671"/>
      <c r="H124" s="672"/>
      <c r="I124" s="620" t="s">
        <v>215</v>
      </c>
      <c r="J124" s="621">
        <f>IF(ID!$B$54=A124,1,0)</f>
        <v>0</v>
      </c>
      <c r="K124" s="691"/>
    </row>
    <row r="125" spans="1:11" x14ac:dyDescent="0.25">
      <c r="A125" s="673" t="s">
        <v>214</v>
      </c>
      <c r="B125" s="671"/>
      <c r="C125" s="671"/>
      <c r="D125" s="671"/>
      <c r="E125" s="671"/>
      <c r="F125" s="671"/>
      <c r="G125" s="671"/>
      <c r="H125" s="672"/>
      <c r="I125" s="620" t="s">
        <v>215</v>
      </c>
      <c r="J125" s="621">
        <f>IF(ID!$B$54=A125,1,0)</f>
        <v>0</v>
      </c>
      <c r="K125" s="691"/>
    </row>
    <row r="126" spans="1:11" x14ac:dyDescent="0.25">
      <c r="A126" s="673" t="s">
        <v>216</v>
      </c>
      <c r="B126" s="671"/>
      <c r="C126" s="671"/>
      <c r="D126" s="671"/>
      <c r="E126" s="671"/>
      <c r="F126" s="671"/>
      <c r="G126" s="671"/>
      <c r="H126" s="672"/>
      <c r="I126" s="620" t="s">
        <v>217</v>
      </c>
      <c r="J126" s="621">
        <f>IF(ID!$B$54=A126,1,0)</f>
        <v>0</v>
      </c>
      <c r="K126" s="691"/>
    </row>
    <row r="127" spans="1:11" x14ac:dyDescent="0.25">
      <c r="A127" s="673" t="s">
        <v>218</v>
      </c>
      <c r="B127" s="671"/>
      <c r="C127" s="671"/>
      <c r="D127" s="671"/>
      <c r="E127" s="671"/>
      <c r="F127" s="671"/>
      <c r="G127" s="671"/>
      <c r="H127" s="672"/>
      <c r="I127" s="620" t="s">
        <v>217</v>
      </c>
      <c r="J127" s="621">
        <f>IF(ID!$B$54=A127,1,0)</f>
        <v>0</v>
      </c>
      <c r="K127" s="691"/>
    </row>
    <row r="128" spans="1:11" x14ac:dyDescent="0.25">
      <c r="A128" s="673" t="s">
        <v>219</v>
      </c>
      <c r="B128" s="671"/>
      <c r="C128" s="671"/>
      <c r="D128" s="671"/>
      <c r="E128" s="671"/>
      <c r="F128" s="671"/>
      <c r="G128" s="671"/>
      <c r="H128" s="672"/>
      <c r="I128" s="620" t="s">
        <v>217</v>
      </c>
      <c r="J128" s="621">
        <f>IF(ID!$B$54=A128,1,0)</f>
        <v>0</v>
      </c>
      <c r="K128" s="691"/>
    </row>
    <row r="129" spans="1:11" x14ac:dyDescent="0.25">
      <c r="A129" s="673" t="s">
        <v>578</v>
      </c>
      <c r="B129" s="671"/>
      <c r="C129" s="671"/>
      <c r="D129" s="671"/>
      <c r="E129" s="671"/>
      <c r="F129" s="671"/>
      <c r="G129" s="671"/>
      <c r="H129" s="672"/>
      <c r="I129" s="620" t="s">
        <v>217</v>
      </c>
      <c r="J129" s="621">
        <f>IF(ID!$B$54=A129,1,0)</f>
        <v>0</v>
      </c>
      <c r="K129" s="691"/>
    </row>
    <row r="130" spans="1:11" x14ac:dyDescent="0.25">
      <c r="A130" s="673" t="s">
        <v>221</v>
      </c>
      <c r="B130" s="671"/>
      <c r="C130" s="671"/>
      <c r="D130" s="671"/>
      <c r="E130" s="671"/>
      <c r="F130" s="671"/>
      <c r="G130" s="671"/>
      <c r="H130" s="672"/>
      <c r="I130" s="620" t="s">
        <v>217</v>
      </c>
      <c r="J130" s="621">
        <f>IF(ID!$B$54=A130,1,0)</f>
        <v>0</v>
      </c>
      <c r="K130" s="691"/>
    </row>
    <row r="131" spans="1:11" x14ac:dyDescent="0.25">
      <c r="A131" s="673" t="s">
        <v>230</v>
      </c>
      <c r="B131" s="671"/>
      <c r="C131" s="671"/>
      <c r="D131" s="671"/>
      <c r="E131" s="671"/>
      <c r="F131" s="671"/>
      <c r="G131" s="671"/>
      <c r="H131" s="672"/>
      <c r="I131" s="620" t="s">
        <v>217</v>
      </c>
      <c r="J131" s="621">
        <f>IF(ID!$B$54=A131,1,0)</f>
        <v>0</v>
      </c>
      <c r="K131" s="691"/>
    </row>
    <row r="132" spans="1:11" x14ac:dyDescent="0.25">
      <c r="A132" s="673" t="s">
        <v>230</v>
      </c>
      <c r="B132" s="671"/>
      <c r="C132" s="671"/>
      <c r="D132" s="671"/>
      <c r="E132" s="671"/>
      <c r="F132" s="671"/>
      <c r="G132" s="671"/>
      <c r="H132" s="672"/>
      <c r="I132" s="620" t="s">
        <v>217</v>
      </c>
      <c r="J132" s="621">
        <f>IF(ID!$B$54=A132,1,0)</f>
        <v>0</v>
      </c>
      <c r="K132" s="691"/>
    </row>
    <row r="133" spans="1:11" x14ac:dyDescent="0.25">
      <c r="A133" s="673" t="s">
        <v>225</v>
      </c>
      <c r="B133" s="671"/>
      <c r="C133" s="671"/>
      <c r="D133" s="671"/>
      <c r="E133" s="671"/>
      <c r="F133" s="671"/>
      <c r="G133" s="671"/>
      <c r="H133" s="672"/>
      <c r="I133" s="620" t="s">
        <v>179</v>
      </c>
      <c r="J133" s="621">
        <f>IF(ID!$B$54=A133,1,0)</f>
        <v>0</v>
      </c>
      <c r="K133" s="691"/>
    </row>
    <row r="134" spans="1:11" x14ac:dyDescent="0.25">
      <c r="A134" s="673" t="s">
        <v>227</v>
      </c>
      <c r="B134" s="671"/>
      <c r="C134" s="671"/>
      <c r="D134" s="671"/>
      <c r="E134" s="671"/>
      <c r="F134" s="671"/>
      <c r="G134" s="671"/>
      <c r="H134" s="672"/>
      <c r="I134" s="620" t="s">
        <v>179</v>
      </c>
      <c r="J134" s="621">
        <f>IF(ID!$B$54=A134,1,0)</f>
        <v>0</v>
      </c>
      <c r="K134" s="691"/>
    </row>
    <row r="135" spans="1:11" ht="25.5" customHeight="1" x14ac:dyDescent="0.25">
      <c r="A135" s="673" t="s">
        <v>223</v>
      </c>
      <c r="B135" s="671"/>
      <c r="C135" s="671"/>
      <c r="D135" s="671"/>
      <c r="E135" s="671"/>
      <c r="F135" s="671"/>
      <c r="G135" s="671"/>
      <c r="H135" s="672"/>
      <c r="I135" s="620" t="s">
        <v>179</v>
      </c>
      <c r="J135" s="621">
        <f>IF(ID!$B$54=A135,1,0)</f>
        <v>1</v>
      </c>
      <c r="K135" s="691"/>
    </row>
    <row r="136" spans="1:11" ht="25.5" customHeight="1" x14ac:dyDescent="0.25">
      <c r="A136" s="673" t="s">
        <v>228</v>
      </c>
      <c r="B136" s="671"/>
      <c r="C136" s="671"/>
      <c r="D136" s="671"/>
      <c r="E136" s="671"/>
      <c r="F136" s="671"/>
      <c r="G136" s="671"/>
      <c r="H136" s="672"/>
      <c r="I136" s="620" t="s">
        <v>179</v>
      </c>
      <c r="J136" s="621">
        <f>IF(ID!$B$54=A136,1,0)</f>
        <v>0</v>
      </c>
      <c r="K136" s="691"/>
    </row>
    <row r="137" spans="1:11" x14ac:dyDescent="0.25">
      <c r="A137" s="673" t="s">
        <v>229</v>
      </c>
      <c r="B137" s="671"/>
      <c r="C137" s="671"/>
      <c r="D137" s="671"/>
      <c r="E137" s="671"/>
      <c r="F137" s="671"/>
      <c r="G137" s="671"/>
      <c r="H137" s="672"/>
      <c r="I137" s="620" t="s">
        <v>179</v>
      </c>
      <c r="J137" s="621">
        <f>IF(ID!$B$54=A137,1,0)</f>
        <v>0</v>
      </c>
      <c r="K137" s="691"/>
    </row>
    <row r="138" spans="1:11" x14ac:dyDescent="0.25">
      <c r="A138" s="673" t="s">
        <v>231</v>
      </c>
      <c r="B138" s="671"/>
      <c r="C138" s="671"/>
      <c r="D138" s="671"/>
      <c r="E138" s="671"/>
      <c r="F138" s="671"/>
      <c r="G138" s="671"/>
      <c r="H138" s="672"/>
      <c r="I138" s="620" t="s">
        <v>179</v>
      </c>
      <c r="J138" s="621">
        <f>IF(ID!$B$54=A138,1,0)</f>
        <v>0</v>
      </c>
      <c r="K138" s="691"/>
    </row>
    <row r="139" spans="1:11" x14ac:dyDescent="0.25">
      <c r="A139" s="673" t="s">
        <v>224</v>
      </c>
      <c r="B139" s="671"/>
      <c r="C139" s="671"/>
      <c r="D139" s="671"/>
      <c r="E139" s="671"/>
      <c r="F139" s="671"/>
      <c r="G139" s="671"/>
      <c r="H139" s="672"/>
      <c r="I139" s="620" t="s">
        <v>179</v>
      </c>
      <c r="J139" s="621">
        <f>IF(ID!$B$54=A139,1,0)</f>
        <v>0</v>
      </c>
      <c r="K139" s="691"/>
    </row>
    <row r="140" spans="1:11" x14ac:dyDescent="0.25">
      <c r="A140" s="673" t="s">
        <v>234</v>
      </c>
      <c r="B140" s="671"/>
      <c r="C140" s="671"/>
      <c r="D140" s="671"/>
      <c r="E140" s="671"/>
      <c r="F140" s="671"/>
      <c r="G140" s="671"/>
      <c r="H140" s="672"/>
      <c r="I140" s="620" t="s">
        <v>179</v>
      </c>
      <c r="J140" s="621">
        <f>IF(ID!$B$54=A140,1,0)</f>
        <v>0</v>
      </c>
      <c r="K140" s="691"/>
    </row>
    <row r="141" spans="1:11" x14ac:dyDescent="0.25">
      <c r="A141" s="673" t="s">
        <v>233</v>
      </c>
      <c r="B141" s="671"/>
      <c r="C141" s="671"/>
      <c r="D141" s="671"/>
      <c r="E141" s="671"/>
      <c r="F141" s="671"/>
      <c r="G141" s="671"/>
      <c r="H141" s="672"/>
      <c r="I141" s="620" t="s">
        <v>179</v>
      </c>
      <c r="J141" s="621">
        <f>IF(ID!$B$54=A141,1,0)</f>
        <v>0</v>
      </c>
      <c r="K141" s="691"/>
    </row>
    <row r="142" spans="1:11" x14ac:dyDescent="0.25">
      <c r="A142" s="673" t="s">
        <v>235</v>
      </c>
      <c r="B142" s="671"/>
      <c r="C142" s="671"/>
      <c r="D142" s="671"/>
      <c r="E142" s="671"/>
      <c r="F142" s="671"/>
      <c r="G142" s="671"/>
      <c r="H142" s="672"/>
      <c r="I142" s="620" t="s">
        <v>179</v>
      </c>
      <c r="J142" s="621">
        <f>IF(ID!$B$54=A142,1,0)</f>
        <v>0</v>
      </c>
      <c r="K142" s="691"/>
    </row>
    <row r="143" spans="1:11" ht="13.8" thickBot="1" x14ac:dyDescent="0.3">
      <c r="A143" s="60"/>
      <c r="B143" s="54"/>
      <c r="C143" s="54"/>
      <c r="D143" s="54"/>
      <c r="E143" s="54"/>
      <c r="F143" s="54"/>
      <c r="G143" s="54"/>
      <c r="H143" s="54"/>
      <c r="I143" s="54"/>
      <c r="J143" s="54"/>
      <c r="K143" s="151"/>
    </row>
    <row r="144" spans="1:11" ht="13.8" thickBot="1" x14ac:dyDescent="0.3">
      <c r="A144" s="1401" t="str">
        <f>IF(' Input Data Tekanan Hisap'!$K$145=1,'kata-kata'!$B$24,IF(' Input Data Tekanan Hisap'!$K$145=2,'kata-kata'!$B$25,IF(' Input Data Tekanan Hisap'!$K$145=3,'kata-kata'!$B$26)))</f>
        <v>Hasil pengujian Tekanan Semprot tertelusur ke Satuan Internasional ( SI ) melalui PT. Kaliman</v>
      </c>
      <c r="B144" s="1402"/>
      <c r="C144" s="1402"/>
      <c r="D144" s="1402"/>
      <c r="E144" s="1402"/>
      <c r="F144" s="1402"/>
      <c r="G144" s="1402"/>
      <c r="H144" s="1402"/>
      <c r="I144" s="1402"/>
      <c r="J144" s="1402"/>
      <c r="K144" s="1403"/>
    </row>
    <row r="145" spans="1:13" ht="13.8" thickBot="1" x14ac:dyDescent="0.3">
      <c r="A145" s="1401" t="str">
        <f>IF(' Input Data Tekanan Hisap'!$K$145=1,'kata-kata'!$B$27,IF(' Input Data Tekanan Hisap'!$K$145=2,'kata-kata'!$B$28,IF(' Input Data Tekanan Hisap'!$K$145=3,'kata-kata'!$B$29)))</f>
        <v xml:space="preserve">Hasil pengujian Tekanan Hisap tertelusur ke Satuan Internasional ( SI ) melalui PT. Kaliman </v>
      </c>
      <c r="B145" s="1402"/>
      <c r="C145" s="1402"/>
      <c r="D145" s="1402"/>
      <c r="E145" s="1402"/>
      <c r="F145" s="1402"/>
      <c r="G145" s="1402"/>
      <c r="H145" s="1402"/>
      <c r="I145" s="1402"/>
      <c r="J145" s="1402"/>
      <c r="K145" s="1403"/>
    </row>
    <row r="148" spans="1:13" ht="24" customHeight="1" x14ac:dyDescent="0.25">
      <c r="M148" s="584"/>
    </row>
    <row r="161" ht="26.25" customHeight="1" x14ac:dyDescent="0.25"/>
    <row r="174" ht="26.25" customHeight="1" x14ac:dyDescent="0.25"/>
    <row r="187" ht="25.5" customHeight="1" x14ac:dyDescent="0.25"/>
    <row r="200" ht="25.5" customHeight="1" x14ac:dyDescent="0.25"/>
    <row r="213" ht="25.5" customHeight="1" x14ac:dyDescent="0.25"/>
    <row r="226" ht="25.5" customHeight="1" x14ac:dyDescent="0.25"/>
    <row r="239" ht="25.5" customHeight="1" x14ac:dyDescent="0.25"/>
    <row r="252" ht="24.75" customHeight="1" x14ac:dyDescent="0.25"/>
    <row r="265" ht="25.5" customHeight="1" x14ac:dyDescent="0.25"/>
  </sheetData>
  <mergeCells count="168">
    <mergeCell ref="M28:Q28"/>
    <mergeCell ref="H29:I29"/>
    <mergeCell ref="A2:E2"/>
    <mergeCell ref="G2:K2"/>
    <mergeCell ref="G15:K15"/>
    <mergeCell ref="B3:C3"/>
    <mergeCell ref="D3:D4"/>
    <mergeCell ref="E3:E4"/>
    <mergeCell ref="H3:I3"/>
    <mergeCell ref="J3:J4"/>
    <mergeCell ref="K3:K4"/>
    <mergeCell ref="G28:K28"/>
    <mergeCell ref="AI2:AM2"/>
    <mergeCell ref="AJ3:AK3"/>
    <mergeCell ref="AL3:AL4"/>
    <mergeCell ref="AM3:AM4"/>
    <mergeCell ref="A41:E41"/>
    <mergeCell ref="W2:AA2"/>
    <mergeCell ref="X3:Y3"/>
    <mergeCell ref="Z3:Z4"/>
    <mergeCell ref="AA3:AA4"/>
    <mergeCell ref="AC2:AG2"/>
    <mergeCell ref="B29:C29"/>
    <mergeCell ref="D29:D30"/>
    <mergeCell ref="E29:E30"/>
    <mergeCell ref="J29:J30"/>
    <mergeCell ref="K29:K30"/>
    <mergeCell ref="N29:O29"/>
    <mergeCell ref="P29:P30"/>
    <mergeCell ref="Q29:Q30"/>
    <mergeCell ref="H16:I16"/>
    <mergeCell ref="J16:J17"/>
    <mergeCell ref="K16:K17"/>
    <mergeCell ref="M2:Q2"/>
    <mergeCell ref="G41:K41"/>
    <mergeCell ref="A28:E28"/>
    <mergeCell ref="AD16:AE16"/>
    <mergeCell ref="AF16:AF17"/>
    <mergeCell ref="AG16:AG17"/>
    <mergeCell ref="AI15:AM15"/>
    <mergeCell ref="AJ16:AK16"/>
    <mergeCell ref="AL16:AL17"/>
    <mergeCell ref="AM16:AM17"/>
    <mergeCell ref="N3:O3"/>
    <mergeCell ref="AC15:AG15"/>
    <mergeCell ref="AD3:AE3"/>
    <mergeCell ref="AF3:AF4"/>
    <mergeCell ref="AG3:AG4"/>
    <mergeCell ref="N16:O16"/>
    <mergeCell ref="P16:P17"/>
    <mergeCell ref="Q16:Q17"/>
    <mergeCell ref="P3:P4"/>
    <mergeCell ref="Q3:Q4"/>
    <mergeCell ref="M15:Q15"/>
    <mergeCell ref="AD29:AE29"/>
    <mergeCell ref="AF29:AF30"/>
    <mergeCell ref="AG29:AG30"/>
    <mergeCell ref="AI28:AM28"/>
    <mergeCell ref="AJ29:AK29"/>
    <mergeCell ref="AL29:AL30"/>
    <mergeCell ref="AM29:AM30"/>
    <mergeCell ref="W28:AA28"/>
    <mergeCell ref="X29:Y29"/>
    <mergeCell ref="Z29:Z30"/>
    <mergeCell ref="AA29:AA30"/>
    <mergeCell ref="AC28:AG28"/>
    <mergeCell ref="AI41:AM41"/>
    <mergeCell ref="AJ42:AK42"/>
    <mergeCell ref="AL42:AL43"/>
    <mergeCell ref="AM42:AM43"/>
    <mergeCell ref="AD42:AE42"/>
    <mergeCell ref="AF42:AF43"/>
    <mergeCell ref="AG42:AG43"/>
    <mergeCell ref="W41:AA41"/>
    <mergeCell ref="X42:Y42"/>
    <mergeCell ref="Z42:Z43"/>
    <mergeCell ref="AA42:AA43"/>
    <mergeCell ref="AC41:AG41"/>
    <mergeCell ref="A54:E54"/>
    <mergeCell ref="B55:C55"/>
    <mergeCell ref="D55:D56"/>
    <mergeCell ref="E55:E56"/>
    <mergeCell ref="W54:AA54"/>
    <mergeCell ref="X55:Y55"/>
    <mergeCell ref="Z55:Z56"/>
    <mergeCell ref="AA55:AA56"/>
    <mergeCell ref="M41:Q41"/>
    <mergeCell ref="N42:O42"/>
    <mergeCell ref="P42:P43"/>
    <mergeCell ref="Q42:Q43"/>
    <mergeCell ref="H42:I42"/>
    <mergeCell ref="J42:J43"/>
    <mergeCell ref="K42:K43"/>
    <mergeCell ref="B42:C42"/>
    <mergeCell ref="D42:D43"/>
    <mergeCell ref="E42:E43"/>
    <mergeCell ref="M54:Q54"/>
    <mergeCell ref="N55:O55"/>
    <mergeCell ref="P55:P56"/>
    <mergeCell ref="Q55:Q56"/>
    <mergeCell ref="AI54:AM54"/>
    <mergeCell ref="AJ55:AK55"/>
    <mergeCell ref="AL55:AL56"/>
    <mergeCell ref="AM55:AM56"/>
    <mergeCell ref="G54:K54"/>
    <mergeCell ref="H55:I55"/>
    <mergeCell ref="J55:J56"/>
    <mergeCell ref="K55:K56"/>
    <mergeCell ref="AC54:AG54"/>
    <mergeCell ref="AD55:AE55"/>
    <mergeCell ref="AF55:AF56"/>
    <mergeCell ref="AG55:AG56"/>
    <mergeCell ref="H69:I69"/>
    <mergeCell ref="J69:J70"/>
    <mergeCell ref="K69:K70"/>
    <mergeCell ref="M68:Q68"/>
    <mergeCell ref="N69:O69"/>
    <mergeCell ref="P69:P70"/>
    <mergeCell ref="Q69:Q70"/>
    <mergeCell ref="A68:E68"/>
    <mergeCell ref="B69:C69"/>
    <mergeCell ref="D69:D70"/>
    <mergeCell ref="E69:E70"/>
    <mergeCell ref="G68:K68"/>
    <mergeCell ref="AI68:AM68"/>
    <mergeCell ref="AJ69:AK69"/>
    <mergeCell ref="AL69:AL70"/>
    <mergeCell ref="AM69:AM70"/>
    <mergeCell ref="W68:AA68"/>
    <mergeCell ref="X69:Y69"/>
    <mergeCell ref="Z69:Z70"/>
    <mergeCell ref="AA69:AA70"/>
    <mergeCell ref="AC68:AG68"/>
    <mergeCell ref="AD82:AE82"/>
    <mergeCell ref="AF82:AF83"/>
    <mergeCell ref="AG82:AG83"/>
    <mergeCell ref="AI81:AM81"/>
    <mergeCell ref="AJ82:AK82"/>
    <mergeCell ref="AL82:AL83"/>
    <mergeCell ref="AM82:AM83"/>
    <mergeCell ref="AC81:AG81"/>
    <mergeCell ref="AD69:AE69"/>
    <mergeCell ref="AF69:AF70"/>
    <mergeCell ref="AG69:AG70"/>
    <mergeCell ref="A122:K122"/>
    <mergeCell ref="A144:K144"/>
    <mergeCell ref="A145:K145"/>
    <mergeCell ref="A15:E15"/>
    <mergeCell ref="W15:AA15"/>
    <mergeCell ref="W81:AA81"/>
    <mergeCell ref="A95:B95"/>
    <mergeCell ref="D95:E95"/>
    <mergeCell ref="A101:E101"/>
    <mergeCell ref="B102:C102"/>
    <mergeCell ref="D102:D103"/>
    <mergeCell ref="E102:E103"/>
    <mergeCell ref="H82:I82"/>
    <mergeCell ref="J82:J83"/>
    <mergeCell ref="K82:K83"/>
    <mergeCell ref="M81:Q81"/>
    <mergeCell ref="N82:O82"/>
    <mergeCell ref="P82:P83"/>
    <mergeCell ref="Q82:Q83"/>
    <mergeCell ref="A81:E81"/>
    <mergeCell ref="B82:C82"/>
    <mergeCell ref="D82:D83"/>
    <mergeCell ref="E82:E83"/>
    <mergeCell ref="G81:K81"/>
  </mergeCells>
  <dataValidations disablePrompts="1" count="1">
    <dataValidation type="list" allowBlank="1" showInputMessage="1" promptTitle="KONVERSI" prompt="ke psi" sqref="W4" xr:uid="{00000000-0002-0000-0B00-000000000000}">
      <formula1>$S$2:$S$3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9"/>
  <sheetViews>
    <sheetView showGridLines="0" view="pageBreakPreview" topLeftCell="A25" zoomScaleNormal="100" zoomScaleSheetLayoutView="100" zoomScalePageLayoutView="118" workbookViewId="0">
      <selection activeCell="K37" sqref="K37:K38"/>
    </sheetView>
  </sheetViews>
  <sheetFormatPr defaultColWidth="9.33203125" defaultRowHeight="13.8" x14ac:dyDescent="0.25"/>
  <cols>
    <col min="1" max="1" width="3.5546875" style="73" customWidth="1"/>
    <col min="2" max="2" width="5" style="73" customWidth="1"/>
    <col min="3" max="3" width="18.5546875" style="73" customWidth="1"/>
    <col min="4" max="4" width="11.5546875" style="73" customWidth="1"/>
    <col min="5" max="10" width="8.6640625" style="73" customWidth="1"/>
    <col min="11" max="11" width="10" style="73" customWidth="1"/>
    <col min="12" max="12" width="7.33203125" style="73" customWidth="1"/>
    <col min="13" max="13" width="1.33203125" style="73" customWidth="1"/>
    <col min="14" max="14" width="14.5546875" style="73" customWidth="1"/>
    <col min="15" max="15" width="12.6640625" style="73" customWidth="1"/>
    <col min="16" max="16" width="13" style="73" customWidth="1"/>
    <col min="17" max="16384" width="9.33203125" style="73"/>
  </cols>
  <sheetData>
    <row r="1" spans="1:16" ht="18" x14ac:dyDescent="0.25">
      <c r="A1" s="1309" t="s">
        <v>0</v>
      </c>
      <c r="B1" s="1309"/>
      <c r="C1" s="1309"/>
      <c r="D1" s="1309"/>
      <c r="E1" s="1309"/>
      <c r="F1" s="1309"/>
      <c r="G1" s="1309"/>
      <c r="H1" s="1309"/>
      <c r="I1" s="1309"/>
      <c r="J1" s="1309"/>
      <c r="K1" s="1309"/>
      <c r="L1" s="1309"/>
      <c r="M1" s="403"/>
      <c r="N1" s="149"/>
      <c r="O1" s="149"/>
      <c r="P1" s="149"/>
    </row>
    <row r="2" spans="1:16" ht="17.399999999999999" x14ac:dyDescent="0.25">
      <c r="A2" s="1316" t="s">
        <v>1</v>
      </c>
      <c r="B2" s="1316"/>
      <c r="C2" s="1316"/>
      <c r="D2" s="1316"/>
      <c r="E2" s="1316"/>
      <c r="F2" s="1316"/>
      <c r="G2" s="1316"/>
      <c r="H2" s="1316"/>
      <c r="I2" s="1316"/>
      <c r="J2" s="1316"/>
      <c r="K2" s="1316"/>
      <c r="L2" s="1316"/>
      <c r="M2" s="404"/>
      <c r="N2" s="150"/>
      <c r="O2" s="150"/>
      <c r="P2" s="150"/>
    </row>
    <row r="3" spans="1:16" ht="15.75" customHeight="1" x14ac:dyDescent="0.25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6" ht="16.2" customHeight="1" x14ac:dyDescent="0.25">
      <c r="A4" s="76" t="s">
        <v>2</v>
      </c>
      <c r="B4" s="76"/>
      <c r="C4" s="76"/>
      <c r="D4" s="77" t="s">
        <v>3</v>
      </c>
      <c r="E4" s="78"/>
      <c r="F4" s="78"/>
      <c r="G4" s="77"/>
      <c r="H4" s="77"/>
      <c r="I4" s="77"/>
      <c r="J4" s="76"/>
      <c r="K4" s="76"/>
      <c r="L4" s="76"/>
      <c r="M4" s="76"/>
      <c r="N4" s="76"/>
      <c r="O4" s="76"/>
      <c r="P4" s="76"/>
    </row>
    <row r="5" spans="1:16" ht="16.2" customHeight="1" x14ac:dyDescent="0.25">
      <c r="A5" s="76" t="s">
        <v>4</v>
      </c>
      <c r="B5" s="76"/>
      <c r="C5" s="76"/>
      <c r="D5" s="79" t="s">
        <v>3</v>
      </c>
      <c r="E5" s="78"/>
      <c r="F5" s="80"/>
      <c r="G5" s="79"/>
      <c r="H5" s="79"/>
      <c r="I5" s="79"/>
      <c r="J5" s="76"/>
      <c r="K5" s="76"/>
      <c r="L5" s="76"/>
      <c r="M5" s="76"/>
      <c r="N5" s="76"/>
      <c r="O5" s="76"/>
      <c r="P5" s="76"/>
    </row>
    <row r="6" spans="1:16" ht="16.2" customHeight="1" x14ac:dyDescent="0.25">
      <c r="A6" s="76" t="s">
        <v>5</v>
      </c>
      <c r="B6" s="76"/>
      <c r="C6" s="76"/>
      <c r="D6" s="79" t="s">
        <v>3</v>
      </c>
      <c r="E6" s="78"/>
      <c r="F6" s="1305"/>
      <c r="G6" s="1305"/>
      <c r="H6" s="79"/>
      <c r="I6" s="79"/>
      <c r="J6" s="76"/>
      <c r="K6" s="76"/>
      <c r="L6" s="76"/>
      <c r="M6" s="76"/>
      <c r="N6" s="76"/>
      <c r="O6" s="76"/>
      <c r="P6" s="76"/>
    </row>
    <row r="7" spans="1:16" ht="16.2" customHeight="1" x14ac:dyDescent="0.25">
      <c r="A7" s="76" t="s">
        <v>6</v>
      </c>
      <c r="B7" s="76"/>
      <c r="C7" s="76"/>
      <c r="D7" s="79" t="s">
        <v>3</v>
      </c>
      <c r="E7" s="78"/>
      <c r="F7" s="80"/>
      <c r="G7" s="80"/>
      <c r="H7" s="79"/>
      <c r="I7" s="79"/>
      <c r="J7" s="76"/>
      <c r="K7" s="76"/>
      <c r="L7" s="76"/>
      <c r="M7" s="76"/>
      <c r="N7" s="76"/>
      <c r="O7" s="76"/>
      <c r="P7" s="76"/>
    </row>
    <row r="8" spans="1:16" ht="16.2" customHeight="1" x14ac:dyDescent="0.25">
      <c r="A8" s="76" t="s">
        <v>7</v>
      </c>
      <c r="B8" s="76"/>
      <c r="C8" s="76"/>
      <c r="D8" s="79" t="s">
        <v>3</v>
      </c>
      <c r="E8" s="78"/>
      <c r="F8" s="81"/>
      <c r="G8" s="79"/>
      <c r="H8" s="79"/>
      <c r="I8" s="79"/>
      <c r="J8" s="76"/>
      <c r="K8" s="76"/>
      <c r="L8" s="76"/>
      <c r="M8" s="76"/>
      <c r="N8" s="76"/>
      <c r="O8" s="76"/>
      <c r="P8" s="76"/>
    </row>
    <row r="9" spans="1:16" ht="16.2" customHeight="1" x14ac:dyDescent="0.25">
      <c r="A9" s="76" t="s">
        <v>8</v>
      </c>
      <c r="B9" s="76"/>
      <c r="C9" s="76"/>
      <c r="D9" s="79" t="s">
        <v>3</v>
      </c>
      <c r="E9" s="78"/>
      <c r="F9" s="80"/>
      <c r="G9" s="79"/>
      <c r="H9" s="79"/>
      <c r="I9" s="79"/>
      <c r="J9" s="76"/>
      <c r="K9" s="76"/>
      <c r="L9" s="76"/>
      <c r="M9" s="76"/>
      <c r="N9" s="76"/>
      <c r="P9" s="76"/>
    </row>
    <row r="10" spans="1:16" ht="16.2" customHeight="1" x14ac:dyDescent="0.25">
      <c r="A10" s="76" t="s">
        <v>9</v>
      </c>
      <c r="B10" s="76"/>
      <c r="C10" s="76"/>
      <c r="D10" s="79" t="s">
        <v>3</v>
      </c>
      <c r="E10" s="78"/>
      <c r="F10" s="80"/>
      <c r="G10" s="79"/>
      <c r="H10" s="79"/>
      <c r="I10" s="79"/>
      <c r="J10" s="76"/>
      <c r="K10" s="76"/>
      <c r="L10" s="76"/>
      <c r="M10" s="76"/>
      <c r="N10" s="76"/>
      <c r="O10" s="76"/>
      <c r="P10" s="76"/>
    </row>
    <row r="11" spans="1:16" ht="16.2" customHeight="1" x14ac:dyDescent="0.25">
      <c r="A11" s="76" t="s">
        <v>10</v>
      </c>
      <c r="B11" s="76"/>
      <c r="C11" s="76"/>
      <c r="D11" s="190" t="s">
        <v>11</v>
      </c>
      <c r="F11" s="191"/>
      <c r="G11" s="190"/>
      <c r="H11" s="190"/>
      <c r="I11" s="190"/>
      <c r="J11" s="76"/>
      <c r="K11" s="76"/>
      <c r="L11" s="76"/>
      <c r="M11" s="76"/>
      <c r="N11" s="76"/>
      <c r="O11" s="76"/>
      <c r="P11" s="76"/>
    </row>
    <row r="12" spans="1:16" ht="15.75" customHeight="1" x14ac:dyDescent="0.25">
      <c r="A12" s="76"/>
      <c r="B12" s="76"/>
      <c r="C12" s="76"/>
      <c r="D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</row>
    <row r="13" spans="1:16" ht="15.6" x14ac:dyDescent="0.25">
      <c r="A13" s="82" t="s">
        <v>12</v>
      </c>
      <c r="B13" s="82" t="s">
        <v>13</v>
      </c>
      <c r="C13" s="76"/>
      <c r="D13" s="76"/>
      <c r="E13" s="63"/>
      <c r="F13" s="63"/>
      <c r="H13" s="76"/>
      <c r="I13" s="76"/>
      <c r="J13" s="76"/>
      <c r="K13" s="76"/>
      <c r="L13" s="76"/>
      <c r="M13" s="76"/>
      <c r="N13" s="76"/>
      <c r="O13" s="76"/>
      <c r="P13" s="76"/>
    </row>
    <row r="14" spans="1:16" ht="15.6" x14ac:dyDescent="0.25">
      <c r="A14" s="82"/>
      <c r="B14" s="82"/>
      <c r="C14" s="76"/>
      <c r="D14" s="61" t="s">
        <v>14</v>
      </c>
      <c r="E14" s="61" t="s">
        <v>15</v>
      </c>
      <c r="H14" s="76"/>
      <c r="I14" s="76"/>
      <c r="J14" s="76"/>
      <c r="K14" s="76"/>
      <c r="L14" s="76"/>
      <c r="M14" s="76"/>
      <c r="N14" s="76"/>
      <c r="O14" s="76"/>
      <c r="P14" s="76"/>
    </row>
    <row r="15" spans="1:16" ht="15.6" x14ac:dyDescent="0.25">
      <c r="A15" s="76"/>
      <c r="B15" s="76" t="s">
        <v>16</v>
      </c>
      <c r="C15" s="76"/>
      <c r="D15" s="67"/>
      <c r="E15" s="66"/>
      <c r="F15" s="135" t="s">
        <v>17</v>
      </c>
      <c r="I15" s="76"/>
      <c r="J15" s="76"/>
      <c r="K15" s="76"/>
      <c r="L15" s="76"/>
      <c r="M15" s="76"/>
      <c r="N15" s="76"/>
      <c r="O15" s="76"/>
      <c r="P15" s="76"/>
    </row>
    <row r="16" spans="1:16" ht="15.6" x14ac:dyDescent="0.25">
      <c r="A16" s="76"/>
      <c r="B16" s="96" t="s">
        <v>18</v>
      </c>
      <c r="C16" s="96"/>
      <c r="D16" s="67"/>
      <c r="E16" s="144"/>
      <c r="F16" s="145" t="s">
        <v>19</v>
      </c>
      <c r="I16" s="76"/>
      <c r="J16" s="76"/>
      <c r="K16" s="76"/>
      <c r="L16" s="76"/>
      <c r="M16" s="76"/>
      <c r="N16" s="76"/>
      <c r="O16" s="76"/>
      <c r="P16" s="76"/>
    </row>
    <row r="17" spans="1:16" ht="15.6" x14ac:dyDescent="0.25">
      <c r="A17" s="76"/>
      <c r="B17" s="96" t="s">
        <v>20</v>
      </c>
      <c r="C17" s="96"/>
      <c r="D17" s="146" t="s">
        <v>3</v>
      </c>
      <c r="E17" s="147"/>
      <c r="F17" s="76" t="s">
        <v>21</v>
      </c>
      <c r="H17" s="76"/>
      <c r="I17" s="76"/>
      <c r="J17" s="76"/>
      <c r="K17" s="76"/>
      <c r="L17" s="76"/>
      <c r="M17" s="76"/>
      <c r="N17" s="76"/>
      <c r="O17" s="76"/>
      <c r="P17" s="76"/>
    </row>
    <row r="18" spans="1:16" ht="15.75" customHeight="1" x14ac:dyDescent="0.25">
      <c r="A18" s="76"/>
      <c r="B18" s="76"/>
      <c r="C18" s="76"/>
      <c r="D18" s="76"/>
      <c r="E18" s="76"/>
      <c r="F18" s="76"/>
      <c r="H18" s="76"/>
      <c r="I18" s="76"/>
      <c r="J18" s="76"/>
      <c r="K18" s="76"/>
      <c r="L18" s="76"/>
      <c r="M18" s="76"/>
      <c r="N18" s="76"/>
      <c r="O18" s="76"/>
      <c r="P18" s="76"/>
    </row>
    <row r="19" spans="1:16" ht="17.399999999999999" x14ac:dyDescent="0.25">
      <c r="A19" s="82" t="s">
        <v>22</v>
      </c>
      <c r="B19" s="82" t="s">
        <v>23</v>
      </c>
      <c r="C19" s="76"/>
      <c r="D19" s="76"/>
      <c r="E19" s="76"/>
      <c r="F19" s="76"/>
      <c r="H19" s="83"/>
      <c r="I19" s="76"/>
      <c r="J19" s="76"/>
      <c r="K19" s="76"/>
      <c r="L19" s="76"/>
      <c r="M19" s="76"/>
      <c r="N19" s="76"/>
      <c r="O19" s="76"/>
      <c r="P19" s="76"/>
    </row>
    <row r="20" spans="1:16" ht="17.399999999999999" x14ac:dyDescent="0.25">
      <c r="A20" s="82"/>
      <c r="B20" s="76" t="s">
        <v>24</v>
      </c>
      <c r="C20" s="76"/>
      <c r="D20" s="84" t="s">
        <v>25</v>
      </c>
      <c r="F20" s="76"/>
      <c r="H20" s="83"/>
      <c r="I20" s="76"/>
      <c r="J20" s="76"/>
      <c r="K20" s="76"/>
      <c r="L20" s="76"/>
      <c r="M20" s="76"/>
      <c r="N20" s="76"/>
      <c r="O20" s="76"/>
      <c r="P20" s="76"/>
    </row>
    <row r="21" spans="1:16" ht="17.399999999999999" x14ac:dyDescent="0.25">
      <c r="A21" s="76"/>
      <c r="B21" s="76" t="s">
        <v>26</v>
      </c>
      <c r="C21" s="76"/>
      <c r="D21" s="84" t="s">
        <v>25</v>
      </c>
      <c r="F21" s="76"/>
      <c r="H21" s="83"/>
      <c r="I21" s="76"/>
      <c r="J21" s="76"/>
      <c r="K21" s="76"/>
      <c r="L21" s="76"/>
      <c r="M21" s="76"/>
      <c r="N21" s="76"/>
      <c r="O21" s="76"/>
      <c r="P21" s="76"/>
    </row>
    <row r="22" spans="1:16" ht="15.75" customHeight="1" x14ac:dyDescent="0.25">
      <c r="A22" s="76"/>
      <c r="B22" s="76"/>
      <c r="C22" s="76"/>
      <c r="D22" s="76"/>
      <c r="E22" s="76"/>
      <c r="F22" s="84"/>
      <c r="G22" s="76"/>
      <c r="H22" s="83"/>
      <c r="I22" s="76"/>
      <c r="J22" s="76"/>
      <c r="K22" s="76"/>
      <c r="L22" s="76"/>
      <c r="M22" s="76"/>
      <c r="N22" s="76"/>
      <c r="O22" s="76"/>
      <c r="P22" s="76"/>
    </row>
    <row r="23" spans="1:16" ht="17.399999999999999" x14ac:dyDescent="0.25">
      <c r="A23" s="82" t="s">
        <v>27</v>
      </c>
      <c r="B23" s="82" t="s">
        <v>28</v>
      </c>
      <c r="D23" s="76"/>
      <c r="E23" s="76"/>
      <c r="F23" s="84"/>
      <c r="G23" s="76"/>
      <c r="H23" s="83"/>
      <c r="I23" s="76"/>
      <c r="J23" s="76"/>
      <c r="K23" s="76"/>
      <c r="L23" s="76"/>
      <c r="M23" s="76"/>
      <c r="N23" s="76"/>
      <c r="O23" s="76"/>
      <c r="P23" s="76"/>
    </row>
    <row r="24" spans="1:16" ht="32.25" customHeight="1" x14ac:dyDescent="0.25">
      <c r="A24" s="76"/>
      <c r="B24" s="61" t="s">
        <v>29</v>
      </c>
      <c r="C24" s="1292" t="s">
        <v>30</v>
      </c>
      <c r="D24" s="1292"/>
      <c r="E24" s="1292"/>
      <c r="F24" s="1292"/>
      <c r="G24" s="1292"/>
      <c r="H24" s="1292"/>
      <c r="I24" s="1292" t="s">
        <v>31</v>
      </c>
      <c r="J24" s="1292"/>
      <c r="K24" s="1312" t="s">
        <v>32</v>
      </c>
      <c r="L24" s="1312"/>
      <c r="M24" s="413"/>
      <c r="O24" s="76"/>
      <c r="P24" s="76"/>
    </row>
    <row r="25" spans="1:16" ht="17.399999999999999" x14ac:dyDescent="0.25">
      <c r="A25" s="76"/>
      <c r="B25" s="66">
        <v>1</v>
      </c>
      <c r="C25" s="185" t="s">
        <v>33</v>
      </c>
      <c r="D25" s="85"/>
      <c r="E25" s="85"/>
      <c r="F25" s="85"/>
      <c r="G25" s="85"/>
      <c r="H25" s="143"/>
      <c r="I25" s="140"/>
      <c r="J25" s="186" t="s">
        <v>34</v>
      </c>
      <c r="K25" s="187" t="s">
        <v>35</v>
      </c>
      <c r="L25" s="188" t="s">
        <v>36</v>
      </c>
      <c r="M25" s="414"/>
      <c r="O25" s="76"/>
      <c r="P25" s="76"/>
    </row>
    <row r="26" spans="1:16" ht="17.399999999999999" x14ac:dyDescent="0.25">
      <c r="A26" s="76"/>
      <c r="B26" s="66">
        <v>2</v>
      </c>
      <c r="C26" s="185" t="s">
        <v>37</v>
      </c>
      <c r="D26" s="85"/>
      <c r="E26" s="85"/>
      <c r="F26" s="85"/>
      <c r="G26" s="85"/>
      <c r="H26" s="143"/>
      <c r="I26" s="141"/>
      <c r="J26" s="186" t="s">
        <v>38</v>
      </c>
      <c r="K26" s="187" t="s">
        <v>39</v>
      </c>
      <c r="L26" s="188" t="s">
        <v>38</v>
      </c>
      <c r="M26" s="414"/>
      <c r="O26" s="76"/>
      <c r="P26" s="76"/>
    </row>
    <row r="27" spans="1:16" ht="17.399999999999999" x14ac:dyDescent="0.25">
      <c r="A27" s="76"/>
      <c r="B27" s="66">
        <v>3</v>
      </c>
      <c r="C27" s="185" t="s">
        <v>40</v>
      </c>
      <c r="D27" s="85"/>
      <c r="E27" s="85"/>
      <c r="F27" s="85"/>
      <c r="G27" s="85"/>
      <c r="H27" s="143"/>
      <c r="I27" s="142"/>
      <c r="J27" s="186" t="s">
        <v>38</v>
      </c>
      <c r="K27" s="187" t="s">
        <v>41</v>
      </c>
      <c r="L27" s="188" t="s">
        <v>38</v>
      </c>
      <c r="M27" s="414"/>
      <c r="O27" s="76"/>
      <c r="P27" s="76"/>
    </row>
    <row r="28" spans="1:16" ht="17.399999999999999" x14ac:dyDescent="0.25">
      <c r="A28" s="76"/>
      <c r="B28" s="66">
        <v>4</v>
      </c>
      <c r="C28" s="185" t="s">
        <v>42</v>
      </c>
      <c r="D28" s="85"/>
      <c r="E28" s="85"/>
      <c r="F28" s="85"/>
      <c r="G28" s="85"/>
      <c r="H28" s="143"/>
      <c r="I28" s="142"/>
      <c r="J28" s="186" t="s">
        <v>43</v>
      </c>
      <c r="K28" s="187" t="s">
        <v>44</v>
      </c>
      <c r="L28" s="188" t="s">
        <v>43</v>
      </c>
      <c r="M28" s="414"/>
      <c r="O28" s="76"/>
      <c r="P28" s="76"/>
    </row>
    <row r="29" spans="1:16" ht="17.399999999999999" x14ac:dyDescent="0.25">
      <c r="A29" s="76"/>
      <c r="B29" s="66">
        <v>5</v>
      </c>
      <c r="C29" s="185" t="s">
        <v>45</v>
      </c>
      <c r="D29" s="85"/>
      <c r="E29" s="85"/>
      <c r="F29" s="85"/>
      <c r="G29" s="85"/>
      <c r="H29" s="143"/>
      <c r="I29" s="142"/>
      <c r="J29" s="186" t="s">
        <v>43</v>
      </c>
      <c r="K29" s="187" t="s">
        <v>46</v>
      </c>
      <c r="L29" s="188" t="s">
        <v>43</v>
      </c>
      <c r="M29" s="414"/>
      <c r="O29" s="76"/>
      <c r="P29" s="76"/>
    </row>
    <row r="30" spans="1:16" ht="17.399999999999999" hidden="1" x14ac:dyDescent="0.25">
      <c r="A30" s="76"/>
      <c r="B30" s="66">
        <v>6</v>
      </c>
      <c r="C30" s="185" t="s">
        <v>47</v>
      </c>
      <c r="D30" s="85"/>
      <c r="E30" s="85"/>
      <c r="F30" s="85"/>
      <c r="G30" s="85"/>
      <c r="H30" s="143"/>
      <c r="I30" s="189"/>
      <c r="J30" s="186" t="s">
        <v>43</v>
      </c>
      <c r="K30" s="187" t="s">
        <v>48</v>
      </c>
      <c r="L30" s="188" t="s">
        <v>43</v>
      </c>
      <c r="M30" s="414"/>
      <c r="O30" s="76"/>
      <c r="P30" s="76"/>
    </row>
    <row r="31" spans="1:16" ht="15.75" customHeight="1" x14ac:dyDescent="0.25">
      <c r="A31" s="76"/>
      <c r="B31" s="86"/>
      <c r="C31" s="86"/>
      <c r="D31" s="86"/>
      <c r="E31" s="86"/>
      <c r="F31" s="88"/>
      <c r="G31" s="86"/>
      <c r="H31" s="87"/>
      <c r="I31" s="86"/>
      <c r="J31" s="86"/>
      <c r="K31" s="86"/>
      <c r="L31" s="86"/>
      <c r="M31" s="76"/>
      <c r="N31" s="76"/>
      <c r="O31" s="76"/>
      <c r="P31" s="76"/>
    </row>
    <row r="32" spans="1:16" ht="15.6" x14ac:dyDescent="0.25">
      <c r="A32" s="89" t="s">
        <v>49</v>
      </c>
      <c r="B32" s="89" t="s">
        <v>50</v>
      </c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</row>
    <row r="33" spans="1:22" ht="21" customHeight="1" x14ac:dyDescent="0.25">
      <c r="A33" s="76"/>
      <c r="B33" s="1284" t="s">
        <v>51</v>
      </c>
      <c r="C33" s="1284" t="s">
        <v>30</v>
      </c>
      <c r="D33" s="1301" t="s">
        <v>52</v>
      </c>
      <c r="E33" s="1306" t="s">
        <v>53</v>
      </c>
      <c r="F33" s="1307"/>
      <c r="G33" s="1307"/>
      <c r="H33" s="1307"/>
      <c r="I33" s="1307"/>
      <c r="J33" s="1308"/>
      <c r="K33" s="1284" t="s">
        <v>54</v>
      </c>
      <c r="L33" s="1315" t="s">
        <v>55</v>
      </c>
      <c r="M33" s="415"/>
      <c r="N33" s="63"/>
      <c r="O33" s="76"/>
      <c r="P33" s="76"/>
    </row>
    <row r="34" spans="1:22" ht="21" customHeight="1" x14ac:dyDescent="0.25">
      <c r="A34" s="76"/>
      <c r="B34" s="1285"/>
      <c r="C34" s="1285"/>
      <c r="D34" s="1302"/>
      <c r="E34" s="148" t="s">
        <v>56</v>
      </c>
      <c r="F34" s="148" t="s">
        <v>57</v>
      </c>
      <c r="G34" s="148" t="s">
        <v>58</v>
      </c>
      <c r="H34" s="148" t="s">
        <v>59</v>
      </c>
      <c r="I34" s="148" t="s">
        <v>60</v>
      </c>
      <c r="J34" s="148" t="s">
        <v>61</v>
      </c>
      <c r="K34" s="1285"/>
      <c r="L34" s="1315"/>
      <c r="M34" s="415"/>
      <c r="N34" s="63"/>
      <c r="O34" s="76"/>
      <c r="P34" s="76"/>
    </row>
    <row r="35" spans="1:22" ht="15.6" x14ac:dyDescent="0.25">
      <c r="A35" s="76"/>
      <c r="B35" s="1297">
        <v>1</v>
      </c>
      <c r="C35" s="68" t="s">
        <v>62</v>
      </c>
      <c r="D35" s="1287" t="s">
        <v>63</v>
      </c>
      <c r="E35" s="136"/>
      <c r="F35" s="138"/>
      <c r="G35" s="138"/>
      <c r="H35" s="138"/>
      <c r="I35" s="138"/>
      <c r="J35" s="1293"/>
      <c r="K35" s="1313" t="s">
        <v>64</v>
      </c>
      <c r="L35" s="1284">
        <v>31</v>
      </c>
      <c r="M35" s="82"/>
      <c r="N35" s="92"/>
      <c r="O35" s="76"/>
      <c r="P35" s="76"/>
    </row>
    <row r="36" spans="1:22" ht="15.6" x14ac:dyDescent="0.25">
      <c r="A36" s="76"/>
      <c r="B36" s="1298"/>
      <c r="C36" s="69" t="s">
        <v>65</v>
      </c>
      <c r="D36" s="1303"/>
      <c r="E36" s="137"/>
      <c r="F36" s="139"/>
      <c r="G36" s="139"/>
      <c r="H36" s="139"/>
      <c r="I36" s="139"/>
      <c r="J36" s="1294"/>
      <c r="K36" s="1314"/>
      <c r="L36" s="1285"/>
      <c r="M36" s="82"/>
      <c r="N36" s="92"/>
      <c r="O36" s="76"/>
      <c r="P36" s="76"/>
    </row>
    <row r="37" spans="1:22" ht="15.6" x14ac:dyDescent="0.25">
      <c r="A37" s="76"/>
      <c r="B37" s="1297">
        <v>2</v>
      </c>
      <c r="C37" s="1287" t="s">
        <v>66</v>
      </c>
      <c r="D37" s="1287" t="s">
        <v>67</v>
      </c>
      <c r="E37" s="183"/>
      <c r="F37" s="184"/>
      <c r="G37" s="184"/>
      <c r="H37" s="184"/>
      <c r="I37" s="184"/>
      <c r="J37" s="184"/>
      <c r="K37" s="1311" t="s">
        <v>68</v>
      </c>
      <c r="L37" s="1285"/>
      <c r="M37" s="82"/>
      <c r="N37" s="92"/>
    </row>
    <row r="38" spans="1:22" ht="15.6" x14ac:dyDescent="0.25">
      <c r="A38" s="76"/>
      <c r="B38" s="1299"/>
      <c r="C38" s="1300"/>
      <c r="D38" s="1303"/>
      <c r="E38" s="183"/>
      <c r="F38" s="184"/>
      <c r="G38" s="184"/>
      <c r="H38" s="184"/>
      <c r="I38" s="184"/>
      <c r="J38" s="184"/>
      <c r="K38" s="1317"/>
      <c r="L38" s="1286"/>
      <c r="M38" s="82"/>
      <c r="N38" s="92"/>
    </row>
    <row r="39" spans="1:22" ht="15.6" x14ac:dyDescent="0.25">
      <c r="A39" s="76"/>
      <c r="B39" s="1299"/>
      <c r="C39" s="1300"/>
      <c r="D39" s="1287" t="s">
        <v>69</v>
      </c>
      <c r="E39" s="136"/>
      <c r="F39" s="138"/>
      <c r="G39" s="138"/>
      <c r="H39" s="138"/>
      <c r="I39" s="138"/>
      <c r="J39" s="1293"/>
      <c r="K39" s="1311" t="s">
        <v>70</v>
      </c>
      <c r="L39" s="1284">
        <v>4</v>
      </c>
      <c r="M39" s="82"/>
      <c r="N39" s="92"/>
      <c r="O39" s="76"/>
      <c r="P39" s="76"/>
    </row>
    <row r="40" spans="1:22" ht="15.6" x14ac:dyDescent="0.25">
      <c r="A40" s="76"/>
      <c r="B40" s="1299"/>
      <c r="C40" s="1300"/>
      <c r="D40" s="1288"/>
      <c r="E40" s="137"/>
      <c r="F40" s="139"/>
      <c r="G40" s="139"/>
      <c r="H40" s="139"/>
      <c r="I40" s="139"/>
      <c r="J40" s="1294"/>
      <c r="K40" s="1311"/>
      <c r="L40" s="1286"/>
      <c r="M40" s="82"/>
      <c r="N40" s="92"/>
      <c r="O40" s="76"/>
      <c r="P40" s="76"/>
    </row>
    <row r="41" spans="1:22" ht="15.6" x14ac:dyDescent="0.25">
      <c r="A41" s="76"/>
      <c r="B41" s="1295">
        <v>3</v>
      </c>
      <c r="C41" s="1287" t="s">
        <v>71</v>
      </c>
      <c r="D41" s="1287" t="s">
        <v>63</v>
      </c>
      <c r="E41" s="136"/>
      <c r="F41" s="138"/>
      <c r="G41" s="138"/>
      <c r="H41" s="138"/>
      <c r="I41" s="138"/>
      <c r="J41" s="138"/>
      <c r="K41" s="1318" t="s">
        <v>72</v>
      </c>
      <c r="L41" s="1292">
        <v>5</v>
      </c>
      <c r="M41" s="82"/>
      <c r="N41" s="92"/>
      <c r="O41" s="76"/>
      <c r="P41" s="76"/>
    </row>
    <row r="42" spans="1:22" ht="15.6" x14ac:dyDescent="0.25">
      <c r="A42" s="76"/>
      <c r="B42" s="1296"/>
      <c r="C42" s="1288"/>
      <c r="D42" s="1303"/>
      <c r="E42" s="183"/>
      <c r="F42" s="184"/>
      <c r="G42" s="184"/>
      <c r="H42" s="184"/>
      <c r="I42" s="184"/>
      <c r="J42" s="184"/>
      <c r="K42" s="1319"/>
      <c r="L42" s="1292"/>
      <c r="M42" s="82"/>
      <c r="N42" s="92"/>
      <c r="O42" s="76"/>
      <c r="P42" s="76"/>
    </row>
    <row r="43" spans="1:22" ht="15.6" x14ac:dyDescent="0.25">
      <c r="A43" s="76"/>
      <c r="B43" s="1297">
        <v>4</v>
      </c>
      <c r="C43" s="68" t="s">
        <v>73</v>
      </c>
      <c r="D43" s="1287" t="s">
        <v>63</v>
      </c>
      <c r="E43" s="136"/>
      <c r="F43" s="138"/>
      <c r="G43" s="138"/>
      <c r="H43" s="138"/>
      <c r="I43" s="138"/>
      <c r="J43" s="1293"/>
      <c r="K43" s="1310" t="s">
        <v>74</v>
      </c>
      <c r="L43" s="1292">
        <v>5</v>
      </c>
      <c r="M43" s="82"/>
      <c r="N43" s="92"/>
      <c r="O43" s="76"/>
      <c r="P43" s="76"/>
    </row>
    <row r="44" spans="1:22" ht="15.6" x14ac:dyDescent="0.25">
      <c r="A44" s="76"/>
      <c r="B44" s="1298"/>
      <c r="C44" s="70" t="s">
        <v>75</v>
      </c>
      <c r="D44" s="1288"/>
      <c r="E44" s="137"/>
      <c r="F44" s="139"/>
      <c r="G44" s="139"/>
      <c r="H44" s="139"/>
      <c r="I44" s="139"/>
      <c r="J44" s="1294"/>
      <c r="K44" s="1311"/>
      <c r="L44" s="1292"/>
      <c r="M44" s="82"/>
      <c r="N44" s="92"/>
      <c r="O44" s="76"/>
      <c r="P44" s="76"/>
    </row>
    <row r="45" spans="1:22" ht="15.6" x14ac:dyDescent="0.25">
      <c r="A45" s="76"/>
      <c r="B45" s="1297">
        <v>5</v>
      </c>
      <c r="C45" s="68" t="s">
        <v>73</v>
      </c>
      <c r="D45" s="1287" t="s">
        <v>63</v>
      </c>
      <c r="E45" s="136"/>
      <c r="F45" s="138"/>
      <c r="G45" s="138"/>
      <c r="H45" s="138"/>
      <c r="I45" s="138"/>
      <c r="J45" s="1293"/>
      <c r="K45" s="1310" t="s">
        <v>74</v>
      </c>
      <c r="L45" s="1292">
        <v>5</v>
      </c>
      <c r="M45" s="82"/>
      <c r="N45" s="92"/>
      <c r="O45" s="76"/>
      <c r="P45" s="76"/>
    </row>
    <row r="46" spans="1:22" ht="15.75" customHeight="1" x14ac:dyDescent="0.25">
      <c r="A46" s="92"/>
      <c r="B46" s="1298"/>
      <c r="C46" s="70" t="s">
        <v>76</v>
      </c>
      <c r="D46" s="1288"/>
      <c r="E46" s="137"/>
      <c r="F46" s="139"/>
      <c r="G46" s="139"/>
      <c r="H46" s="139"/>
      <c r="I46" s="139"/>
      <c r="J46" s="1294"/>
      <c r="K46" s="1311"/>
      <c r="L46" s="1292"/>
      <c r="M46" s="369"/>
      <c r="N46" s="91"/>
      <c r="O46" s="91"/>
      <c r="P46" s="64"/>
      <c r="R46" s="93"/>
      <c r="S46" s="93"/>
      <c r="T46" s="94"/>
      <c r="U46" s="94"/>
      <c r="V46" s="95"/>
    </row>
    <row r="47" spans="1:22" ht="15.75" customHeight="1" x14ac:dyDescent="0.25">
      <c r="A47" s="92"/>
      <c r="B47" s="90"/>
      <c r="C47" s="63"/>
      <c r="D47" s="71"/>
      <c r="E47" s="236"/>
      <c r="F47" s="237"/>
      <c r="G47" s="237"/>
      <c r="H47" s="237"/>
      <c r="I47" s="237"/>
      <c r="J47" s="237"/>
      <c r="K47" s="238"/>
      <c r="L47" s="91"/>
      <c r="M47" s="91"/>
      <c r="N47" s="91"/>
      <c r="O47" s="91"/>
      <c r="P47" s="64"/>
      <c r="R47" s="93"/>
      <c r="S47" s="93"/>
      <c r="T47" s="94"/>
      <c r="U47" s="94"/>
      <c r="V47" s="95"/>
    </row>
    <row r="48" spans="1:22" ht="15.6" x14ac:dyDescent="0.25">
      <c r="A48" s="89" t="s">
        <v>77</v>
      </c>
      <c r="B48" s="89" t="s">
        <v>78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76" t="s">
        <v>79</v>
      </c>
    </row>
    <row r="49" spans="1:16" ht="15.6" x14ac:dyDescent="0.25">
      <c r="A49" s="89"/>
      <c r="B49" s="96" t="s">
        <v>80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76"/>
    </row>
    <row r="50" spans="1:16" ht="15.6" x14ac:dyDescent="0.25">
      <c r="A50" s="89"/>
      <c r="B50" s="96" t="s">
        <v>81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76"/>
    </row>
    <row r="51" spans="1:16" ht="15.6" x14ac:dyDescent="0.25">
      <c r="A51" s="89"/>
      <c r="B51" s="96" t="s">
        <v>82</v>
      </c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76"/>
    </row>
    <row r="52" spans="1:16" ht="15.6" x14ac:dyDescent="0.25">
      <c r="A52" s="89"/>
      <c r="B52" s="96" t="s">
        <v>83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76"/>
    </row>
    <row r="53" spans="1:16" ht="15.6" x14ac:dyDescent="0.25">
      <c r="A53" s="89"/>
      <c r="B53" s="96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76"/>
    </row>
    <row r="54" spans="1:16" ht="15.75" customHeight="1" x14ac:dyDescent="0.25">
      <c r="A54" s="76"/>
      <c r="B54" s="89"/>
      <c r="C54" s="96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76"/>
    </row>
    <row r="55" spans="1:16" ht="15.6" x14ac:dyDescent="0.25">
      <c r="A55" s="89" t="s">
        <v>84</v>
      </c>
      <c r="B55" s="97" t="s">
        <v>85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</row>
    <row r="56" spans="1:16" ht="15.6" x14ac:dyDescent="0.25">
      <c r="A56" s="89"/>
      <c r="B56" s="181" t="s">
        <v>86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</row>
    <row r="57" spans="1:16" ht="15.6" x14ac:dyDescent="0.25">
      <c r="A57" s="89"/>
      <c r="B57" s="181" t="s">
        <v>87</v>
      </c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</row>
    <row r="58" spans="1:16" ht="15.6" x14ac:dyDescent="0.25">
      <c r="A58" s="89"/>
      <c r="B58" s="181" t="s">
        <v>88</v>
      </c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</row>
    <row r="59" spans="1:16" ht="15.6" x14ac:dyDescent="0.25">
      <c r="A59" s="89"/>
      <c r="B59" s="181" t="s">
        <v>89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</row>
    <row r="60" spans="1:16" ht="15.6" x14ac:dyDescent="0.3">
      <c r="A60" s="76"/>
      <c r="B60" s="182" t="s">
        <v>90</v>
      </c>
      <c r="D60" s="76"/>
      <c r="E60" s="76"/>
      <c r="F60" s="76"/>
      <c r="G60" s="76"/>
      <c r="H60" s="76"/>
      <c r="I60" s="76"/>
      <c r="J60" s="63"/>
      <c r="K60" s="76"/>
      <c r="L60" s="76"/>
      <c r="M60" s="76"/>
      <c r="O60" s="76"/>
      <c r="P60" s="76"/>
    </row>
    <row r="61" spans="1:16" ht="15.6" x14ac:dyDescent="0.25">
      <c r="A61" s="76"/>
      <c r="B61" s="181" t="s">
        <v>91</v>
      </c>
      <c r="D61" s="76"/>
      <c r="E61" s="76"/>
      <c r="F61" s="76"/>
      <c r="G61" s="76"/>
      <c r="H61" s="76"/>
      <c r="I61" s="76"/>
      <c r="J61" s="63"/>
      <c r="K61" s="76"/>
      <c r="L61" s="76"/>
      <c r="M61" s="76"/>
      <c r="O61" s="76"/>
      <c r="P61" s="76"/>
    </row>
    <row r="62" spans="1:16" ht="15.6" x14ac:dyDescent="0.25">
      <c r="A62" s="76"/>
      <c r="B62" s="76" t="s">
        <v>92</v>
      </c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</row>
    <row r="63" spans="1:16" ht="15.6" x14ac:dyDescent="0.25">
      <c r="A63" s="76"/>
      <c r="B63" s="181" t="s">
        <v>93</v>
      </c>
      <c r="D63" s="76"/>
      <c r="E63" s="76"/>
      <c r="F63" s="76"/>
      <c r="G63" s="76"/>
      <c r="H63" s="76"/>
      <c r="I63" s="76"/>
      <c r="J63" s="63"/>
      <c r="K63" s="76"/>
      <c r="L63" s="76"/>
      <c r="M63" s="76"/>
      <c r="O63" s="76"/>
      <c r="P63" s="76"/>
    </row>
    <row r="64" spans="1:16" ht="15.6" x14ac:dyDescent="0.25">
      <c r="A64" s="76"/>
      <c r="B64" s="181" t="s">
        <v>94</v>
      </c>
      <c r="D64" s="76"/>
      <c r="E64" s="76"/>
      <c r="F64" s="76"/>
      <c r="G64" s="76"/>
      <c r="H64" s="76"/>
      <c r="I64" s="76"/>
      <c r="J64" s="63"/>
      <c r="K64" s="76"/>
      <c r="L64" s="76"/>
      <c r="M64" s="76"/>
      <c r="O64" s="76"/>
      <c r="P64" s="76"/>
    </row>
    <row r="65" spans="1:16" ht="15.6" x14ac:dyDescent="0.25">
      <c r="A65" s="76"/>
      <c r="B65" s="76" t="s">
        <v>95</v>
      </c>
      <c r="D65" s="76"/>
      <c r="E65" s="76"/>
      <c r="F65" s="76"/>
      <c r="G65" s="76"/>
      <c r="H65" s="76"/>
      <c r="I65" s="76"/>
      <c r="J65" s="63"/>
      <c r="K65" s="76"/>
      <c r="O65" s="76"/>
      <c r="P65" s="76"/>
    </row>
    <row r="66" spans="1:16" ht="15.6" x14ac:dyDescent="0.25">
      <c r="A66" s="76"/>
      <c r="B66" s="76" t="s">
        <v>96</v>
      </c>
      <c r="D66" s="76"/>
      <c r="E66" s="76"/>
      <c r="F66" s="76"/>
      <c r="G66" s="76"/>
      <c r="H66" s="76"/>
      <c r="I66" s="76"/>
      <c r="J66" s="63"/>
      <c r="K66" s="76"/>
      <c r="O66" s="76"/>
      <c r="P66" s="76"/>
    </row>
    <row r="67" spans="1:16" ht="15.6" x14ac:dyDescent="0.25">
      <c r="A67" s="76"/>
      <c r="B67" s="76" t="s">
        <v>97</v>
      </c>
      <c r="D67" s="76"/>
      <c r="E67" s="76"/>
      <c r="F67" s="76"/>
      <c r="G67" s="76"/>
      <c r="H67" s="76"/>
      <c r="I67" s="76"/>
      <c r="J67" s="63"/>
      <c r="K67" s="76"/>
      <c r="O67" s="76"/>
      <c r="P67" s="76"/>
    </row>
    <row r="68" spans="1:16" ht="15.6" x14ac:dyDescent="0.25">
      <c r="A68" s="76"/>
      <c r="B68" s="76" t="s">
        <v>98</v>
      </c>
      <c r="D68" s="76"/>
      <c r="E68" s="76"/>
      <c r="F68" s="76"/>
      <c r="G68" s="76"/>
      <c r="H68" s="76"/>
      <c r="I68" s="76"/>
      <c r="J68" s="63"/>
      <c r="K68" s="76"/>
      <c r="O68" s="76"/>
      <c r="P68" s="76"/>
    </row>
    <row r="69" spans="1:16" ht="15.75" customHeight="1" x14ac:dyDescent="0.25">
      <c r="A69" s="76"/>
      <c r="B69" s="76" t="s">
        <v>99</v>
      </c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0" spans="1:16" ht="15.75" customHeight="1" x14ac:dyDescent="0.25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</row>
    <row r="71" spans="1:16" ht="15.6" x14ac:dyDescent="0.25">
      <c r="A71" s="82" t="s">
        <v>100</v>
      </c>
      <c r="B71" s="99" t="s">
        <v>101</v>
      </c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</row>
    <row r="72" spans="1:16" ht="15.6" x14ac:dyDescent="0.25">
      <c r="A72" s="82"/>
      <c r="B72" s="99" t="s">
        <v>102</v>
      </c>
      <c r="D72" s="76"/>
      <c r="E72" s="76"/>
      <c r="F72" s="76"/>
      <c r="G72" s="76"/>
      <c r="H72" s="76"/>
      <c r="I72" s="76"/>
      <c r="L72" s="76"/>
      <c r="M72" s="76"/>
      <c r="N72" s="76"/>
      <c r="O72" s="76"/>
      <c r="P72" s="76"/>
    </row>
    <row r="73" spans="1:16" ht="15.75" customHeight="1" x14ac:dyDescent="0.25">
      <c r="A73" s="76"/>
      <c r="B73" s="98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</row>
    <row r="74" spans="1:16" ht="15.6" x14ac:dyDescent="0.25">
      <c r="A74" s="89" t="s">
        <v>103</v>
      </c>
      <c r="B74" s="97" t="s">
        <v>104</v>
      </c>
      <c r="D74" s="76"/>
      <c r="E74" s="76"/>
      <c r="F74" s="76"/>
      <c r="G74" s="76"/>
      <c r="H74" s="76"/>
      <c r="I74" s="76"/>
      <c r="J74" s="76"/>
      <c r="K74" s="100"/>
      <c r="L74" s="76"/>
      <c r="M74" s="76"/>
      <c r="N74" s="100"/>
      <c r="O74" s="100"/>
      <c r="P74" s="82"/>
    </row>
    <row r="75" spans="1:16" ht="15.6" x14ac:dyDescent="0.25">
      <c r="A75" s="76"/>
      <c r="B75" s="101"/>
      <c r="C75" s="101"/>
      <c r="D75" s="76"/>
      <c r="E75" s="76"/>
      <c r="F75" s="76"/>
      <c r="G75" s="76"/>
      <c r="H75" s="76"/>
      <c r="I75" s="76"/>
      <c r="J75" s="76"/>
      <c r="L75" s="76"/>
      <c r="M75" s="76"/>
      <c r="N75" s="76"/>
      <c r="O75" s="76"/>
      <c r="P75" s="76"/>
    </row>
    <row r="76" spans="1:16" ht="15.6" x14ac:dyDescent="0.25">
      <c r="A76" s="76"/>
      <c r="B76" s="76"/>
      <c r="C76" s="102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</row>
    <row r="77" spans="1:16" ht="15.6" hidden="1" x14ac:dyDescent="0.25">
      <c r="A77" s="76"/>
      <c r="B77" s="76"/>
      <c r="C77" s="9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</row>
    <row r="78" spans="1:16" ht="15.6" x14ac:dyDescent="0.25">
      <c r="A78" s="76"/>
      <c r="B78" s="76"/>
      <c r="C78" s="63"/>
      <c r="D78" s="63"/>
      <c r="E78" s="1304"/>
      <c r="F78" s="1304"/>
      <c r="G78" s="103"/>
      <c r="H78" s="103"/>
      <c r="I78" s="76"/>
      <c r="J78" s="76"/>
      <c r="K78" s="76"/>
      <c r="L78" s="76"/>
      <c r="M78" s="76"/>
      <c r="N78" s="76"/>
      <c r="O78" s="76"/>
      <c r="P78" s="76"/>
    </row>
    <row r="79" spans="1:16" ht="15.6" x14ac:dyDescent="0.25">
      <c r="A79" s="76"/>
      <c r="B79" s="76"/>
      <c r="C79" s="63"/>
      <c r="D79" s="63"/>
      <c r="E79" s="1304"/>
      <c r="F79" s="1304"/>
      <c r="G79" s="104"/>
      <c r="H79" s="104"/>
      <c r="I79" s="76"/>
      <c r="J79" s="76"/>
      <c r="K79" s="76"/>
      <c r="L79" s="76"/>
      <c r="M79" s="76"/>
      <c r="N79" s="76"/>
      <c r="O79" s="76"/>
      <c r="P79" s="76"/>
    </row>
    <row r="80" spans="1:16" ht="15.6" x14ac:dyDescent="0.25">
      <c r="A80" s="76"/>
      <c r="B80" s="76"/>
      <c r="C80" s="105"/>
      <c r="D80" s="105"/>
      <c r="E80" s="1291"/>
      <c r="F80" s="1291"/>
      <c r="G80" s="106"/>
      <c r="H80" s="106"/>
      <c r="I80" s="76"/>
      <c r="J80" s="76"/>
      <c r="K80" s="76"/>
      <c r="L80" s="76"/>
      <c r="M80" s="76"/>
      <c r="N80" s="76"/>
      <c r="O80" s="76"/>
      <c r="P80" s="76"/>
    </row>
    <row r="81" spans="1:16" ht="15.6" x14ac:dyDescent="0.25">
      <c r="A81" s="76"/>
      <c r="B81" s="76"/>
      <c r="C81" s="105"/>
      <c r="D81" s="105"/>
      <c r="E81" s="1291"/>
      <c r="F81" s="1291"/>
      <c r="G81" s="105"/>
      <c r="H81" s="105"/>
      <c r="I81" s="76"/>
      <c r="J81" s="76"/>
      <c r="K81" s="76"/>
      <c r="L81" s="76"/>
      <c r="M81" s="76"/>
      <c r="N81" s="107"/>
      <c r="O81" s="76"/>
      <c r="P81" s="76"/>
    </row>
    <row r="82" spans="1:16" ht="15.6" x14ac:dyDescent="0.25">
      <c r="A82" s="76"/>
      <c r="B82" s="76"/>
      <c r="C82" s="108"/>
      <c r="D82" s="108"/>
      <c r="E82" s="108"/>
      <c r="F82" s="108"/>
      <c r="G82" s="108"/>
      <c r="H82" s="108"/>
      <c r="I82" s="76"/>
      <c r="J82" s="76"/>
      <c r="K82" s="76"/>
      <c r="L82" s="76"/>
      <c r="M82" s="76"/>
      <c r="N82" s="109"/>
      <c r="O82" s="76"/>
      <c r="P82" s="76"/>
    </row>
    <row r="83" spans="1:16" ht="15.6" x14ac:dyDescent="0.25">
      <c r="A83" s="76"/>
      <c r="B83" s="76"/>
      <c r="C83" s="108"/>
      <c r="D83" s="108"/>
      <c r="E83" s="108"/>
      <c r="F83" s="108"/>
      <c r="G83" s="108"/>
      <c r="H83" s="108"/>
      <c r="I83" s="76"/>
      <c r="J83" s="76"/>
      <c r="K83" s="76"/>
      <c r="L83" s="76"/>
      <c r="M83" s="76"/>
      <c r="N83" s="76"/>
      <c r="O83" s="76"/>
      <c r="P83" s="76"/>
    </row>
    <row r="84" spans="1:16" ht="15" customHeight="1" x14ac:dyDescent="0.2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</row>
    <row r="85" spans="1:16" ht="15" customHeight="1" x14ac:dyDescent="0.25">
      <c r="A85" s="76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</row>
    <row r="86" spans="1:16" ht="15" customHeight="1" x14ac:dyDescent="0.25">
      <c r="A86" s="76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</row>
    <row r="87" spans="1:16" ht="15.6" x14ac:dyDescent="0.25">
      <c r="A87" s="76"/>
      <c r="B87" s="76"/>
      <c r="C87" s="76"/>
      <c r="D87" s="76"/>
      <c r="E87" s="76"/>
      <c r="F87" s="98"/>
      <c r="G87" s="110"/>
      <c r="H87" s="63"/>
      <c r="I87" s="63"/>
      <c r="J87" s="63"/>
      <c r="K87" s="63"/>
      <c r="L87" s="63"/>
      <c r="M87" s="63"/>
      <c r="N87" s="76"/>
      <c r="O87" s="76"/>
      <c r="P87" s="76"/>
    </row>
    <row r="88" spans="1:16" ht="15.6" x14ac:dyDescent="0.25">
      <c r="A88" s="76"/>
      <c r="B88" s="76"/>
      <c r="C88" s="76"/>
      <c r="D88" s="76"/>
      <c r="E88" s="76"/>
      <c r="F88" s="111"/>
      <c r="G88" s="110"/>
      <c r="H88" s="63"/>
      <c r="I88" s="63"/>
      <c r="J88" s="63"/>
      <c r="K88" s="63"/>
      <c r="L88" s="63"/>
      <c r="M88" s="63"/>
      <c r="N88" s="76"/>
      <c r="O88" s="76"/>
      <c r="P88" s="76"/>
    </row>
    <row r="89" spans="1:16" ht="15.6" x14ac:dyDescent="0.25">
      <c r="A89" s="76"/>
      <c r="B89" s="76"/>
      <c r="C89" s="76"/>
      <c r="D89" s="76"/>
      <c r="E89" s="76"/>
      <c r="F89" s="111"/>
      <c r="G89" s="98"/>
      <c r="H89" s="76"/>
      <c r="I89" s="63"/>
      <c r="J89" s="63"/>
      <c r="K89" s="63"/>
      <c r="L89" s="63"/>
      <c r="M89" s="63"/>
      <c r="N89" s="76"/>
      <c r="O89" s="76"/>
      <c r="P89" s="76"/>
    </row>
    <row r="90" spans="1:16" ht="15.6" x14ac:dyDescent="0.25">
      <c r="A90" s="76"/>
      <c r="B90" s="76"/>
      <c r="C90" s="76"/>
      <c r="D90" s="76"/>
      <c r="E90" s="76"/>
      <c r="F90" s="111"/>
      <c r="G90" s="98"/>
      <c r="H90" s="76"/>
      <c r="I90" s="76"/>
      <c r="J90" s="76"/>
      <c r="K90" s="63"/>
      <c r="L90" s="63"/>
      <c r="M90" s="63"/>
      <c r="N90" s="76"/>
      <c r="O90" s="76"/>
      <c r="P90" s="76"/>
    </row>
    <row r="91" spans="1:16" ht="15.6" x14ac:dyDescent="0.2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63"/>
      <c r="L91" s="63"/>
      <c r="M91" s="63"/>
      <c r="N91" s="76"/>
      <c r="O91" s="76"/>
      <c r="P91" s="76"/>
    </row>
    <row r="92" spans="1:16" ht="15.6" x14ac:dyDescent="0.2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</row>
    <row r="93" spans="1:16" ht="15.6" x14ac:dyDescent="0.2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62"/>
      <c r="O93" s="62"/>
      <c r="P93" s="76"/>
    </row>
    <row r="94" spans="1:16" ht="15.6" x14ac:dyDescent="0.2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</row>
    <row r="95" spans="1:16" ht="15.6" x14ac:dyDescent="0.25">
      <c r="A95" s="76"/>
      <c r="B95" s="82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</row>
    <row r="96" spans="1:16" ht="15.6" x14ac:dyDescent="0.25">
      <c r="A96" s="76"/>
      <c r="B96" s="82"/>
      <c r="C96" s="76"/>
      <c r="D96" s="76"/>
      <c r="E96" s="76"/>
      <c r="F96" s="76"/>
      <c r="G96" s="76"/>
      <c r="H96" s="76"/>
      <c r="I96" s="76"/>
      <c r="J96" s="76"/>
      <c r="K96" s="112"/>
      <c r="L96" s="112"/>
      <c r="M96" s="112"/>
      <c r="N96" s="76"/>
      <c r="O96" s="76"/>
      <c r="P96" s="76"/>
    </row>
    <row r="97" spans="1:16" ht="15.6" x14ac:dyDescent="0.25">
      <c r="A97" s="76"/>
      <c r="B97" s="82"/>
      <c r="C97" s="113"/>
      <c r="D97" s="113"/>
      <c r="E97" s="113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</row>
    <row r="98" spans="1:16" ht="15.6" x14ac:dyDescent="0.25">
      <c r="A98" s="76"/>
      <c r="B98" s="113"/>
      <c r="C98" s="114"/>
      <c r="D98" s="114"/>
      <c r="E98" s="114"/>
      <c r="F98" s="76"/>
      <c r="G98" s="76"/>
      <c r="H98" s="76"/>
      <c r="I98" s="76"/>
      <c r="J98" s="76"/>
      <c r="K98" s="76"/>
      <c r="L98" s="76"/>
      <c r="M98" s="76"/>
      <c r="N98" s="114"/>
      <c r="O98" s="114"/>
      <c r="P98" s="76"/>
    </row>
    <row r="99" spans="1:16" ht="15.6" x14ac:dyDescent="0.25">
      <c r="A99" s="76"/>
      <c r="B99" s="114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114"/>
      <c r="O99" s="114"/>
      <c r="P99" s="76"/>
    </row>
    <row r="100" spans="1:16" ht="15.6" x14ac:dyDescent="0.2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</row>
    <row r="101" spans="1:16" ht="15.6" x14ac:dyDescent="0.2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</row>
    <row r="102" spans="1:16" ht="15.6" x14ac:dyDescent="0.2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</row>
    <row r="103" spans="1:16" ht="15.6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</row>
    <row r="104" spans="1:16" ht="15.6" x14ac:dyDescent="0.2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</row>
    <row r="105" spans="1:16" ht="15.6" x14ac:dyDescent="0.25">
      <c r="A105" s="76"/>
      <c r="B105" s="76"/>
      <c r="C105" s="76"/>
      <c r="D105" s="76"/>
      <c r="E105" s="76"/>
      <c r="F105" s="76"/>
      <c r="G105" s="76"/>
      <c r="H105" s="76"/>
      <c r="I105" s="115"/>
      <c r="J105" s="115"/>
      <c r="K105" s="115"/>
      <c r="L105" s="62"/>
      <c r="M105" s="62"/>
      <c r="N105" s="76"/>
      <c r="O105" s="76"/>
      <c r="P105" s="76"/>
    </row>
    <row r="106" spans="1:16" ht="15.6" x14ac:dyDescent="0.25">
      <c r="A106" s="76"/>
      <c r="B106" s="76"/>
      <c r="C106" s="76"/>
      <c r="D106" s="76"/>
      <c r="E106" s="76"/>
      <c r="F106" s="76"/>
      <c r="G106" s="76"/>
      <c r="H106" s="76"/>
      <c r="I106" s="116"/>
      <c r="J106" s="76"/>
      <c r="K106" s="76"/>
      <c r="L106" s="76"/>
      <c r="M106" s="76"/>
      <c r="N106" s="76"/>
      <c r="O106" s="76"/>
      <c r="P106" s="76"/>
    </row>
    <row r="107" spans="1:16" ht="15.6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</row>
    <row r="108" spans="1:16" ht="15.6" x14ac:dyDescent="0.25">
      <c r="A108" s="76"/>
      <c r="B108" s="76"/>
      <c r="C108" s="82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</row>
    <row r="109" spans="1:16" ht="15.6" x14ac:dyDescent="0.25">
      <c r="A109" s="76"/>
      <c r="B109" s="82"/>
      <c r="C109" s="76"/>
      <c r="D109" s="76"/>
      <c r="E109" s="76"/>
      <c r="F109" s="114"/>
      <c r="G109" s="114"/>
      <c r="H109" s="114"/>
      <c r="I109" s="76"/>
      <c r="J109" s="76"/>
      <c r="K109" s="76"/>
      <c r="L109" s="76"/>
      <c r="M109" s="76"/>
      <c r="N109" s="76"/>
      <c r="O109" s="76"/>
      <c r="P109" s="76"/>
    </row>
    <row r="110" spans="1:16" ht="15.6" x14ac:dyDescent="0.25">
      <c r="A110" s="76"/>
      <c r="B110" s="76"/>
      <c r="C110" s="76"/>
      <c r="D110" s="76"/>
      <c r="E110" s="76"/>
      <c r="F110" s="114"/>
      <c r="G110" s="114"/>
      <c r="H110" s="114"/>
      <c r="I110" s="114"/>
      <c r="J110" s="114"/>
      <c r="K110" s="114"/>
      <c r="L110" s="114"/>
      <c r="M110" s="114"/>
      <c r="N110" s="76"/>
      <c r="O110" s="76"/>
      <c r="P110" s="76"/>
    </row>
    <row r="111" spans="1:16" ht="15.6" x14ac:dyDescent="0.25">
      <c r="A111" s="76"/>
      <c r="B111" s="76"/>
      <c r="C111" s="76"/>
      <c r="D111" s="76"/>
      <c r="E111" s="76"/>
      <c r="F111" s="76"/>
      <c r="G111" s="76"/>
      <c r="H111" s="76"/>
      <c r="I111" s="114"/>
      <c r="J111" s="114"/>
      <c r="K111" s="114"/>
      <c r="L111" s="114"/>
      <c r="M111" s="114"/>
      <c r="N111" s="76"/>
      <c r="O111" s="76"/>
      <c r="P111" s="76"/>
    </row>
    <row r="112" spans="1:16" ht="15.6" x14ac:dyDescent="0.25">
      <c r="A112" s="76"/>
      <c r="B112" s="76"/>
      <c r="C112" s="82"/>
      <c r="D112" s="76"/>
      <c r="E112" s="76"/>
      <c r="F112" s="76"/>
      <c r="G112" s="116"/>
      <c r="H112" s="76"/>
      <c r="I112" s="76"/>
      <c r="J112" s="76"/>
      <c r="K112" s="76"/>
      <c r="L112" s="76"/>
      <c r="M112" s="76"/>
      <c r="N112" s="76"/>
      <c r="O112" s="76"/>
      <c r="P112" s="76"/>
    </row>
    <row r="113" spans="1:16" ht="15.6" x14ac:dyDescent="0.25">
      <c r="A113" s="76"/>
      <c r="B113" s="82"/>
      <c r="C113" s="76"/>
      <c r="D113" s="76"/>
      <c r="E113" s="76"/>
      <c r="F113" s="76"/>
      <c r="G113" s="116"/>
      <c r="H113" s="76"/>
      <c r="I113" s="76"/>
      <c r="J113" s="76"/>
      <c r="K113" s="76"/>
      <c r="L113" s="76"/>
      <c r="M113" s="76"/>
      <c r="N113" s="76"/>
      <c r="O113" s="76"/>
      <c r="P113" s="76"/>
    </row>
    <row r="114" spans="1:16" ht="15.6" x14ac:dyDescent="0.25">
      <c r="A114" s="76"/>
      <c r="B114" s="76"/>
      <c r="C114" s="76"/>
      <c r="D114" s="76"/>
      <c r="E114" s="76"/>
      <c r="F114" s="76"/>
      <c r="G114" s="116"/>
      <c r="H114" s="76"/>
      <c r="I114" s="76"/>
      <c r="J114" s="76"/>
      <c r="K114" s="76"/>
      <c r="L114" s="76"/>
      <c r="M114" s="76"/>
      <c r="N114" s="76"/>
      <c r="O114" s="76"/>
      <c r="P114" s="76"/>
    </row>
    <row r="115" spans="1:16" ht="15.6" x14ac:dyDescent="0.25">
      <c r="A115" s="76"/>
      <c r="B115" s="76"/>
      <c r="C115" s="76"/>
      <c r="D115" s="76"/>
      <c r="E115" s="76"/>
      <c r="F115" s="76"/>
      <c r="G115" s="116"/>
      <c r="H115" s="76"/>
      <c r="I115" s="76"/>
      <c r="J115" s="76"/>
      <c r="K115" s="76"/>
      <c r="L115" s="76"/>
      <c r="M115" s="76"/>
      <c r="N115" s="76"/>
      <c r="O115" s="76"/>
      <c r="P115" s="76"/>
    </row>
    <row r="116" spans="1:16" ht="15.6" x14ac:dyDescent="0.25">
      <c r="A116" s="76"/>
      <c r="B116" s="76"/>
      <c r="C116" s="82"/>
      <c r="D116" s="76"/>
      <c r="E116" s="76"/>
      <c r="F116" s="76"/>
      <c r="G116" s="116"/>
      <c r="H116" s="76"/>
      <c r="I116" s="76"/>
      <c r="J116" s="76"/>
      <c r="K116" s="76"/>
      <c r="L116" s="76"/>
      <c r="M116" s="76"/>
      <c r="N116" s="76"/>
      <c r="O116" s="76"/>
      <c r="P116" s="76"/>
    </row>
    <row r="117" spans="1:16" ht="15.6" x14ac:dyDescent="0.25">
      <c r="A117" s="76"/>
      <c r="B117" s="82"/>
      <c r="C117" s="72"/>
      <c r="D117" s="72"/>
      <c r="E117" s="72"/>
      <c r="F117" s="76"/>
      <c r="G117" s="116"/>
      <c r="H117" s="76"/>
      <c r="I117" s="76"/>
      <c r="J117" s="76"/>
      <c r="K117" s="76"/>
      <c r="L117" s="76"/>
      <c r="M117" s="76"/>
      <c r="N117" s="76"/>
      <c r="O117" s="76"/>
      <c r="P117" s="76"/>
    </row>
    <row r="118" spans="1:16" ht="15.6" x14ac:dyDescent="0.25">
      <c r="A118" s="76"/>
      <c r="B118" s="1289"/>
      <c r="C118" s="65"/>
      <c r="D118" s="65"/>
      <c r="E118" s="65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</row>
    <row r="119" spans="1:16" ht="15.6" x14ac:dyDescent="0.25">
      <c r="A119" s="76"/>
      <c r="B119" s="1289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</row>
    <row r="120" spans="1:16" ht="15.6" x14ac:dyDescent="0.25">
      <c r="A120" s="76"/>
      <c r="B120" s="71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</row>
    <row r="121" spans="1:16" ht="15.6" x14ac:dyDescent="0.25">
      <c r="A121" s="76"/>
      <c r="B121" s="63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</row>
    <row r="122" spans="1:16" ht="17.399999999999999" x14ac:dyDescent="0.25">
      <c r="A122" s="76"/>
      <c r="B122" s="63"/>
      <c r="C122" s="76"/>
      <c r="D122" s="76"/>
      <c r="E122" s="76"/>
      <c r="F122" s="76"/>
      <c r="G122" s="76"/>
      <c r="H122" s="83"/>
      <c r="I122" s="76"/>
      <c r="J122" s="76"/>
      <c r="K122" s="76"/>
      <c r="L122" s="76"/>
      <c r="M122" s="76"/>
      <c r="N122" s="76"/>
      <c r="O122" s="76"/>
      <c r="P122" s="76"/>
    </row>
    <row r="123" spans="1:16" ht="17.399999999999999" x14ac:dyDescent="0.25">
      <c r="A123" s="76"/>
      <c r="B123" s="63"/>
      <c r="C123" s="76"/>
      <c r="D123" s="76"/>
      <c r="E123" s="76"/>
      <c r="F123" s="76"/>
      <c r="G123" s="76"/>
      <c r="H123" s="83"/>
      <c r="I123" s="76"/>
      <c r="J123" s="76"/>
      <c r="K123" s="76"/>
      <c r="L123" s="76"/>
      <c r="M123" s="76"/>
      <c r="N123" s="76"/>
      <c r="O123" s="76"/>
      <c r="P123" s="76"/>
    </row>
    <row r="124" spans="1:16" ht="17.399999999999999" x14ac:dyDescent="0.25">
      <c r="A124" s="76"/>
      <c r="B124" s="63"/>
      <c r="C124" s="76"/>
      <c r="D124" s="76"/>
      <c r="E124" s="76"/>
      <c r="F124" s="76"/>
      <c r="G124" s="76"/>
      <c r="H124" s="83"/>
      <c r="I124" s="76"/>
      <c r="J124" s="76"/>
      <c r="K124" s="76"/>
      <c r="L124" s="76"/>
      <c r="M124" s="76"/>
      <c r="N124" s="76"/>
      <c r="O124" s="76"/>
      <c r="P124" s="76"/>
    </row>
    <row r="125" spans="1:16" ht="17.399999999999999" x14ac:dyDescent="0.25">
      <c r="A125" s="76"/>
      <c r="B125" s="63"/>
      <c r="C125" s="76"/>
      <c r="D125" s="76"/>
      <c r="E125" s="76"/>
      <c r="F125" s="76"/>
      <c r="G125" s="76"/>
      <c r="H125" s="83"/>
      <c r="I125" s="76"/>
      <c r="J125" s="76"/>
      <c r="K125" s="76"/>
      <c r="L125" s="76"/>
      <c r="M125" s="76"/>
      <c r="N125" s="76"/>
      <c r="O125" s="76"/>
      <c r="P125" s="76"/>
    </row>
    <row r="126" spans="1:16" ht="17.399999999999999" x14ac:dyDescent="0.25">
      <c r="A126" s="76"/>
      <c r="B126" s="63"/>
      <c r="C126" s="76"/>
      <c r="D126" s="76"/>
      <c r="E126" s="76"/>
      <c r="F126" s="76"/>
      <c r="G126" s="76"/>
      <c r="H126" s="83"/>
      <c r="I126" s="76"/>
      <c r="J126" s="76"/>
      <c r="K126" s="76"/>
      <c r="L126" s="76"/>
      <c r="M126" s="76"/>
      <c r="N126" s="76"/>
      <c r="O126" s="76"/>
      <c r="P126" s="76"/>
    </row>
    <row r="127" spans="1:16" ht="15.6" x14ac:dyDescent="0.25">
      <c r="A127" s="76"/>
      <c r="B127" s="63"/>
      <c r="C127" s="76"/>
      <c r="D127" s="76"/>
      <c r="E127" s="76"/>
      <c r="F127" s="76"/>
      <c r="G127" s="96"/>
      <c r="H127" s="76"/>
      <c r="I127" s="76"/>
      <c r="J127" s="76"/>
      <c r="K127" s="76"/>
      <c r="L127" s="76"/>
      <c r="M127" s="76"/>
      <c r="N127" s="76"/>
      <c r="O127" s="76"/>
      <c r="P127" s="76"/>
    </row>
    <row r="128" spans="1:16" ht="15.6" x14ac:dyDescent="0.25">
      <c r="A128" s="76"/>
      <c r="B128" s="63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</row>
    <row r="129" spans="1:16" ht="15.6" x14ac:dyDescent="0.25">
      <c r="A129" s="76"/>
      <c r="B129" s="63"/>
      <c r="C129" s="76"/>
      <c r="D129" s="76"/>
      <c r="E129" s="76"/>
      <c r="F129" s="72"/>
      <c r="G129" s="72"/>
      <c r="H129" s="72"/>
      <c r="I129" s="76"/>
      <c r="J129" s="76"/>
      <c r="K129" s="76"/>
      <c r="L129" s="76"/>
      <c r="M129" s="76"/>
      <c r="N129" s="76"/>
      <c r="O129" s="76"/>
      <c r="P129" s="76"/>
    </row>
    <row r="130" spans="1:16" ht="15.6" x14ac:dyDescent="0.25">
      <c r="A130" s="76"/>
      <c r="B130" s="76"/>
      <c r="C130" s="89"/>
      <c r="D130" s="76"/>
      <c r="E130" s="76"/>
      <c r="F130" s="65"/>
      <c r="G130" s="65"/>
      <c r="H130" s="65"/>
      <c r="I130" s="63"/>
      <c r="J130" s="76"/>
      <c r="K130" s="76"/>
      <c r="L130" s="76"/>
      <c r="M130" s="76"/>
      <c r="N130" s="76"/>
      <c r="O130" s="76"/>
      <c r="P130" s="76"/>
    </row>
    <row r="131" spans="1:16" ht="15.6" x14ac:dyDescent="0.25">
      <c r="A131" s="76"/>
      <c r="B131" s="89"/>
      <c r="C131" s="63"/>
      <c r="D131" s="63"/>
      <c r="E131" s="63"/>
      <c r="F131" s="76"/>
      <c r="G131" s="76"/>
      <c r="H131" s="76"/>
      <c r="I131" s="63"/>
      <c r="J131" s="76"/>
      <c r="K131" s="76"/>
      <c r="L131" s="76"/>
      <c r="M131" s="76"/>
      <c r="N131" s="76"/>
      <c r="O131" s="76"/>
      <c r="P131" s="76"/>
    </row>
    <row r="132" spans="1:16" ht="15.6" x14ac:dyDescent="0.25">
      <c r="A132" s="76"/>
      <c r="B132" s="63"/>
      <c r="C132" s="63"/>
      <c r="D132" s="63"/>
      <c r="E132" s="63"/>
      <c r="F132" s="76"/>
      <c r="G132" s="76"/>
      <c r="H132" s="76"/>
      <c r="I132" s="63"/>
      <c r="J132" s="76"/>
      <c r="K132" s="76"/>
      <c r="L132" s="76"/>
      <c r="M132" s="76"/>
      <c r="N132" s="63"/>
      <c r="O132" s="63"/>
      <c r="P132" s="76"/>
    </row>
    <row r="133" spans="1:16" ht="15.6" x14ac:dyDescent="0.25">
      <c r="A133" s="76"/>
      <c r="B133" s="90"/>
      <c r="C133" s="90"/>
      <c r="D133" s="63"/>
      <c r="E133" s="63"/>
      <c r="F133" s="76"/>
      <c r="G133" s="76"/>
      <c r="H133" s="76"/>
      <c r="I133" s="63"/>
      <c r="J133" s="76"/>
      <c r="K133" s="76"/>
      <c r="L133" s="63"/>
      <c r="M133" s="63"/>
      <c r="N133" s="63"/>
      <c r="O133" s="63"/>
      <c r="P133" s="76"/>
    </row>
    <row r="134" spans="1:16" ht="15.6" x14ac:dyDescent="0.25">
      <c r="A134" s="76"/>
      <c r="B134" s="90"/>
      <c r="C134" s="63"/>
      <c r="D134" s="63"/>
      <c r="E134" s="63"/>
      <c r="F134" s="76"/>
      <c r="G134" s="76"/>
      <c r="H134" s="76"/>
      <c r="I134" s="112"/>
      <c r="J134" s="76"/>
      <c r="K134" s="76"/>
      <c r="L134" s="63"/>
      <c r="M134" s="63"/>
      <c r="N134" s="63"/>
      <c r="O134" s="63"/>
      <c r="P134" s="76"/>
    </row>
    <row r="135" spans="1:16" ht="15.6" x14ac:dyDescent="0.25">
      <c r="A135" s="76"/>
      <c r="B135" s="90"/>
      <c r="C135" s="63"/>
      <c r="D135" s="90"/>
      <c r="E135" s="90"/>
      <c r="F135" s="76"/>
      <c r="G135" s="76"/>
      <c r="H135" s="76"/>
      <c r="I135" s="112"/>
      <c r="J135" s="76"/>
      <c r="K135" s="76"/>
      <c r="L135" s="63"/>
      <c r="M135" s="63"/>
      <c r="N135" s="105"/>
      <c r="O135" s="105"/>
      <c r="P135" s="76"/>
    </row>
    <row r="136" spans="1:16" ht="15.6" x14ac:dyDescent="0.25">
      <c r="A136" s="76"/>
      <c r="B136" s="90"/>
      <c r="C136" s="63"/>
      <c r="D136" s="63"/>
      <c r="E136" s="63"/>
      <c r="F136" s="76"/>
      <c r="G136" s="76"/>
      <c r="H136" s="76"/>
      <c r="I136" s="112"/>
      <c r="J136" s="76"/>
      <c r="K136" s="76"/>
      <c r="L136" s="90"/>
      <c r="M136" s="90"/>
      <c r="N136" s="105"/>
      <c r="O136" s="105"/>
      <c r="P136" s="76"/>
    </row>
    <row r="137" spans="1:16" ht="15.6" x14ac:dyDescent="0.25">
      <c r="A137" s="76"/>
      <c r="B137" s="90"/>
      <c r="C137" s="63"/>
      <c r="D137" s="63"/>
      <c r="E137" s="63"/>
      <c r="F137" s="76"/>
      <c r="G137" s="76"/>
      <c r="H137" s="76"/>
      <c r="I137" s="112"/>
      <c r="J137" s="76"/>
      <c r="K137" s="76"/>
      <c r="L137" s="90"/>
      <c r="M137" s="90"/>
      <c r="N137" s="105"/>
      <c r="O137" s="105"/>
      <c r="P137" s="76"/>
    </row>
    <row r="138" spans="1:16" ht="15.6" x14ac:dyDescent="0.25">
      <c r="A138" s="76"/>
      <c r="B138" s="90"/>
      <c r="C138" s="63"/>
      <c r="D138" s="63"/>
      <c r="E138" s="63"/>
      <c r="F138" s="76"/>
      <c r="G138" s="76"/>
      <c r="H138" s="76"/>
      <c r="I138" s="112"/>
      <c r="J138" s="76"/>
      <c r="K138" s="76"/>
      <c r="L138" s="90"/>
      <c r="M138" s="90"/>
      <c r="N138" s="105"/>
      <c r="O138" s="105"/>
      <c r="P138" s="76"/>
    </row>
    <row r="139" spans="1:16" ht="15.6" x14ac:dyDescent="0.25">
      <c r="A139" s="76"/>
      <c r="B139" s="90"/>
      <c r="C139" s="63"/>
      <c r="D139" s="63"/>
      <c r="E139" s="63"/>
      <c r="F139" s="76"/>
      <c r="G139" s="76"/>
      <c r="H139" s="76"/>
      <c r="I139" s="112"/>
      <c r="J139" s="76"/>
      <c r="K139" s="76"/>
      <c r="L139" s="90"/>
      <c r="M139" s="90"/>
      <c r="N139" s="105"/>
      <c r="O139" s="105"/>
      <c r="P139" s="76"/>
    </row>
    <row r="140" spans="1:16" ht="15.6" x14ac:dyDescent="0.25">
      <c r="A140" s="76"/>
      <c r="B140" s="90"/>
      <c r="C140" s="63"/>
      <c r="D140" s="63"/>
      <c r="E140" s="63"/>
      <c r="F140" s="76"/>
      <c r="G140" s="76"/>
      <c r="H140" s="76"/>
      <c r="I140" s="112"/>
      <c r="J140" s="76"/>
      <c r="K140" s="76"/>
      <c r="L140" s="90"/>
      <c r="M140" s="90"/>
      <c r="N140" s="105"/>
      <c r="O140" s="105"/>
      <c r="P140" s="76"/>
    </row>
    <row r="141" spans="1:16" ht="15.6" x14ac:dyDescent="0.25">
      <c r="A141" s="76"/>
      <c r="B141" s="90"/>
      <c r="C141" s="63"/>
      <c r="D141" s="63"/>
      <c r="E141" s="63"/>
      <c r="F141" s="76"/>
      <c r="G141" s="76"/>
      <c r="H141" s="76"/>
      <c r="I141" s="112"/>
      <c r="J141" s="76"/>
      <c r="K141" s="76"/>
      <c r="L141" s="63"/>
      <c r="M141" s="63"/>
      <c r="N141" s="105"/>
      <c r="O141" s="105"/>
      <c r="P141" s="76"/>
    </row>
    <row r="142" spans="1:16" ht="15.6" x14ac:dyDescent="0.25">
      <c r="A142" s="76"/>
      <c r="B142" s="90"/>
      <c r="C142" s="63"/>
      <c r="D142" s="63"/>
      <c r="E142" s="63"/>
      <c r="F142" s="76"/>
      <c r="G142" s="76"/>
      <c r="H142" s="76"/>
      <c r="I142" s="76"/>
      <c r="J142" s="76"/>
      <c r="K142" s="76"/>
      <c r="L142" s="63"/>
      <c r="M142" s="63"/>
      <c r="N142" s="105"/>
      <c r="O142" s="105"/>
      <c r="P142" s="76"/>
    </row>
    <row r="143" spans="1:16" ht="15.6" x14ac:dyDescent="0.25">
      <c r="A143" s="76"/>
      <c r="B143" s="90"/>
      <c r="C143" s="63"/>
      <c r="D143" s="117"/>
      <c r="E143" s="117"/>
      <c r="F143" s="1290"/>
      <c r="G143" s="1290"/>
      <c r="H143" s="1290"/>
      <c r="I143" s="76"/>
      <c r="J143" s="76"/>
      <c r="K143" s="76"/>
      <c r="L143" s="76"/>
      <c r="M143" s="76"/>
      <c r="N143" s="105"/>
      <c r="O143" s="105"/>
      <c r="P143" s="76"/>
    </row>
    <row r="144" spans="1:16" ht="15.6" x14ac:dyDescent="0.25">
      <c r="A144" s="76"/>
      <c r="B144" s="90"/>
      <c r="C144" s="63"/>
      <c r="D144" s="117"/>
      <c r="E144" s="117"/>
      <c r="F144" s="63"/>
      <c r="G144" s="63"/>
      <c r="H144" s="63"/>
      <c r="I144" s="63"/>
      <c r="J144" s="63"/>
      <c r="K144" s="63"/>
      <c r="L144" s="63"/>
      <c r="M144" s="63"/>
      <c r="N144" s="105"/>
      <c r="O144" s="105"/>
      <c r="P144" s="76"/>
    </row>
    <row r="145" spans="1:16" ht="15.6" x14ac:dyDescent="0.25">
      <c r="A145" s="76"/>
      <c r="B145" s="90"/>
      <c r="C145" s="63"/>
      <c r="D145" s="117"/>
      <c r="E145" s="117"/>
      <c r="F145" s="63"/>
      <c r="G145" s="90"/>
      <c r="H145" s="63"/>
      <c r="I145" s="63"/>
      <c r="J145" s="63"/>
      <c r="K145" s="63"/>
      <c r="L145" s="63"/>
      <c r="M145" s="63"/>
      <c r="N145" s="105"/>
      <c r="O145" s="105"/>
      <c r="P145" s="76"/>
    </row>
    <row r="146" spans="1:16" ht="15.6" x14ac:dyDescent="0.25">
      <c r="A146" s="76"/>
      <c r="B146" s="90"/>
      <c r="C146" s="63"/>
      <c r="D146" s="63"/>
      <c r="E146" s="63"/>
      <c r="F146" s="118"/>
      <c r="G146" s="118"/>
      <c r="H146" s="118"/>
      <c r="I146" s="63"/>
      <c r="J146" s="63"/>
      <c r="K146" s="63"/>
      <c r="L146" s="63"/>
      <c r="M146" s="63"/>
      <c r="N146" s="105"/>
      <c r="O146" s="105"/>
      <c r="P146" s="76"/>
    </row>
    <row r="147" spans="1:16" ht="15.6" x14ac:dyDescent="0.25">
      <c r="A147" s="76"/>
      <c r="B147" s="90"/>
      <c r="C147" s="63"/>
      <c r="D147" s="63"/>
      <c r="E147" s="63"/>
      <c r="F147" s="118"/>
      <c r="G147" s="118"/>
      <c r="H147" s="118"/>
      <c r="I147" s="105"/>
      <c r="J147" s="118"/>
      <c r="K147" s="118"/>
      <c r="L147" s="90"/>
      <c r="M147" s="90"/>
      <c r="N147" s="105"/>
      <c r="O147" s="105"/>
      <c r="P147" s="76"/>
    </row>
    <row r="148" spans="1:16" ht="15.6" x14ac:dyDescent="0.25">
      <c r="A148" s="76"/>
      <c r="B148" s="90"/>
      <c r="C148" s="63"/>
      <c r="D148" s="63"/>
      <c r="E148" s="63"/>
      <c r="F148" s="118"/>
      <c r="G148" s="118"/>
      <c r="H148" s="118"/>
      <c r="I148" s="105"/>
      <c r="J148" s="118"/>
      <c r="K148" s="118"/>
      <c r="L148" s="90"/>
      <c r="M148" s="90"/>
      <c r="N148" s="105"/>
      <c r="O148" s="105"/>
      <c r="P148" s="76"/>
    </row>
    <row r="149" spans="1:16" ht="15.6" x14ac:dyDescent="0.25">
      <c r="A149" s="76"/>
      <c r="B149" s="90"/>
      <c r="C149" s="63"/>
      <c r="D149" s="63"/>
      <c r="E149" s="63"/>
      <c r="F149" s="119"/>
      <c r="G149" s="119"/>
      <c r="H149" s="119"/>
      <c r="I149" s="105"/>
      <c r="J149" s="118"/>
      <c r="K149" s="118"/>
      <c r="L149" s="63"/>
      <c r="M149" s="63"/>
      <c r="N149" s="105"/>
      <c r="O149" s="105"/>
      <c r="P149" s="76"/>
    </row>
    <row r="150" spans="1:16" ht="15.6" x14ac:dyDescent="0.25">
      <c r="A150" s="76"/>
      <c r="B150" s="90"/>
      <c r="C150" s="63"/>
      <c r="D150" s="63"/>
      <c r="E150" s="63"/>
      <c r="F150" s="119"/>
      <c r="G150" s="119"/>
      <c r="H150" s="119"/>
      <c r="I150" s="105"/>
      <c r="J150" s="105"/>
      <c r="K150" s="105"/>
      <c r="L150" s="63"/>
      <c r="M150" s="63"/>
      <c r="N150" s="105"/>
      <c r="O150" s="105"/>
      <c r="P150" s="76"/>
    </row>
    <row r="151" spans="1:16" ht="15.6" x14ac:dyDescent="0.25">
      <c r="A151" s="76"/>
      <c r="B151" s="90"/>
      <c r="C151" s="63"/>
      <c r="D151" s="63"/>
      <c r="E151" s="63"/>
      <c r="F151" s="119"/>
      <c r="G151" s="119"/>
      <c r="H151" s="119"/>
      <c r="I151" s="105"/>
      <c r="J151" s="105"/>
      <c r="K151" s="105"/>
      <c r="L151" s="90"/>
      <c r="M151" s="90"/>
      <c r="N151" s="105"/>
      <c r="O151" s="105"/>
      <c r="P151" s="76"/>
    </row>
    <row r="152" spans="1:16" ht="15.6" x14ac:dyDescent="0.25">
      <c r="A152" s="76"/>
      <c r="B152" s="90"/>
      <c r="C152" s="63"/>
      <c r="D152" s="63"/>
      <c r="E152" s="63"/>
      <c r="F152" s="118"/>
      <c r="G152" s="118"/>
      <c r="H152" s="118"/>
      <c r="I152" s="105"/>
      <c r="J152" s="105"/>
      <c r="K152" s="105"/>
      <c r="L152" s="63"/>
      <c r="M152" s="63"/>
      <c r="N152" s="105"/>
      <c r="O152" s="105"/>
      <c r="P152" s="76"/>
    </row>
    <row r="153" spans="1:16" ht="15.6" x14ac:dyDescent="0.25">
      <c r="A153" s="76"/>
      <c r="B153" s="90"/>
      <c r="C153" s="63"/>
      <c r="D153" s="63"/>
      <c r="E153" s="63"/>
      <c r="F153" s="118"/>
      <c r="G153" s="118"/>
      <c r="H153" s="118"/>
      <c r="I153" s="105"/>
      <c r="J153" s="118"/>
      <c r="K153" s="118"/>
      <c r="L153" s="63"/>
      <c r="M153" s="63"/>
      <c r="N153" s="105"/>
      <c r="O153" s="105"/>
      <c r="P153" s="76"/>
    </row>
    <row r="154" spans="1:16" ht="15.6" x14ac:dyDescent="0.25">
      <c r="A154" s="76"/>
      <c r="B154" s="90"/>
      <c r="C154" s="63"/>
      <c r="D154" s="63"/>
      <c r="E154" s="63"/>
      <c r="F154" s="118"/>
      <c r="G154" s="118"/>
      <c r="H154" s="118"/>
      <c r="I154" s="105"/>
      <c r="J154" s="118"/>
      <c r="K154" s="118"/>
      <c r="L154" s="90"/>
      <c r="M154" s="90"/>
      <c r="N154" s="105"/>
      <c r="O154" s="105"/>
      <c r="P154" s="76"/>
    </row>
    <row r="155" spans="1:16" x14ac:dyDescent="0.25">
      <c r="B155" s="120"/>
      <c r="C155" s="121"/>
      <c r="D155" s="121"/>
      <c r="E155" s="121"/>
      <c r="F155" s="122"/>
      <c r="G155" s="122"/>
      <c r="H155" s="122"/>
      <c r="I155" s="123"/>
      <c r="J155" s="124"/>
      <c r="K155" s="124"/>
      <c r="L155" s="121"/>
      <c r="M155" s="121"/>
      <c r="N155" s="123"/>
      <c r="O155" s="123"/>
    </row>
    <row r="156" spans="1:16" x14ac:dyDescent="0.25">
      <c r="B156" s="120"/>
      <c r="C156" s="121"/>
      <c r="D156" s="121"/>
      <c r="E156" s="121"/>
      <c r="F156" s="122"/>
      <c r="G156" s="122"/>
      <c r="H156" s="122"/>
      <c r="I156" s="122"/>
      <c r="J156" s="122"/>
      <c r="K156" s="122"/>
      <c r="L156" s="121"/>
      <c r="M156" s="121"/>
      <c r="N156" s="123"/>
      <c r="O156" s="123"/>
    </row>
    <row r="157" spans="1:16" x14ac:dyDescent="0.25">
      <c r="B157" s="120"/>
      <c r="C157" s="121"/>
      <c r="D157" s="121"/>
      <c r="E157" s="121"/>
      <c r="F157" s="122"/>
      <c r="G157" s="122"/>
      <c r="H157" s="122"/>
      <c r="I157" s="122"/>
      <c r="J157" s="122"/>
      <c r="K157" s="122"/>
      <c r="L157" s="120"/>
      <c r="M157" s="120"/>
      <c r="N157" s="123"/>
      <c r="O157" s="123"/>
    </row>
    <row r="158" spans="1:16" x14ac:dyDescent="0.25">
      <c r="B158" s="120"/>
      <c r="C158" s="121"/>
      <c r="D158" s="121"/>
      <c r="E158" s="121"/>
      <c r="F158" s="123"/>
      <c r="G158" s="123"/>
      <c r="H158" s="123"/>
      <c r="I158" s="122"/>
      <c r="J158" s="122"/>
      <c r="K158" s="122"/>
      <c r="L158" s="121"/>
      <c r="M158" s="121"/>
      <c r="N158" s="123"/>
      <c r="O158" s="123"/>
    </row>
    <row r="159" spans="1:16" ht="14.4" x14ac:dyDescent="0.25">
      <c r="B159" s="121"/>
      <c r="C159" s="125"/>
      <c r="D159" s="121"/>
      <c r="E159" s="121"/>
      <c r="F159" s="123"/>
      <c r="G159" s="123"/>
      <c r="H159" s="123"/>
      <c r="I159" s="123"/>
      <c r="J159" s="124"/>
      <c r="K159" s="124"/>
      <c r="L159" s="121"/>
      <c r="M159" s="121"/>
      <c r="N159" s="121"/>
      <c r="O159" s="121"/>
    </row>
    <row r="160" spans="1:16" ht="14.4" x14ac:dyDescent="0.25">
      <c r="B160" s="125"/>
      <c r="C160" s="126"/>
      <c r="D160" s="121"/>
      <c r="E160" s="121"/>
      <c r="F160" s="123"/>
      <c r="G160" s="123"/>
      <c r="H160" s="123"/>
      <c r="I160" s="123"/>
      <c r="J160" s="124"/>
      <c r="K160" s="124"/>
      <c r="L160" s="120"/>
      <c r="M160" s="120"/>
      <c r="N160" s="121"/>
      <c r="O160" s="121"/>
    </row>
    <row r="161" spans="2:15" x14ac:dyDescent="0.25">
      <c r="B161" s="121"/>
      <c r="C161" s="121"/>
      <c r="D161" s="121"/>
      <c r="E161" s="121"/>
      <c r="F161" s="127"/>
      <c r="G161" s="127"/>
      <c r="H161" s="127"/>
      <c r="I161" s="123"/>
      <c r="J161" s="124"/>
      <c r="K161" s="124"/>
      <c r="L161" s="121"/>
      <c r="M161" s="121"/>
      <c r="N161" s="121"/>
      <c r="O161" s="121"/>
    </row>
    <row r="162" spans="2:15" ht="14.4" x14ac:dyDescent="0.25">
      <c r="B162" s="121"/>
      <c r="C162" s="128"/>
      <c r="D162" s="129"/>
      <c r="E162" s="129"/>
      <c r="F162" s="127"/>
      <c r="G162" s="127"/>
      <c r="H162" s="127"/>
      <c r="I162" s="123"/>
      <c r="J162" s="124"/>
      <c r="K162" s="124"/>
      <c r="L162" s="121"/>
      <c r="M162" s="121"/>
      <c r="N162" s="121"/>
      <c r="O162" s="121"/>
    </row>
    <row r="163" spans="2:15" ht="14.4" x14ac:dyDescent="0.25">
      <c r="B163" s="125"/>
      <c r="C163" s="126"/>
      <c r="D163" s="129"/>
      <c r="E163" s="129"/>
      <c r="F163" s="127"/>
      <c r="G163" s="127"/>
      <c r="H163" s="127"/>
      <c r="I163" s="123"/>
      <c r="J163" s="124"/>
      <c r="K163" s="124"/>
      <c r="L163" s="120"/>
      <c r="M163" s="120"/>
      <c r="N163" s="130"/>
      <c r="O163" s="130"/>
    </row>
    <row r="164" spans="2:15" ht="14.4" x14ac:dyDescent="0.25">
      <c r="B164" s="129"/>
      <c r="C164" s="126"/>
      <c r="D164" s="129"/>
      <c r="E164" s="129"/>
      <c r="F164" s="124"/>
      <c r="G164" s="124"/>
      <c r="H164" s="124"/>
      <c r="I164" s="123"/>
      <c r="J164" s="124"/>
      <c r="K164" s="124"/>
      <c r="L164" s="121"/>
      <c r="M164" s="121"/>
      <c r="N164" s="130"/>
      <c r="O164" s="130"/>
    </row>
    <row r="165" spans="2:15" ht="14.4" x14ac:dyDescent="0.25">
      <c r="B165" s="129"/>
      <c r="C165" s="126"/>
      <c r="D165" s="129"/>
      <c r="E165" s="129"/>
      <c r="F165" s="124"/>
      <c r="G165" s="124"/>
      <c r="H165" s="124"/>
      <c r="I165" s="123"/>
      <c r="J165" s="124"/>
      <c r="K165" s="124"/>
      <c r="L165" s="121"/>
      <c r="M165" s="121"/>
      <c r="N165" s="131"/>
      <c r="O165" s="131"/>
    </row>
    <row r="166" spans="2:15" ht="14.4" x14ac:dyDescent="0.25">
      <c r="B166" s="129"/>
      <c r="C166" s="132"/>
      <c r="D166" s="129"/>
      <c r="E166" s="129"/>
      <c r="F166" s="124"/>
      <c r="G166" s="124"/>
      <c r="H166" s="124"/>
      <c r="I166" s="123"/>
      <c r="J166" s="124"/>
      <c r="K166" s="124"/>
      <c r="L166" s="120"/>
      <c r="M166" s="120"/>
      <c r="N166" s="131"/>
      <c r="O166" s="131"/>
    </row>
    <row r="167" spans="2:15" ht="14.4" x14ac:dyDescent="0.25">
      <c r="B167" s="129"/>
      <c r="C167" s="133"/>
      <c r="D167" s="129"/>
      <c r="E167" s="129"/>
      <c r="F167" s="124"/>
      <c r="G167" s="124"/>
      <c r="H167" s="124"/>
      <c r="I167" s="123"/>
      <c r="J167" s="124"/>
      <c r="K167" s="124"/>
      <c r="L167" s="121"/>
      <c r="M167" s="121"/>
      <c r="N167" s="131"/>
      <c r="O167" s="131"/>
    </row>
    <row r="168" spans="2:15" ht="14.4" x14ac:dyDescent="0.25">
      <c r="B168" s="129"/>
      <c r="C168" s="128"/>
      <c r="D168" s="129"/>
      <c r="E168" s="129"/>
      <c r="F168" s="124"/>
      <c r="G168" s="124"/>
      <c r="H168" s="124"/>
      <c r="I168" s="123"/>
      <c r="J168" s="123"/>
      <c r="K168" s="123"/>
      <c r="L168" s="121"/>
      <c r="M168" s="121"/>
      <c r="N168" s="131"/>
      <c r="O168" s="131"/>
    </row>
    <row r="169" spans="2:15" ht="14.4" x14ac:dyDescent="0.25">
      <c r="B169" s="125"/>
      <c r="C169" s="132"/>
      <c r="D169" s="129"/>
      <c r="E169" s="129"/>
      <c r="F169" s="124"/>
      <c r="G169" s="124"/>
      <c r="H169" s="124"/>
      <c r="I169" s="123"/>
      <c r="J169" s="123"/>
      <c r="K169" s="123"/>
      <c r="L169" s="120"/>
      <c r="M169" s="120"/>
      <c r="N169" s="134"/>
      <c r="O169" s="134"/>
    </row>
    <row r="170" spans="2:15" ht="14.4" x14ac:dyDescent="0.25">
      <c r="B170" s="129"/>
      <c r="C170" s="129"/>
      <c r="D170" s="129"/>
      <c r="E170" s="129"/>
      <c r="F170" s="121"/>
      <c r="G170" s="121"/>
      <c r="H170" s="121"/>
      <c r="I170" s="123"/>
      <c r="J170" s="123"/>
      <c r="K170" s="123"/>
      <c r="L170" s="121"/>
      <c r="M170" s="121"/>
      <c r="N170" s="131"/>
      <c r="O170" s="131"/>
    </row>
    <row r="171" spans="2:15" x14ac:dyDescent="0.25">
      <c r="B171" s="129"/>
      <c r="C171" s="129"/>
      <c r="D171" s="129"/>
      <c r="E171" s="129"/>
      <c r="F171" s="121"/>
      <c r="G171" s="121"/>
      <c r="H171" s="121"/>
      <c r="I171" s="121"/>
      <c r="J171" s="121"/>
      <c r="K171" s="121"/>
      <c r="L171" s="121"/>
      <c r="M171" s="121"/>
      <c r="N171" s="129"/>
      <c r="O171" s="129"/>
    </row>
    <row r="172" spans="2:15" x14ac:dyDescent="0.25">
      <c r="B172" s="129"/>
      <c r="C172" s="129"/>
      <c r="D172" s="129"/>
      <c r="E172" s="129"/>
      <c r="F172" s="121"/>
      <c r="G172" s="121"/>
      <c r="H172" s="121"/>
      <c r="I172" s="121"/>
      <c r="J172" s="121"/>
      <c r="K172" s="121"/>
      <c r="L172" s="121"/>
      <c r="M172" s="121"/>
      <c r="N172" s="129"/>
      <c r="O172" s="129"/>
    </row>
    <row r="173" spans="2:15" x14ac:dyDescent="0.25">
      <c r="B173" s="129"/>
      <c r="C173" s="129"/>
      <c r="D173" s="129"/>
      <c r="E173" s="129"/>
      <c r="F173" s="121"/>
      <c r="G173" s="121"/>
      <c r="H173" s="121"/>
      <c r="I173" s="121"/>
      <c r="J173" s="121"/>
      <c r="K173" s="121"/>
      <c r="L173" s="121"/>
      <c r="M173" s="121"/>
      <c r="N173" s="129"/>
      <c r="O173" s="129"/>
    </row>
    <row r="174" spans="2:15" x14ac:dyDescent="0.25">
      <c r="B174" s="129"/>
      <c r="C174" s="129"/>
      <c r="D174" s="129"/>
      <c r="E174" s="129"/>
      <c r="F174" s="129"/>
      <c r="G174" s="129"/>
      <c r="H174" s="129"/>
      <c r="I174" s="121"/>
      <c r="J174" s="121"/>
      <c r="K174" s="121"/>
      <c r="L174" s="121"/>
      <c r="M174" s="121"/>
      <c r="N174" s="129"/>
      <c r="O174" s="129"/>
    </row>
    <row r="175" spans="2:15" ht="14.4" x14ac:dyDescent="0.25">
      <c r="B175" s="129"/>
      <c r="C175" s="129"/>
      <c r="D175" s="129"/>
      <c r="E175" s="129"/>
      <c r="F175" s="129"/>
      <c r="G175" s="129"/>
      <c r="H175" s="129"/>
      <c r="I175" s="129"/>
      <c r="J175" s="129"/>
      <c r="K175" s="130"/>
      <c r="L175" s="130"/>
      <c r="M175" s="130"/>
      <c r="N175" s="129"/>
      <c r="O175" s="129"/>
    </row>
    <row r="176" spans="2:15" ht="14.4" x14ac:dyDescent="0.25">
      <c r="B176" s="129"/>
      <c r="C176" s="129"/>
      <c r="D176" s="129"/>
      <c r="E176" s="129"/>
      <c r="F176" s="129"/>
      <c r="G176" s="129"/>
      <c r="H176" s="129"/>
      <c r="I176" s="129"/>
      <c r="J176" s="129"/>
      <c r="K176" s="130"/>
      <c r="L176" s="130"/>
      <c r="M176" s="130"/>
      <c r="N176" s="129"/>
      <c r="O176" s="129"/>
    </row>
    <row r="177" spans="2:15" ht="14.4" x14ac:dyDescent="0.25">
      <c r="B177" s="129"/>
      <c r="F177" s="129"/>
      <c r="G177" s="129"/>
      <c r="H177" s="129"/>
      <c r="I177" s="129"/>
      <c r="J177" s="129"/>
      <c r="K177" s="131"/>
      <c r="L177" s="131"/>
      <c r="M177" s="131"/>
      <c r="N177" s="129"/>
      <c r="O177" s="129"/>
    </row>
    <row r="178" spans="2:15" ht="14.4" x14ac:dyDescent="0.25">
      <c r="F178" s="129"/>
      <c r="G178" s="129"/>
      <c r="H178" s="129"/>
      <c r="I178" s="129"/>
      <c r="J178" s="129"/>
      <c r="K178" s="131"/>
      <c r="L178" s="131"/>
      <c r="M178" s="131"/>
    </row>
    <row r="179" spans="2:15" ht="14.4" x14ac:dyDescent="0.25">
      <c r="F179" s="129"/>
      <c r="G179" s="129"/>
      <c r="H179" s="129"/>
      <c r="I179" s="129"/>
      <c r="J179" s="129"/>
      <c r="K179" s="131"/>
      <c r="L179" s="131"/>
      <c r="M179" s="131"/>
    </row>
    <row r="180" spans="2:15" ht="14.4" x14ac:dyDescent="0.25">
      <c r="F180" s="129"/>
      <c r="G180" s="129"/>
      <c r="H180" s="129"/>
      <c r="I180" s="129"/>
      <c r="J180" s="129"/>
      <c r="K180" s="131"/>
      <c r="L180" s="131"/>
      <c r="M180" s="131"/>
    </row>
    <row r="181" spans="2:15" ht="14.4" x14ac:dyDescent="0.25">
      <c r="F181" s="129"/>
      <c r="G181" s="129"/>
      <c r="H181" s="129"/>
      <c r="I181" s="129"/>
      <c r="J181" s="129"/>
      <c r="K181" s="134"/>
      <c r="L181" s="134"/>
      <c r="M181" s="134"/>
    </row>
    <row r="182" spans="2:15" ht="14.4" x14ac:dyDescent="0.25">
      <c r="F182" s="129"/>
      <c r="G182" s="129"/>
      <c r="H182" s="129"/>
      <c r="I182" s="129"/>
      <c r="J182" s="129"/>
      <c r="K182" s="131"/>
      <c r="L182" s="131"/>
      <c r="M182" s="131"/>
    </row>
    <row r="183" spans="2:15" x14ac:dyDescent="0.25">
      <c r="F183" s="129"/>
      <c r="G183" s="129"/>
      <c r="H183" s="129"/>
      <c r="I183" s="129"/>
      <c r="J183" s="129"/>
      <c r="K183" s="129"/>
      <c r="L183" s="129"/>
      <c r="M183" s="129"/>
    </row>
    <row r="184" spans="2:15" x14ac:dyDescent="0.25">
      <c r="F184" s="129"/>
      <c r="G184" s="129"/>
      <c r="H184" s="129"/>
      <c r="I184" s="129"/>
      <c r="J184" s="129"/>
      <c r="K184" s="129"/>
      <c r="L184" s="129"/>
      <c r="M184" s="129"/>
    </row>
    <row r="185" spans="2:15" x14ac:dyDescent="0.25">
      <c r="F185" s="129"/>
      <c r="G185" s="129"/>
      <c r="H185" s="129"/>
      <c r="I185" s="129"/>
      <c r="J185" s="129"/>
      <c r="K185" s="129"/>
      <c r="L185" s="129"/>
      <c r="M185" s="129"/>
    </row>
    <row r="186" spans="2:15" x14ac:dyDescent="0.25">
      <c r="F186" s="129"/>
      <c r="G186" s="129"/>
      <c r="H186" s="129"/>
      <c r="I186" s="129"/>
      <c r="J186" s="129"/>
      <c r="K186" s="129"/>
      <c r="L186" s="129"/>
      <c r="M186" s="129"/>
    </row>
    <row r="187" spans="2:15" x14ac:dyDescent="0.25">
      <c r="F187" s="129"/>
      <c r="G187" s="129"/>
      <c r="H187" s="129"/>
      <c r="I187" s="129"/>
      <c r="J187" s="129"/>
      <c r="K187" s="129"/>
      <c r="L187" s="129"/>
      <c r="M187" s="129"/>
    </row>
    <row r="188" spans="2:15" x14ac:dyDescent="0.25">
      <c r="F188" s="129"/>
      <c r="G188" s="129"/>
      <c r="H188" s="129"/>
      <c r="I188" s="129"/>
      <c r="J188" s="129"/>
      <c r="K188" s="129"/>
      <c r="L188" s="129"/>
      <c r="M188" s="129"/>
    </row>
    <row r="189" spans="2:15" x14ac:dyDescent="0.25">
      <c r="I189" s="129"/>
      <c r="J189" s="129"/>
      <c r="K189" s="129"/>
      <c r="L189" s="129"/>
      <c r="M189" s="129"/>
    </row>
  </sheetData>
  <sheetProtection formatCells="0" formatColumns="0" formatRows="0"/>
  <mergeCells count="45">
    <mergeCell ref="A1:L1"/>
    <mergeCell ref="B45:B46"/>
    <mergeCell ref="D45:D46"/>
    <mergeCell ref="J45:J46"/>
    <mergeCell ref="K45:K46"/>
    <mergeCell ref="K24:L24"/>
    <mergeCell ref="K33:K34"/>
    <mergeCell ref="K35:K36"/>
    <mergeCell ref="K39:K40"/>
    <mergeCell ref="I24:J24"/>
    <mergeCell ref="J39:J40"/>
    <mergeCell ref="L33:L34"/>
    <mergeCell ref="A2:L2"/>
    <mergeCell ref="K43:K44"/>
    <mergeCell ref="K37:K38"/>
    <mergeCell ref="K41:K42"/>
    <mergeCell ref="D37:D38"/>
    <mergeCell ref="E78:F79"/>
    <mergeCell ref="F6:G6"/>
    <mergeCell ref="D39:D40"/>
    <mergeCell ref="D35:D36"/>
    <mergeCell ref="C24:H24"/>
    <mergeCell ref="D41:D42"/>
    <mergeCell ref="E33:J33"/>
    <mergeCell ref="B33:B34"/>
    <mergeCell ref="C33:C34"/>
    <mergeCell ref="D33:D34"/>
    <mergeCell ref="J35:J36"/>
    <mergeCell ref="B35:B36"/>
    <mergeCell ref="L35:L38"/>
    <mergeCell ref="L39:L40"/>
    <mergeCell ref="C41:C42"/>
    <mergeCell ref="B118:B119"/>
    <mergeCell ref="F143:H143"/>
    <mergeCell ref="E80:F80"/>
    <mergeCell ref="E81:F81"/>
    <mergeCell ref="L45:L46"/>
    <mergeCell ref="L43:L44"/>
    <mergeCell ref="L41:L42"/>
    <mergeCell ref="J43:J44"/>
    <mergeCell ref="D43:D44"/>
    <mergeCell ref="B41:B42"/>
    <mergeCell ref="B43:B44"/>
    <mergeCell ref="B37:B40"/>
    <mergeCell ref="C37:C40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87" orientation="portrait" horizontalDpi="4294967294" verticalDpi="360" r:id="rId1"/>
  <headerFooter alignWithMargins="0">
    <oddHeader>&amp;RLK.MK.089 - 19 / Rev .0</oddHeader>
  </headerFooter>
  <rowBreaks count="1" manualBreakCount="1">
    <brk id="53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8193" r:id="rId4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3" r:id="rId4"/>
      </mc:Fallback>
    </mc:AlternateContent>
    <mc:AlternateContent xmlns:mc="http://schemas.openxmlformats.org/markup-compatibility/2006">
      <mc:Choice Requires="x14">
        <oleObject progId="Equation.3" shapeId="8194" r:id="rId6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4" r:id="rId6"/>
      </mc:Fallback>
    </mc:AlternateContent>
    <mc:AlternateContent xmlns:mc="http://schemas.openxmlformats.org/markup-compatibility/2006">
      <mc:Choice Requires="x14">
        <oleObject progId="Equation.3" shapeId="8195" r:id="rId7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5" r:id="rId7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6" r:id="rId8"/>
      </mc:Fallback>
    </mc:AlternateContent>
    <mc:AlternateContent xmlns:mc="http://schemas.openxmlformats.org/markup-compatibility/2006">
      <mc:Choice Requires="x14">
        <oleObject progId="Equation.3" shapeId="8197" r:id="rId9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7" r:id="rId9"/>
      </mc:Fallback>
    </mc:AlternateContent>
    <mc:AlternateContent xmlns:mc="http://schemas.openxmlformats.org/markup-compatibility/2006">
      <mc:Choice Requires="x14">
        <oleObject progId="Equation.3" shapeId="8198" r:id="rId10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8" r:id="rId10"/>
      </mc:Fallback>
    </mc:AlternateContent>
    <mc:AlternateContent xmlns:mc="http://schemas.openxmlformats.org/markup-compatibility/2006">
      <mc:Choice Requires="x14">
        <oleObject progId="Equation.3" shapeId="8199" r:id="rId11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199" r:id="rId11"/>
      </mc:Fallback>
    </mc:AlternateContent>
    <mc:AlternateContent xmlns:mc="http://schemas.openxmlformats.org/markup-compatibility/2006">
      <mc:Choice Requires="x14">
        <oleObject progId="Equation.3" shapeId="8200" r:id="rId12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200" r:id="rId12"/>
      </mc:Fallback>
    </mc:AlternateContent>
    <mc:AlternateContent xmlns:mc="http://schemas.openxmlformats.org/markup-compatibility/2006">
      <mc:Choice Requires="x14">
        <oleObject progId="Equation.3" shapeId="8201" r:id="rId13">
          <objectPr defaultSize="0" autoPict="0" r:id="rId5">
            <anchor moveWithCells="1" sizeWithCells="1">
              <from>
                <xdr:col>9</xdr:col>
                <xdr:colOff>0</xdr:colOff>
                <xdr:row>29</xdr:row>
                <xdr:rowOff>0</xdr:rowOff>
              </from>
              <to>
                <xdr:col>9</xdr:col>
                <xdr:colOff>0</xdr:colOff>
                <xdr:row>29</xdr:row>
                <xdr:rowOff>0</xdr:rowOff>
              </to>
            </anchor>
          </objectPr>
        </oleObject>
      </mc:Choice>
      <mc:Fallback>
        <oleObject progId="Equation.3" shapeId="8201" r:id="rId1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3320-8FE0-4F49-9631-A6FE0276551A}">
  <dimension ref="A2:E80"/>
  <sheetViews>
    <sheetView workbookViewId="0">
      <selection activeCell="E10" sqref="E10"/>
    </sheetView>
  </sheetViews>
  <sheetFormatPr defaultColWidth="9.33203125" defaultRowHeight="13.2" x14ac:dyDescent="0.25"/>
  <cols>
    <col min="1" max="1" width="9.33203125" style="772"/>
    <col min="2" max="2" width="24.44140625" style="772" customWidth="1"/>
    <col min="3" max="3" width="42.33203125" style="772" bestFit="1" customWidth="1"/>
    <col min="4" max="4" width="59" style="772" customWidth="1"/>
    <col min="5" max="16384" width="9.33203125" style="772"/>
  </cols>
  <sheetData>
    <row r="2" spans="1:5" x14ac:dyDescent="0.25">
      <c r="A2" s="1320" t="s">
        <v>51</v>
      </c>
      <c r="B2" s="1320" t="s">
        <v>105</v>
      </c>
      <c r="C2" s="1320" t="s">
        <v>106</v>
      </c>
      <c r="D2" s="1320"/>
      <c r="E2" s="1321" t="s">
        <v>107</v>
      </c>
    </row>
    <row r="3" spans="1:5" x14ac:dyDescent="0.25">
      <c r="A3" s="1320"/>
      <c r="B3" s="1320"/>
      <c r="C3" s="775" t="s">
        <v>14</v>
      </c>
      <c r="D3" s="775" t="s">
        <v>15</v>
      </c>
      <c r="E3" s="1321"/>
    </row>
    <row r="4" spans="1:5" ht="13.8" x14ac:dyDescent="0.25">
      <c r="A4" s="775">
        <v>1</v>
      </c>
      <c r="B4" s="780">
        <v>44580</v>
      </c>
      <c r="C4" s="779" t="s">
        <v>108</v>
      </c>
      <c r="D4" s="778" t="s">
        <v>109</v>
      </c>
      <c r="E4" s="774" t="s">
        <v>110</v>
      </c>
    </row>
    <row r="5" spans="1:5" ht="15" x14ac:dyDescent="0.25">
      <c r="A5" s="775">
        <v>2</v>
      </c>
      <c r="B5" s="776">
        <v>44594</v>
      </c>
      <c r="C5" s="781" t="s">
        <v>111</v>
      </c>
      <c r="D5" s="777" t="s">
        <v>109</v>
      </c>
      <c r="E5" s="774" t="s">
        <v>110</v>
      </c>
    </row>
    <row r="6" spans="1:5" ht="15" x14ac:dyDescent="0.25">
      <c r="A6" s="775">
        <v>3</v>
      </c>
      <c r="B6" s="776">
        <v>44594</v>
      </c>
      <c r="C6" s="781" t="s">
        <v>112</v>
      </c>
      <c r="D6" s="777" t="s">
        <v>113</v>
      </c>
      <c r="E6" s="774" t="s">
        <v>110</v>
      </c>
    </row>
    <row r="7" spans="1:5" ht="15" x14ac:dyDescent="0.25">
      <c r="A7" s="775">
        <v>4</v>
      </c>
      <c r="B7" s="776" t="s">
        <v>114</v>
      </c>
      <c r="C7" s="781" t="s">
        <v>115</v>
      </c>
      <c r="D7" s="777" t="s">
        <v>116</v>
      </c>
      <c r="E7" s="774" t="s">
        <v>110</v>
      </c>
    </row>
    <row r="8" spans="1:5" ht="15" x14ac:dyDescent="0.25">
      <c r="A8" s="775">
        <v>5</v>
      </c>
      <c r="B8" s="776" t="s">
        <v>117</v>
      </c>
      <c r="C8" s="781" t="s">
        <v>118</v>
      </c>
      <c r="D8" s="777" t="s">
        <v>116</v>
      </c>
      <c r="E8" s="774" t="s">
        <v>110</v>
      </c>
    </row>
    <row r="9" spans="1:5" ht="15" x14ac:dyDescent="0.25">
      <c r="A9" s="775"/>
      <c r="B9" s="776" t="s">
        <v>119</v>
      </c>
      <c r="C9" s="781" t="s">
        <v>120</v>
      </c>
      <c r="D9" s="777" t="s">
        <v>116</v>
      </c>
      <c r="E9" s="774" t="s">
        <v>110</v>
      </c>
    </row>
    <row r="10" spans="1:5" ht="15" x14ac:dyDescent="0.25">
      <c r="A10" s="775"/>
      <c r="B10" s="776"/>
      <c r="C10" s="781"/>
      <c r="D10" s="777"/>
      <c r="E10" s="774"/>
    </row>
    <row r="80" spans="1:1" x14ac:dyDescent="0.25">
      <c r="A80" s="773" t="s">
        <v>121</v>
      </c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R169"/>
  <sheetViews>
    <sheetView topLeftCell="A118" zoomScale="96" zoomScaleNormal="96" zoomScaleSheetLayoutView="89" workbookViewId="0">
      <selection activeCell="J112" sqref="J112"/>
    </sheetView>
  </sheetViews>
  <sheetFormatPr defaultRowHeight="13.2" x14ac:dyDescent="0.25"/>
  <cols>
    <col min="1" max="1" width="18.44140625" customWidth="1"/>
    <col min="2" max="2" width="10.5546875" bestFit="1" customWidth="1"/>
    <col min="7" max="7" width="14.5546875" customWidth="1"/>
    <col min="13" max="13" width="18.33203125" customWidth="1"/>
  </cols>
  <sheetData>
    <row r="1" spans="1:18" x14ac:dyDescent="0.25">
      <c r="A1" s="687"/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154"/>
    </row>
    <row r="2" spans="1:18" ht="31.5" customHeight="1" x14ac:dyDescent="0.25">
      <c r="A2" s="1337" t="s">
        <v>122</v>
      </c>
      <c r="B2" s="1324"/>
      <c r="C2" s="1324"/>
      <c r="D2" s="1323" t="s">
        <v>123</v>
      </c>
      <c r="E2" s="1322" t="s">
        <v>124</v>
      </c>
      <c r="G2" s="1338" t="s">
        <v>125</v>
      </c>
      <c r="H2" s="1338"/>
      <c r="I2" s="1338"/>
      <c r="J2" s="1323" t="s">
        <v>123</v>
      </c>
      <c r="K2" s="1322" t="s">
        <v>124</v>
      </c>
      <c r="M2" s="1324" t="s">
        <v>126</v>
      </c>
      <c r="N2" s="1324"/>
      <c r="O2" s="1324"/>
      <c r="P2" s="1323" t="s">
        <v>123</v>
      </c>
      <c r="Q2" s="1322" t="s">
        <v>124</v>
      </c>
      <c r="R2" s="2"/>
    </row>
    <row r="3" spans="1:18" x14ac:dyDescent="0.25">
      <c r="A3" s="170" t="s">
        <v>62</v>
      </c>
      <c r="B3" s="1323" t="s">
        <v>127</v>
      </c>
      <c r="C3" s="1323"/>
      <c r="D3" s="1323"/>
      <c r="E3" s="1322"/>
      <c r="G3" s="170" t="s">
        <v>62</v>
      </c>
      <c r="H3" s="1323" t="s">
        <v>127</v>
      </c>
      <c r="I3" s="1323"/>
      <c r="J3" s="1323"/>
      <c r="K3" s="1322"/>
      <c r="M3" s="170" t="s">
        <v>62</v>
      </c>
      <c r="N3" s="1323" t="s">
        <v>127</v>
      </c>
      <c r="O3" s="1323"/>
      <c r="P3" s="1323"/>
      <c r="Q3" s="1322"/>
      <c r="R3" s="2"/>
    </row>
    <row r="4" spans="1:18" ht="14.4" x14ac:dyDescent="0.25">
      <c r="A4" s="164" t="s">
        <v>128</v>
      </c>
      <c r="B4" s="582">
        <v>2015</v>
      </c>
      <c r="C4" s="192" t="s">
        <v>129</v>
      </c>
      <c r="D4" s="1323"/>
      <c r="E4" s="1322"/>
      <c r="G4" s="164" t="s">
        <v>128</v>
      </c>
      <c r="H4" s="582">
        <v>2015</v>
      </c>
      <c r="I4" s="582">
        <v>2014</v>
      </c>
      <c r="J4" s="1323"/>
      <c r="K4" s="1322"/>
      <c r="M4" s="164" t="s">
        <v>128</v>
      </c>
      <c r="N4" s="582">
        <v>2017</v>
      </c>
      <c r="O4" s="582" t="s">
        <v>129</v>
      </c>
      <c r="P4" s="1323"/>
      <c r="Q4" s="1322"/>
      <c r="R4" s="2"/>
    </row>
    <row r="5" spans="1:18" x14ac:dyDescent="0.25">
      <c r="A5" s="689">
        <v>20</v>
      </c>
      <c r="B5" s="194">
        <v>-0.7</v>
      </c>
      <c r="C5" s="195" t="s">
        <v>129</v>
      </c>
      <c r="D5" s="177">
        <f t="shared" ref="D5:D18" si="0">0.5*(MAX(B5:C5)-MIN(B5:C5))</f>
        <v>0</v>
      </c>
      <c r="E5" s="173">
        <v>3.8</v>
      </c>
      <c r="G5" s="193">
        <v>20</v>
      </c>
      <c r="H5" s="194">
        <v>5.9</v>
      </c>
      <c r="I5" s="194" t="s">
        <v>129</v>
      </c>
      <c r="J5" s="177">
        <f t="shared" ref="J5:J18" si="1">0.5*(MAX(H5:I5)-MIN(H5:I5))</f>
        <v>0</v>
      </c>
      <c r="K5" s="173">
        <v>8.4</v>
      </c>
      <c r="M5" s="194">
        <v>15.8</v>
      </c>
      <c r="N5" s="195">
        <v>-0.2</v>
      </c>
      <c r="O5" s="582" t="s">
        <v>129</v>
      </c>
      <c r="P5" s="171">
        <f>0.5*(MAX(N5:O5)-MIN(N5:O5))</f>
        <v>0</v>
      </c>
      <c r="Q5" s="198">
        <v>1.9</v>
      </c>
      <c r="R5" s="2"/>
    </row>
    <row r="6" spans="1:18" x14ac:dyDescent="0.25">
      <c r="A6" s="689">
        <v>40</v>
      </c>
      <c r="B6" s="194">
        <v>1.3</v>
      </c>
      <c r="C6" s="195" t="s">
        <v>129</v>
      </c>
      <c r="D6" s="177">
        <f t="shared" si="0"/>
        <v>0</v>
      </c>
      <c r="E6" s="173">
        <v>4</v>
      </c>
      <c r="G6" s="193">
        <v>40</v>
      </c>
      <c r="H6" s="194">
        <v>9.8000000000000007</v>
      </c>
      <c r="I6" s="194" t="s">
        <v>129</v>
      </c>
      <c r="J6" s="177">
        <f t="shared" si="1"/>
        <v>0</v>
      </c>
      <c r="K6" s="173">
        <v>8.4</v>
      </c>
      <c r="M6" s="194">
        <v>497.4</v>
      </c>
      <c r="N6" s="195">
        <v>-0.9</v>
      </c>
      <c r="O6" s="582" t="s">
        <v>129</v>
      </c>
      <c r="P6" s="171">
        <f>0.5*(MAX(N6:O6)-MIN(N6:O6))</f>
        <v>0</v>
      </c>
      <c r="Q6" s="198">
        <v>12.4</v>
      </c>
      <c r="R6" s="2"/>
    </row>
    <row r="7" spans="1:18" x14ac:dyDescent="0.25">
      <c r="A7" s="689">
        <v>60</v>
      </c>
      <c r="B7" s="194">
        <v>3.5</v>
      </c>
      <c r="C7" s="195" t="s">
        <v>129</v>
      </c>
      <c r="D7" s="177">
        <f t="shared" si="0"/>
        <v>0</v>
      </c>
      <c r="E7" s="173">
        <v>4.2</v>
      </c>
      <c r="G7" s="193">
        <v>60</v>
      </c>
      <c r="H7" s="194">
        <v>14</v>
      </c>
      <c r="I7" s="194" t="s">
        <v>129</v>
      </c>
      <c r="J7" s="177">
        <f t="shared" si="1"/>
        <v>0</v>
      </c>
      <c r="K7" s="173">
        <v>8.5</v>
      </c>
      <c r="M7" s="194">
        <v>1006</v>
      </c>
      <c r="N7" s="195">
        <v>-1</v>
      </c>
      <c r="O7" s="582" t="s">
        <v>129</v>
      </c>
      <c r="P7" s="171">
        <f>0.5*(MAX(N7:O7)-MIN(N7:O7))</f>
        <v>0</v>
      </c>
      <c r="Q7" s="198">
        <v>24.6</v>
      </c>
      <c r="R7" s="2"/>
    </row>
    <row r="8" spans="1:18" x14ac:dyDescent="0.25">
      <c r="A8" s="689">
        <v>80</v>
      </c>
      <c r="B8" s="194">
        <v>5.9</v>
      </c>
      <c r="C8" s="195" t="s">
        <v>129</v>
      </c>
      <c r="D8" s="177">
        <f t="shared" si="0"/>
        <v>0</v>
      </c>
      <c r="E8" s="173">
        <v>4.5</v>
      </c>
      <c r="G8" s="193">
        <v>80</v>
      </c>
      <c r="H8" s="194">
        <v>18.399999999999999</v>
      </c>
      <c r="I8" s="194" t="s">
        <v>129</v>
      </c>
      <c r="J8" s="177">
        <f t="shared" si="1"/>
        <v>0</v>
      </c>
      <c r="K8" s="173">
        <v>8.6</v>
      </c>
      <c r="M8" s="194">
        <v>9004</v>
      </c>
      <c r="N8" s="195">
        <v>18</v>
      </c>
      <c r="O8" s="582" t="s">
        <v>129</v>
      </c>
      <c r="P8" s="171">
        <f t="shared" ref="P8" si="2">0.5*(MAX(N8:O8)-MIN(N8:O8))</f>
        <v>0</v>
      </c>
      <c r="Q8" s="198">
        <v>301</v>
      </c>
      <c r="R8" s="2"/>
    </row>
    <row r="9" spans="1:18" x14ac:dyDescent="0.25">
      <c r="A9" s="689">
        <v>100</v>
      </c>
      <c r="B9" s="194">
        <v>8.5</v>
      </c>
      <c r="C9" s="195" t="s">
        <v>129</v>
      </c>
      <c r="D9" s="177">
        <f t="shared" si="0"/>
        <v>0</v>
      </c>
      <c r="E9" s="173">
        <v>4.8</v>
      </c>
      <c r="G9" s="193">
        <v>100</v>
      </c>
      <c r="H9" s="194">
        <v>23.2</v>
      </c>
      <c r="I9" s="194" t="s">
        <v>129</v>
      </c>
      <c r="J9" s="177">
        <f t="shared" si="1"/>
        <v>0</v>
      </c>
      <c r="K9" s="173">
        <v>8.8000000000000007</v>
      </c>
      <c r="M9" s="582" t="s">
        <v>129</v>
      </c>
      <c r="N9" s="582" t="s">
        <v>129</v>
      </c>
      <c r="O9" s="582" t="s">
        <v>129</v>
      </c>
      <c r="P9" s="582" t="s">
        <v>129</v>
      </c>
      <c r="Q9" s="582" t="s">
        <v>129</v>
      </c>
      <c r="R9" s="2"/>
    </row>
    <row r="10" spans="1:18" x14ac:dyDescent="0.25">
      <c r="A10" s="689">
        <v>150</v>
      </c>
      <c r="B10" s="194">
        <v>16</v>
      </c>
      <c r="C10" s="195" t="s">
        <v>129</v>
      </c>
      <c r="D10" s="177">
        <f t="shared" si="0"/>
        <v>0</v>
      </c>
      <c r="E10" s="173">
        <v>5.8</v>
      </c>
      <c r="G10" s="193">
        <v>150</v>
      </c>
      <c r="H10" s="194">
        <v>36.299999999999997</v>
      </c>
      <c r="I10" s="194" t="s">
        <v>129</v>
      </c>
      <c r="J10" s="177">
        <f t="shared" si="1"/>
        <v>0</v>
      </c>
      <c r="K10" s="173">
        <v>9.4</v>
      </c>
      <c r="M10" s="582" t="s">
        <v>129</v>
      </c>
      <c r="N10" s="582" t="s">
        <v>129</v>
      </c>
      <c r="O10" s="582" t="s">
        <v>129</v>
      </c>
      <c r="P10" s="582" t="s">
        <v>129</v>
      </c>
      <c r="Q10" s="582" t="s">
        <v>129</v>
      </c>
      <c r="R10" s="2"/>
    </row>
    <row r="11" spans="1:18" x14ac:dyDescent="0.25">
      <c r="A11" s="689">
        <v>190</v>
      </c>
      <c r="B11" s="194">
        <v>22.9</v>
      </c>
      <c r="C11" s="195" t="s">
        <v>129</v>
      </c>
      <c r="D11" s="177">
        <f t="shared" si="0"/>
        <v>0</v>
      </c>
      <c r="E11" s="173">
        <v>6.7</v>
      </c>
      <c r="G11" s="193">
        <v>190</v>
      </c>
      <c r="H11" s="194">
        <v>48.1</v>
      </c>
      <c r="I11" s="194" t="s">
        <v>129</v>
      </c>
      <c r="J11" s="177">
        <f t="shared" si="1"/>
        <v>0</v>
      </c>
      <c r="K11" s="173">
        <v>10</v>
      </c>
      <c r="M11" s="582" t="s">
        <v>129</v>
      </c>
      <c r="N11" s="582" t="s">
        <v>129</v>
      </c>
      <c r="O11" s="582" t="s">
        <v>129</v>
      </c>
      <c r="P11" s="582" t="s">
        <v>129</v>
      </c>
      <c r="Q11" s="582" t="s">
        <v>129</v>
      </c>
      <c r="R11" s="2"/>
    </row>
    <row r="12" spans="1:18" x14ac:dyDescent="0.25">
      <c r="A12" s="715">
        <v>200</v>
      </c>
      <c r="B12" s="193">
        <v>19</v>
      </c>
      <c r="C12" s="195" t="s">
        <v>129</v>
      </c>
      <c r="D12" s="178">
        <f t="shared" si="0"/>
        <v>0</v>
      </c>
      <c r="E12" s="174">
        <v>8</v>
      </c>
      <c r="G12" s="196">
        <v>200</v>
      </c>
      <c r="H12" s="196">
        <v>39</v>
      </c>
      <c r="I12" s="196">
        <v>23</v>
      </c>
      <c r="J12" s="178">
        <f t="shared" si="1"/>
        <v>8</v>
      </c>
      <c r="K12" s="173">
        <v>7</v>
      </c>
      <c r="M12" s="582" t="s">
        <v>129</v>
      </c>
      <c r="N12" s="582" t="s">
        <v>129</v>
      </c>
      <c r="O12" s="582" t="s">
        <v>129</v>
      </c>
      <c r="P12" s="582" t="s">
        <v>129</v>
      </c>
      <c r="Q12" s="582" t="s">
        <v>129</v>
      </c>
      <c r="R12" s="2"/>
    </row>
    <row r="13" spans="1:18" x14ac:dyDescent="0.25">
      <c r="A13" s="588">
        <v>400</v>
      </c>
      <c r="B13" s="197">
        <v>48</v>
      </c>
      <c r="C13" s="195" t="s">
        <v>129</v>
      </c>
      <c r="D13" s="179">
        <f t="shared" si="0"/>
        <v>0</v>
      </c>
      <c r="E13" s="175">
        <v>13</v>
      </c>
      <c r="G13" s="175">
        <v>400</v>
      </c>
      <c r="H13" s="175">
        <v>72</v>
      </c>
      <c r="I13" s="175">
        <v>40</v>
      </c>
      <c r="J13" s="178">
        <f t="shared" si="1"/>
        <v>16</v>
      </c>
      <c r="K13" s="175">
        <v>12</v>
      </c>
      <c r="M13" s="582" t="s">
        <v>129</v>
      </c>
      <c r="N13" s="582" t="s">
        <v>129</v>
      </c>
      <c r="O13" s="582" t="s">
        <v>129</v>
      </c>
      <c r="P13" s="582" t="s">
        <v>129</v>
      </c>
      <c r="Q13" s="582" t="s">
        <v>129</v>
      </c>
      <c r="R13" s="2"/>
    </row>
    <row r="14" spans="1:18" x14ac:dyDescent="0.25">
      <c r="A14" s="588">
        <v>600</v>
      </c>
      <c r="B14" s="197">
        <v>77</v>
      </c>
      <c r="C14" s="195" t="s">
        <v>129</v>
      </c>
      <c r="D14" s="177">
        <f t="shared" si="0"/>
        <v>0</v>
      </c>
      <c r="E14" s="175">
        <v>18</v>
      </c>
      <c r="G14" s="175">
        <v>600</v>
      </c>
      <c r="H14" s="175">
        <v>107</v>
      </c>
      <c r="I14" s="175">
        <v>60</v>
      </c>
      <c r="J14" s="177">
        <f t="shared" si="1"/>
        <v>23.5</v>
      </c>
      <c r="K14" s="176">
        <v>18</v>
      </c>
      <c r="M14" s="582" t="s">
        <v>129</v>
      </c>
      <c r="N14" s="582" t="s">
        <v>129</v>
      </c>
      <c r="O14" s="582" t="s">
        <v>129</v>
      </c>
      <c r="P14" s="582" t="s">
        <v>129</v>
      </c>
      <c r="Q14" s="582" t="s">
        <v>129</v>
      </c>
      <c r="R14" s="2"/>
    </row>
    <row r="15" spans="1:18" x14ac:dyDescent="0.25">
      <c r="A15" s="588">
        <v>800</v>
      </c>
      <c r="B15" s="197">
        <v>111</v>
      </c>
      <c r="C15" s="195" t="s">
        <v>129</v>
      </c>
      <c r="D15" s="177">
        <f t="shared" si="0"/>
        <v>0</v>
      </c>
      <c r="E15" s="175">
        <v>24</v>
      </c>
      <c r="G15" s="175">
        <v>800</v>
      </c>
      <c r="H15" s="175">
        <v>146</v>
      </c>
      <c r="I15" s="175">
        <v>80</v>
      </c>
      <c r="J15" s="177">
        <f t="shared" si="1"/>
        <v>33</v>
      </c>
      <c r="K15" s="176">
        <v>24</v>
      </c>
      <c r="M15" s="582" t="s">
        <v>129</v>
      </c>
      <c r="N15" s="582" t="s">
        <v>129</v>
      </c>
      <c r="O15" s="582" t="s">
        <v>129</v>
      </c>
      <c r="P15" s="582" t="s">
        <v>129</v>
      </c>
      <c r="Q15" s="582" t="s">
        <v>129</v>
      </c>
      <c r="R15" s="2"/>
    </row>
    <row r="16" spans="1:18" x14ac:dyDescent="0.25">
      <c r="A16" s="588">
        <v>1000</v>
      </c>
      <c r="B16" s="197">
        <v>138</v>
      </c>
      <c r="C16" s="195" t="s">
        <v>129</v>
      </c>
      <c r="D16" s="177">
        <f t="shared" si="0"/>
        <v>0</v>
      </c>
      <c r="E16" s="175">
        <v>29</v>
      </c>
      <c r="G16" s="175">
        <v>1000</v>
      </c>
      <c r="H16" s="175">
        <v>182</v>
      </c>
      <c r="I16" s="175">
        <v>100</v>
      </c>
      <c r="J16" s="177">
        <f t="shared" si="1"/>
        <v>41</v>
      </c>
      <c r="K16" s="176">
        <v>29</v>
      </c>
      <c r="M16" s="582" t="s">
        <v>129</v>
      </c>
      <c r="N16" s="582" t="s">
        <v>129</v>
      </c>
      <c r="O16" s="582" t="s">
        <v>129</v>
      </c>
      <c r="P16" s="582" t="s">
        <v>129</v>
      </c>
      <c r="Q16" s="582" t="s">
        <v>129</v>
      </c>
      <c r="R16" s="2"/>
    </row>
    <row r="17" spans="1:18" x14ac:dyDescent="0.25">
      <c r="A17" s="588">
        <v>1500</v>
      </c>
      <c r="B17" s="197">
        <v>214</v>
      </c>
      <c r="C17" s="195" t="s">
        <v>129</v>
      </c>
      <c r="D17" s="177">
        <f t="shared" si="0"/>
        <v>0</v>
      </c>
      <c r="E17" s="175">
        <v>44</v>
      </c>
      <c r="G17" s="175">
        <v>1500</v>
      </c>
      <c r="H17" s="175">
        <v>275</v>
      </c>
      <c r="I17" s="175">
        <v>160</v>
      </c>
      <c r="J17" s="177">
        <f t="shared" si="1"/>
        <v>57.5</v>
      </c>
      <c r="K17" s="176">
        <v>44</v>
      </c>
      <c r="M17" s="582" t="s">
        <v>129</v>
      </c>
      <c r="N17" s="582" t="s">
        <v>129</v>
      </c>
      <c r="O17" s="582" t="s">
        <v>129</v>
      </c>
      <c r="P17" s="582" t="s">
        <v>129</v>
      </c>
      <c r="Q17" s="582" t="s">
        <v>129</v>
      </c>
      <c r="R17" s="2"/>
    </row>
    <row r="18" spans="1:18" x14ac:dyDescent="0.25">
      <c r="A18" s="588">
        <v>1900</v>
      </c>
      <c r="B18" s="197">
        <v>275</v>
      </c>
      <c r="C18" s="195" t="s">
        <v>129</v>
      </c>
      <c r="D18" s="177">
        <f t="shared" si="0"/>
        <v>0</v>
      </c>
      <c r="E18" s="175">
        <v>55</v>
      </c>
      <c r="G18" s="175">
        <v>1900</v>
      </c>
      <c r="H18" s="175">
        <v>355</v>
      </c>
      <c r="I18" s="175">
        <v>216</v>
      </c>
      <c r="J18" s="177">
        <f t="shared" si="1"/>
        <v>69.5</v>
      </c>
      <c r="K18" s="176">
        <v>55</v>
      </c>
      <c r="M18" s="582" t="s">
        <v>129</v>
      </c>
      <c r="N18" s="582" t="s">
        <v>129</v>
      </c>
      <c r="O18" s="582" t="s">
        <v>129</v>
      </c>
      <c r="P18" s="582" t="s">
        <v>129</v>
      </c>
      <c r="Q18" s="582" t="s">
        <v>129</v>
      </c>
      <c r="R18" s="2"/>
    </row>
    <row r="19" spans="1:18" x14ac:dyDescent="0.25">
      <c r="A19" s="1"/>
      <c r="R19" s="2"/>
    </row>
    <row r="20" spans="1:18" x14ac:dyDescent="0.25">
      <c r="A20" s="1"/>
      <c r="R20" s="2"/>
    </row>
    <row r="21" spans="1:18" x14ac:dyDescent="0.25">
      <c r="A21" s="1"/>
      <c r="R21" s="2"/>
    </row>
    <row r="22" spans="1:18" ht="27" customHeight="1" x14ac:dyDescent="0.25">
      <c r="A22" s="716" t="s">
        <v>130</v>
      </c>
      <c r="B22" s="712"/>
      <c r="C22" s="712"/>
      <c r="D22" s="582" t="s">
        <v>123</v>
      </c>
      <c r="E22" s="711" t="s">
        <v>124</v>
      </c>
      <c r="G22" s="712" t="s">
        <v>131</v>
      </c>
      <c r="H22" s="712"/>
      <c r="I22" s="712"/>
      <c r="J22" s="582" t="s">
        <v>123</v>
      </c>
      <c r="K22" s="711" t="s">
        <v>124</v>
      </c>
      <c r="M22" s="1324" t="s">
        <v>132</v>
      </c>
      <c r="N22" s="1324"/>
      <c r="O22" s="1324"/>
      <c r="P22" s="1323" t="s">
        <v>123</v>
      </c>
      <c r="Q22" s="1322" t="s">
        <v>124</v>
      </c>
      <c r="R22" s="2"/>
    </row>
    <row r="23" spans="1:18" x14ac:dyDescent="0.25">
      <c r="A23" s="170" t="s">
        <v>62</v>
      </c>
      <c r="B23" s="582" t="s">
        <v>127</v>
      </c>
      <c r="C23" s="582"/>
      <c r="D23" s="582"/>
      <c r="E23" s="711"/>
      <c r="G23" s="170" t="s">
        <v>62</v>
      </c>
      <c r="H23" s="582" t="s">
        <v>127</v>
      </c>
      <c r="I23" s="582"/>
      <c r="J23" s="582"/>
      <c r="K23" s="711"/>
      <c r="M23" s="170" t="s">
        <v>62</v>
      </c>
      <c r="N23" s="1323" t="s">
        <v>127</v>
      </c>
      <c r="O23" s="1323"/>
      <c r="P23" s="1323"/>
      <c r="Q23" s="1322"/>
      <c r="R23" s="2"/>
    </row>
    <row r="24" spans="1:18" ht="14.4" x14ac:dyDescent="0.25">
      <c r="A24" s="164" t="s">
        <v>128</v>
      </c>
      <c r="B24" s="582">
        <v>2015</v>
      </c>
      <c r="C24" s="582" t="s">
        <v>129</v>
      </c>
      <c r="D24" s="582"/>
      <c r="E24" s="711"/>
      <c r="G24" s="164" t="s">
        <v>128</v>
      </c>
      <c r="H24" s="582">
        <v>2015</v>
      </c>
      <c r="I24" s="192" t="s">
        <v>129</v>
      </c>
      <c r="J24" s="582"/>
      <c r="K24" s="711"/>
      <c r="M24" s="164" t="s">
        <v>128</v>
      </c>
      <c r="N24" s="582">
        <v>2015</v>
      </c>
      <c r="O24" s="192" t="s">
        <v>129</v>
      </c>
      <c r="P24" s="1323"/>
      <c r="Q24" s="1322"/>
      <c r="R24" s="2"/>
    </row>
    <row r="25" spans="1:18" x14ac:dyDescent="0.25">
      <c r="A25" s="689">
        <v>20</v>
      </c>
      <c r="B25" s="199">
        <v>-11</v>
      </c>
      <c r="C25" s="582" t="s">
        <v>129</v>
      </c>
      <c r="D25" s="171">
        <f t="shared" ref="D25:D35" si="3">0.5*(MAX(B25:C25)-MIN(B25:C25))</f>
        <v>0</v>
      </c>
      <c r="E25" s="175">
        <v>10</v>
      </c>
      <c r="G25" s="193">
        <v>20</v>
      </c>
      <c r="H25" s="194">
        <v>-0.7</v>
      </c>
      <c r="I25" s="195" t="s">
        <v>129</v>
      </c>
      <c r="J25" s="177">
        <f t="shared" ref="J25:J38" si="4">0.5*(MAX(H25:I25)-MIN(H25:I25))</f>
        <v>0</v>
      </c>
      <c r="K25" s="173">
        <v>3.8</v>
      </c>
      <c r="M25" s="193">
        <v>20</v>
      </c>
      <c r="N25" s="194">
        <v>-0.7</v>
      </c>
      <c r="O25" s="195" t="s">
        <v>129</v>
      </c>
      <c r="P25" s="177">
        <f>0.5*(MAX(N25:O25)-MIN(N25:O25))</f>
        <v>0</v>
      </c>
      <c r="Q25" s="173">
        <v>3.8</v>
      </c>
      <c r="R25" s="2"/>
    </row>
    <row r="26" spans="1:18" x14ac:dyDescent="0.25">
      <c r="A26" s="689">
        <v>40</v>
      </c>
      <c r="B26" s="199">
        <v>-9</v>
      </c>
      <c r="C26" s="582" t="s">
        <v>129</v>
      </c>
      <c r="D26" s="171">
        <f t="shared" si="3"/>
        <v>0</v>
      </c>
      <c r="E26" s="175">
        <v>10</v>
      </c>
      <c r="G26" s="193">
        <v>40</v>
      </c>
      <c r="H26" s="194">
        <v>1.3</v>
      </c>
      <c r="I26" s="195" t="s">
        <v>129</v>
      </c>
      <c r="J26" s="177">
        <f t="shared" si="4"/>
        <v>0</v>
      </c>
      <c r="K26" s="173">
        <v>4</v>
      </c>
      <c r="M26" s="193">
        <v>40</v>
      </c>
      <c r="N26" s="194">
        <v>1.3</v>
      </c>
      <c r="O26" s="195" t="s">
        <v>129</v>
      </c>
      <c r="P26" s="177">
        <f>0.5*(MAX(N26:O26)-MIN(N26:O26))</f>
        <v>0</v>
      </c>
      <c r="Q26" s="173">
        <v>4</v>
      </c>
      <c r="R26" s="2"/>
    </row>
    <row r="27" spans="1:18" x14ac:dyDescent="0.25">
      <c r="A27" s="689">
        <v>60</v>
      </c>
      <c r="B27" s="199">
        <v>-6</v>
      </c>
      <c r="C27" s="582" t="s">
        <v>129</v>
      </c>
      <c r="D27" s="171">
        <f t="shared" si="3"/>
        <v>0</v>
      </c>
      <c r="E27" s="175">
        <v>10</v>
      </c>
      <c r="G27" s="193">
        <v>60</v>
      </c>
      <c r="H27" s="194">
        <v>3.5</v>
      </c>
      <c r="I27" s="195" t="s">
        <v>129</v>
      </c>
      <c r="J27" s="177">
        <f t="shared" si="4"/>
        <v>0</v>
      </c>
      <c r="K27" s="173">
        <v>4.2</v>
      </c>
      <c r="M27" s="193">
        <v>60</v>
      </c>
      <c r="N27" s="194">
        <v>3.5</v>
      </c>
      <c r="O27" s="195" t="s">
        <v>129</v>
      </c>
      <c r="P27" s="177">
        <f>0.5*(MAX(N27:O27)-MIN(N27:O27))</f>
        <v>0</v>
      </c>
      <c r="Q27" s="173">
        <v>4.2</v>
      </c>
      <c r="R27" s="2"/>
    </row>
    <row r="28" spans="1:18" x14ac:dyDescent="0.25">
      <c r="A28" s="689">
        <v>80</v>
      </c>
      <c r="B28" s="199">
        <v>-4</v>
      </c>
      <c r="C28" s="582" t="s">
        <v>129</v>
      </c>
      <c r="D28" s="171">
        <f t="shared" si="3"/>
        <v>0</v>
      </c>
      <c r="E28" s="175">
        <v>10</v>
      </c>
      <c r="G28" s="193">
        <v>80</v>
      </c>
      <c r="H28" s="194">
        <v>5.9</v>
      </c>
      <c r="I28" s="195" t="s">
        <v>129</v>
      </c>
      <c r="J28" s="177">
        <f t="shared" si="4"/>
        <v>0</v>
      </c>
      <c r="K28" s="173">
        <v>4.5</v>
      </c>
      <c r="M28" s="193">
        <v>80</v>
      </c>
      <c r="N28" s="194">
        <v>5.9</v>
      </c>
      <c r="O28" s="195" t="s">
        <v>129</v>
      </c>
      <c r="P28" s="177">
        <f t="shared" ref="P28:P38" si="5">0.5*(MAX(N28:O28)-MIN(N28:O28))</f>
        <v>0</v>
      </c>
      <c r="Q28" s="173">
        <v>4.5</v>
      </c>
      <c r="R28" s="2"/>
    </row>
    <row r="29" spans="1:18" x14ac:dyDescent="0.25">
      <c r="A29" s="689">
        <v>100</v>
      </c>
      <c r="B29" s="199">
        <v>-1</v>
      </c>
      <c r="C29" s="582" t="s">
        <v>129</v>
      </c>
      <c r="D29" s="171">
        <f t="shared" si="3"/>
        <v>0</v>
      </c>
      <c r="E29" s="175">
        <v>11</v>
      </c>
      <c r="G29" s="193">
        <v>100</v>
      </c>
      <c r="H29" s="194">
        <v>8.5</v>
      </c>
      <c r="I29" s="195" t="s">
        <v>129</v>
      </c>
      <c r="J29" s="177">
        <f t="shared" si="4"/>
        <v>0</v>
      </c>
      <c r="K29" s="173">
        <v>4.8</v>
      </c>
      <c r="M29" s="193">
        <v>100</v>
      </c>
      <c r="N29" s="194">
        <v>8.5</v>
      </c>
      <c r="O29" s="195" t="s">
        <v>129</v>
      </c>
      <c r="P29" s="177">
        <f t="shared" si="5"/>
        <v>0</v>
      </c>
      <c r="Q29" s="173">
        <v>4.8</v>
      </c>
      <c r="R29" s="2"/>
    </row>
    <row r="30" spans="1:18" x14ac:dyDescent="0.25">
      <c r="A30" s="689">
        <v>150</v>
      </c>
      <c r="B30" s="199">
        <v>5</v>
      </c>
      <c r="C30" s="582" t="s">
        <v>129</v>
      </c>
      <c r="D30" s="171">
        <f t="shared" si="3"/>
        <v>0</v>
      </c>
      <c r="E30" s="175">
        <v>11</v>
      </c>
      <c r="G30" s="193">
        <v>150</v>
      </c>
      <c r="H30" s="194">
        <v>16</v>
      </c>
      <c r="I30" s="195" t="s">
        <v>129</v>
      </c>
      <c r="J30" s="177">
        <f t="shared" si="4"/>
        <v>0</v>
      </c>
      <c r="K30" s="173">
        <v>5.8</v>
      </c>
      <c r="M30" s="193">
        <v>150</v>
      </c>
      <c r="N30" s="194">
        <v>16</v>
      </c>
      <c r="O30" s="195" t="s">
        <v>129</v>
      </c>
      <c r="P30" s="177">
        <f t="shared" si="5"/>
        <v>0</v>
      </c>
      <c r="Q30" s="173">
        <v>5.8</v>
      </c>
      <c r="R30" s="2"/>
    </row>
    <row r="31" spans="1:18" x14ac:dyDescent="0.25">
      <c r="A31" s="715">
        <v>200</v>
      </c>
      <c r="B31" s="200">
        <v>-54</v>
      </c>
      <c r="C31" s="582" t="s">
        <v>129</v>
      </c>
      <c r="D31" s="169">
        <f t="shared" si="3"/>
        <v>0</v>
      </c>
      <c r="E31" s="175">
        <v>30</v>
      </c>
      <c r="G31" s="193">
        <v>190</v>
      </c>
      <c r="H31" s="194">
        <v>22.9</v>
      </c>
      <c r="I31" s="195" t="s">
        <v>129</v>
      </c>
      <c r="J31" s="177">
        <f t="shared" si="4"/>
        <v>0</v>
      </c>
      <c r="K31" s="173">
        <v>6.7</v>
      </c>
      <c r="M31" s="193">
        <v>190</v>
      </c>
      <c r="N31" s="194">
        <v>22.9</v>
      </c>
      <c r="O31" s="195" t="s">
        <v>129</v>
      </c>
      <c r="P31" s="177">
        <f t="shared" si="5"/>
        <v>0</v>
      </c>
      <c r="Q31" s="173">
        <v>6.7</v>
      </c>
      <c r="R31" s="2"/>
    </row>
    <row r="32" spans="1:18" x14ac:dyDescent="0.25">
      <c r="A32" s="588">
        <v>400</v>
      </c>
      <c r="B32" s="200">
        <v>-32</v>
      </c>
      <c r="C32" s="582" t="s">
        <v>129</v>
      </c>
      <c r="D32" s="169">
        <f t="shared" si="3"/>
        <v>0</v>
      </c>
      <c r="E32" s="175">
        <v>32</v>
      </c>
      <c r="G32" s="196">
        <v>200</v>
      </c>
      <c r="H32" s="193">
        <v>19</v>
      </c>
      <c r="I32" s="195" t="s">
        <v>129</v>
      </c>
      <c r="J32" s="178">
        <f t="shared" si="4"/>
        <v>0</v>
      </c>
      <c r="K32" s="174">
        <v>8</v>
      </c>
      <c r="M32" s="196">
        <v>200</v>
      </c>
      <c r="N32" s="193">
        <v>19</v>
      </c>
      <c r="O32" s="195" t="s">
        <v>129</v>
      </c>
      <c r="P32" s="178">
        <f t="shared" si="5"/>
        <v>0</v>
      </c>
      <c r="Q32" s="174">
        <v>8</v>
      </c>
      <c r="R32" s="2"/>
    </row>
    <row r="33" spans="1:18" x14ac:dyDescent="0.25">
      <c r="A33" s="588">
        <v>600</v>
      </c>
      <c r="B33" s="200">
        <v>-8</v>
      </c>
      <c r="C33" s="582" t="s">
        <v>129</v>
      </c>
      <c r="D33" s="171">
        <f t="shared" si="3"/>
        <v>0</v>
      </c>
      <c r="E33" s="175">
        <v>35</v>
      </c>
      <c r="G33" s="175">
        <v>400</v>
      </c>
      <c r="H33" s="197">
        <v>48</v>
      </c>
      <c r="I33" s="195" t="s">
        <v>129</v>
      </c>
      <c r="J33" s="179">
        <f t="shared" si="4"/>
        <v>0</v>
      </c>
      <c r="K33" s="175">
        <v>13</v>
      </c>
      <c r="M33" s="175">
        <v>400</v>
      </c>
      <c r="N33" s="197">
        <v>48</v>
      </c>
      <c r="O33" s="195" t="s">
        <v>129</v>
      </c>
      <c r="P33" s="179">
        <f t="shared" si="5"/>
        <v>0</v>
      </c>
      <c r="Q33" s="175">
        <v>13</v>
      </c>
      <c r="R33" s="2"/>
    </row>
    <row r="34" spans="1:18" x14ac:dyDescent="0.25">
      <c r="A34" s="588">
        <v>800</v>
      </c>
      <c r="B34" s="200">
        <v>17</v>
      </c>
      <c r="C34" s="582" t="s">
        <v>129</v>
      </c>
      <c r="D34" s="171">
        <f t="shared" si="3"/>
        <v>0</v>
      </c>
      <c r="E34" s="175">
        <v>38</v>
      </c>
      <c r="G34" s="175">
        <v>600</v>
      </c>
      <c r="H34" s="197">
        <v>77</v>
      </c>
      <c r="I34" s="195" t="s">
        <v>129</v>
      </c>
      <c r="J34" s="177">
        <f t="shared" si="4"/>
        <v>0</v>
      </c>
      <c r="K34" s="175">
        <v>18</v>
      </c>
      <c r="M34" s="175">
        <v>600</v>
      </c>
      <c r="N34" s="197">
        <v>77</v>
      </c>
      <c r="O34" s="195" t="s">
        <v>129</v>
      </c>
      <c r="P34" s="177">
        <f t="shared" si="5"/>
        <v>0</v>
      </c>
      <c r="Q34" s="175">
        <v>18</v>
      </c>
      <c r="R34" s="2"/>
    </row>
    <row r="35" spans="1:18" x14ac:dyDescent="0.25">
      <c r="A35" s="588">
        <v>1000</v>
      </c>
      <c r="B35" s="200">
        <v>45</v>
      </c>
      <c r="C35" s="582" t="s">
        <v>129</v>
      </c>
      <c r="D35" s="171">
        <f t="shared" si="3"/>
        <v>0</v>
      </c>
      <c r="E35" s="175">
        <v>42</v>
      </c>
      <c r="G35" s="175">
        <v>800</v>
      </c>
      <c r="H35" s="197">
        <v>111</v>
      </c>
      <c r="I35" s="195" t="s">
        <v>129</v>
      </c>
      <c r="J35" s="177">
        <f t="shared" si="4"/>
        <v>0</v>
      </c>
      <c r="K35" s="175">
        <v>24</v>
      </c>
      <c r="M35" s="175">
        <v>800</v>
      </c>
      <c r="N35" s="197">
        <v>111</v>
      </c>
      <c r="O35" s="195" t="s">
        <v>129</v>
      </c>
      <c r="P35" s="177">
        <f t="shared" si="5"/>
        <v>0</v>
      </c>
      <c r="Q35" s="175">
        <v>24</v>
      </c>
      <c r="R35" s="2"/>
    </row>
    <row r="36" spans="1:18" x14ac:dyDescent="0.25">
      <c r="A36" s="1"/>
      <c r="G36" s="175">
        <v>1000</v>
      </c>
      <c r="H36" s="197">
        <v>138</v>
      </c>
      <c r="I36" s="195" t="s">
        <v>129</v>
      </c>
      <c r="J36" s="177">
        <f t="shared" si="4"/>
        <v>0</v>
      </c>
      <c r="K36" s="175">
        <v>29</v>
      </c>
      <c r="M36" s="175">
        <v>1000</v>
      </c>
      <c r="N36" s="197">
        <v>138</v>
      </c>
      <c r="O36" s="195" t="s">
        <v>129</v>
      </c>
      <c r="P36" s="177">
        <f t="shared" si="5"/>
        <v>0</v>
      </c>
      <c r="Q36" s="175">
        <v>29</v>
      </c>
      <c r="R36" s="2"/>
    </row>
    <row r="37" spans="1:18" x14ac:dyDescent="0.25">
      <c r="A37" s="1"/>
      <c r="G37" s="175">
        <v>1500</v>
      </c>
      <c r="H37" s="197">
        <v>214</v>
      </c>
      <c r="I37" s="195" t="s">
        <v>129</v>
      </c>
      <c r="J37" s="177">
        <f t="shared" si="4"/>
        <v>0</v>
      </c>
      <c r="K37" s="175">
        <v>44</v>
      </c>
      <c r="M37" s="175">
        <v>1500</v>
      </c>
      <c r="N37" s="197">
        <v>214</v>
      </c>
      <c r="O37" s="195" t="s">
        <v>129</v>
      </c>
      <c r="P37" s="177">
        <f t="shared" si="5"/>
        <v>0</v>
      </c>
      <c r="Q37" s="175">
        <v>44</v>
      </c>
      <c r="R37" s="2"/>
    </row>
    <row r="38" spans="1:18" x14ac:dyDescent="0.25">
      <c r="A38" s="1"/>
      <c r="G38" s="175">
        <v>1900</v>
      </c>
      <c r="H38" s="197">
        <v>275</v>
      </c>
      <c r="I38" s="195" t="s">
        <v>129</v>
      </c>
      <c r="J38" s="177">
        <f t="shared" si="4"/>
        <v>0</v>
      </c>
      <c r="K38" s="175">
        <v>55</v>
      </c>
      <c r="M38" s="175">
        <v>1900</v>
      </c>
      <c r="N38" s="197">
        <v>275</v>
      </c>
      <c r="O38" s="195" t="s">
        <v>129</v>
      </c>
      <c r="P38" s="177">
        <f t="shared" si="5"/>
        <v>0</v>
      </c>
      <c r="Q38" s="175">
        <v>55</v>
      </c>
      <c r="R38" s="2"/>
    </row>
    <row r="39" spans="1:18" x14ac:dyDescent="0.25">
      <c r="A39" s="1"/>
      <c r="R39" s="2"/>
    </row>
    <row r="40" spans="1:18" x14ac:dyDescent="0.25">
      <c r="A40" s="1"/>
      <c r="R40" s="2"/>
    </row>
    <row r="41" spans="1:18" x14ac:dyDescent="0.25">
      <c r="A41" s="1"/>
      <c r="R41" s="2"/>
    </row>
    <row r="42" spans="1:18" ht="26.25" customHeight="1" x14ac:dyDescent="0.25">
      <c r="A42" s="1337" t="s">
        <v>133</v>
      </c>
      <c r="B42" s="1324"/>
      <c r="C42" s="1324"/>
      <c r="D42" s="1323" t="s">
        <v>123</v>
      </c>
      <c r="E42" s="1322" t="s">
        <v>124</v>
      </c>
      <c r="G42" s="1337" t="s">
        <v>134</v>
      </c>
      <c r="H42" s="1324"/>
      <c r="I42" s="1324"/>
      <c r="J42" s="1323" t="s">
        <v>123</v>
      </c>
      <c r="K42" s="1322" t="s">
        <v>124</v>
      </c>
      <c r="M42" s="1337">
        <v>9</v>
      </c>
      <c r="N42" s="1324"/>
      <c r="O42" s="1324"/>
      <c r="P42" s="1323" t="s">
        <v>123</v>
      </c>
      <c r="Q42" s="1322" t="s">
        <v>124</v>
      </c>
      <c r="R42" s="2"/>
    </row>
    <row r="43" spans="1:18" x14ac:dyDescent="0.25">
      <c r="A43" s="170" t="s">
        <v>62</v>
      </c>
      <c r="B43" s="1323" t="s">
        <v>127</v>
      </c>
      <c r="C43" s="1323"/>
      <c r="D43" s="1323"/>
      <c r="E43" s="1322"/>
      <c r="G43" s="170" t="s">
        <v>62</v>
      </c>
      <c r="H43" s="1323" t="s">
        <v>127</v>
      </c>
      <c r="I43" s="1323"/>
      <c r="J43" s="1323"/>
      <c r="K43" s="1322"/>
      <c r="M43" s="170" t="s">
        <v>62</v>
      </c>
      <c r="N43" s="1323" t="s">
        <v>127</v>
      </c>
      <c r="O43" s="1323"/>
      <c r="P43" s="1323"/>
      <c r="Q43" s="1322"/>
      <c r="R43" s="2"/>
    </row>
    <row r="44" spans="1:18" ht="14.4" x14ac:dyDescent="0.25">
      <c r="A44" s="164" t="s">
        <v>128</v>
      </c>
      <c r="B44" s="582">
        <v>2015</v>
      </c>
      <c r="C44" s="192" t="s">
        <v>129</v>
      </c>
      <c r="D44" s="1323"/>
      <c r="E44" s="1322"/>
      <c r="G44" s="164" t="s">
        <v>128</v>
      </c>
      <c r="H44" s="582">
        <v>2015</v>
      </c>
      <c r="I44" s="192" t="s">
        <v>129</v>
      </c>
      <c r="J44" s="1323"/>
      <c r="K44" s="1322"/>
      <c r="M44" s="164" t="s">
        <v>128</v>
      </c>
      <c r="N44" s="582">
        <v>2015</v>
      </c>
      <c r="O44" s="192" t="s">
        <v>129</v>
      </c>
      <c r="P44" s="1323"/>
      <c r="Q44" s="1322"/>
      <c r="R44" s="2"/>
    </row>
    <row r="45" spans="1:18" x14ac:dyDescent="0.25">
      <c r="A45" s="689">
        <v>20</v>
      </c>
      <c r="B45" s="194">
        <v>-0.7</v>
      </c>
      <c r="C45" s="195" t="s">
        <v>129</v>
      </c>
      <c r="D45" s="177">
        <f t="shared" ref="D45:D58" si="6">0.5*(MAX(B45:C45)-MIN(B45:C45))</f>
        <v>0</v>
      </c>
      <c r="E45" s="173">
        <v>3.8</v>
      </c>
      <c r="G45" s="689">
        <v>20</v>
      </c>
      <c r="H45" s="194">
        <v>-0.7</v>
      </c>
      <c r="I45" s="195" t="s">
        <v>129</v>
      </c>
      <c r="J45" s="177">
        <f t="shared" ref="J45:J58" si="7">0.5*(MAX(H45:I45)-MIN(H45:I45))</f>
        <v>0</v>
      </c>
      <c r="K45" s="173">
        <v>3.8</v>
      </c>
      <c r="M45" s="689">
        <v>20</v>
      </c>
      <c r="N45" s="194">
        <v>-0.7</v>
      </c>
      <c r="O45" s="195" t="s">
        <v>129</v>
      </c>
      <c r="P45" s="177">
        <f t="shared" ref="P45:P58" si="8">0.5*(MAX(N45:O45)-MIN(N45:O45))</f>
        <v>0</v>
      </c>
      <c r="Q45" s="173">
        <v>3.8</v>
      </c>
      <c r="R45" s="2"/>
    </row>
    <row r="46" spans="1:18" x14ac:dyDescent="0.25">
      <c r="A46" s="689">
        <v>40</v>
      </c>
      <c r="B46" s="194">
        <v>1.3</v>
      </c>
      <c r="C46" s="195" t="s">
        <v>129</v>
      </c>
      <c r="D46" s="177">
        <f t="shared" si="6"/>
        <v>0</v>
      </c>
      <c r="E46" s="173">
        <v>4</v>
      </c>
      <c r="G46" s="689">
        <v>40</v>
      </c>
      <c r="H46" s="194">
        <v>1.3</v>
      </c>
      <c r="I46" s="195" t="s">
        <v>129</v>
      </c>
      <c r="J46" s="177">
        <f t="shared" si="7"/>
        <v>0</v>
      </c>
      <c r="K46" s="173">
        <v>4</v>
      </c>
      <c r="M46" s="689">
        <v>40</v>
      </c>
      <c r="N46" s="194">
        <v>1.3</v>
      </c>
      <c r="O46" s="195" t="s">
        <v>129</v>
      </c>
      <c r="P46" s="177">
        <f t="shared" si="8"/>
        <v>0</v>
      </c>
      <c r="Q46" s="173">
        <v>4</v>
      </c>
      <c r="R46" s="2"/>
    </row>
    <row r="47" spans="1:18" x14ac:dyDescent="0.25">
      <c r="A47" s="689">
        <v>60</v>
      </c>
      <c r="B47" s="194">
        <v>3.5</v>
      </c>
      <c r="C47" s="195" t="s">
        <v>129</v>
      </c>
      <c r="D47" s="177">
        <f t="shared" si="6"/>
        <v>0</v>
      </c>
      <c r="E47" s="173">
        <v>4.2</v>
      </c>
      <c r="G47" s="689">
        <v>60</v>
      </c>
      <c r="H47" s="194">
        <v>3.5</v>
      </c>
      <c r="I47" s="195" t="s">
        <v>129</v>
      </c>
      <c r="J47" s="177">
        <f t="shared" si="7"/>
        <v>0</v>
      </c>
      <c r="K47" s="173">
        <v>4.2</v>
      </c>
      <c r="M47" s="689">
        <v>60</v>
      </c>
      <c r="N47" s="194">
        <v>3.5</v>
      </c>
      <c r="O47" s="195" t="s">
        <v>129</v>
      </c>
      <c r="P47" s="177">
        <f t="shared" si="8"/>
        <v>0</v>
      </c>
      <c r="Q47" s="173">
        <v>4.2</v>
      </c>
      <c r="R47" s="2"/>
    </row>
    <row r="48" spans="1:18" x14ac:dyDescent="0.25">
      <c r="A48" s="689">
        <v>80</v>
      </c>
      <c r="B48" s="194">
        <v>5.9</v>
      </c>
      <c r="C48" s="195" t="s">
        <v>129</v>
      </c>
      <c r="D48" s="177">
        <f t="shared" si="6"/>
        <v>0</v>
      </c>
      <c r="E48" s="173">
        <v>4.5</v>
      </c>
      <c r="G48" s="689">
        <v>80</v>
      </c>
      <c r="H48" s="194">
        <v>5.9</v>
      </c>
      <c r="I48" s="195" t="s">
        <v>129</v>
      </c>
      <c r="J48" s="177">
        <f t="shared" si="7"/>
        <v>0</v>
      </c>
      <c r="K48" s="173">
        <v>4.5</v>
      </c>
      <c r="M48" s="689">
        <v>80</v>
      </c>
      <c r="N48" s="194">
        <v>5.9</v>
      </c>
      <c r="O48" s="195" t="s">
        <v>129</v>
      </c>
      <c r="P48" s="177">
        <f t="shared" si="8"/>
        <v>0</v>
      </c>
      <c r="Q48" s="173">
        <v>4.5</v>
      </c>
      <c r="R48" s="2"/>
    </row>
    <row r="49" spans="1:18" x14ac:dyDescent="0.25">
      <c r="A49" s="689">
        <v>100</v>
      </c>
      <c r="B49" s="194">
        <v>8.5</v>
      </c>
      <c r="C49" s="195" t="s">
        <v>129</v>
      </c>
      <c r="D49" s="177">
        <f t="shared" si="6"/>
        <v>0</v>
      </c>
      <c r="E49" s="173">
        <v>4.8</v>
      </c>
      <c r="G49" s="689">
        <v>100</v>
      </c>
      <c r="H49" s="194">
        <v>8.5</v>
      </c>
      <c r="I49" s="195" t="s">
        <v>129</v>
      </c>
      <c r="J49" s="177">
        <f t="shared" si="7"/>
        <v>0</v>
      </c>
      <c r="K49" s="173">
        <v>4.8</v>
      </c>
      <c r="M49" s="689">
        <v>100</v>
      </c>
      <c r="N49" s="194">
        <v>8.5</v>
      </c>
      <c r="O49" s="195" t="s">
        <v>129</v>
      </c>
      <c r="P49" s="177">
        <f t="shared" si="8"/>
        <v>0</v>
      </c>
      <c r="Q49" s="173">
        <v>4.8</v>
      </c>
      <c r="R49" s="2"/>
    </row>
    <row r="50" spans="1:18" x14ac:dyDescent="0.25">
      <c r="A50" s="689">
        <v>150</v>
      </c>
      <c r="B50" s="194">
        <v>16</v>
      </c>
      <c r="C50" s="195" t="s">
        <v>129</v>
      </c>
      <c r="D50" s="177">
        <f t="shared" si="6"/>
        <v>0</v>
      </c>
      <c r="E50" s="173">
        <v>5.8</v>
      </c>
      <c r="G50" s="689">
        <v>150</v>
      </c>
      <c r="H50" s="194">
        <v>16</v>
      </c>
      <c r="I50" s="195" t="s">
        <v>129</v>
      </c>
      <c r="J50" s="177">
        <f t="shared" si="7"/>
        <v>0</v>
      </c>
      <c r="K50" s="173">
        <v>5.8</v>
      </c>
      <c r="M50" s="689">
        <v>150</v>
      </c>
      <c r="N50" s="194">
        <v>16</v>
      </c>
      <c r="O50" s="195" t="s">
        <v>129</v>
      </c>
      <c r="P50" s="177">
        <f t="shared" si="8"/>
        <v>0</v>
      </c>
      <c r="Q50" s="173">
        <v>5.8</v>
      </c>
      <c r="R50" s="2"/>
    </row>
    <row r="51" spans="1:18" x14ac:dyDescent="0.25">
      <c r="A51" s="689">
        <v>190</v>
      </c>
      <c r="B51" s="194">
        <v>22.9</v>
      </c>
      <c r="C51" s="195" t="s">
        <v>129</v>
      </c>
      <c r="D51" s="177">
        <f t="shared" si="6"/>
        <v>0</v>
      </c>
      <c r="E51" s="173">
        <v>6.7</v>
      </c>
      <c r="G51" s="689">
        <v>190</v>
      </c>
      <c r="H51" s="194">
        <v>22.9</v>
      </c>
      <c r="I51" s="195" t="s">
        <v>129</v>
      </c>
      <c r="J51" s="177">
        <f t="shared" si="7"/>
        <v>0</v>
      </c>
      <c r="K51" s="173">
        <v>6.7</v>
      </c>
      <c r="M51" s="689">
        <v>190</v>
      </c>
      <c r="N51" s="194">
        <v>22.9</v>
      </c>
      <c r="O51" s="195" t="s">
        <v>129</v>
      </c>
      <c r="P51" s="177">
        <f t="shared" si="8"/>
        <v>0</v>
      </c>
      <c r="Q51" s="173">
        <v>6.7</v>
      </c>
      <c r="R51" s="2"/>
    </row>
    <row r="52" spans="1:18" x14ac:dyDescent="0.25">
      <c r="A52" s="715">
        <v>200</v>
      </c>
      <c r="B52" s="193">
        <v>19</v>
      </c>
      <c r="C52" s="195" t="s">
        <v>129</v>
      </c>
      <c r="D52" s="178">
        <f t="shared" si="6"/>
        <v>0</v>
      </c>
      <c r="E52" s="174">
        <v>8</v>
      </c>
      <c r="G52" s="715">
        <v>200</v>
      </c>
      <c r="H52" s="193">
        <v>19</v>
      </c>
      <c r="I52" s="195" t="s">
        <v>129</v>
      </c>
      <c r="J52" s="178">
        <f t="shared" si="7"/>
        <v>0</v>
      </c>
      <c r="K52" s="174">
        <v>8</v>
      </c>
      <c r="M52" s="715">
        <v>200</v>
      </c>
      <c r="N52" s="193">
        <v>19</v>
      </c>
      <c r="O52" s="195" t="s">
        <v>129</v>
      </c>
      <c r="P52" s="178">
        <f t="shared" si="8"/>
        <v>0</v>
      </c>
      <c r="Q52" s="174">
        <v>8</v>
      </c>
      <c r="R52" s="2"/>
    </row>
    <row r="53" spans="1:18" x14ac:dyDescent="0.25">
      <c r="A53" s="588">
        <v>400</v>
      </c>
      <c r="B53" s="197">
        <v>48</v>
      </c>
      <c r="C53" s="195" t="s">
        <v>129</v>
      </c>
      <c r="D53" s="179">
        <f t="shared" si="6"/>
        <v>0</v>
      </c>
      <c r="E53" s="175">
        <v>13</v>
      </c>
      <c r="G53" s="588">
        <v>400</v>
      </c>
      <c r="H53" s="197">
        <v>48</v>
      </c>
      <c r="I53" s="195" t="s">
        <v>129</v>
      </c>
      <c r="J53" s="179">
        <f t="shared" si="7"/>
        <v>0</v>
      </c>
      <c r="K53" s="175">
        <v>13</v>
      </c>
      <c r="M53" s="588">
        <v>400</v>
      </c>
      <c r="N53" s="197">
        <v>48</v>
      </c>
      <c r="O53" s="195" t="s">
        <v>129</v>
      </c>
      <c r="P53" s="179">
        <f t="shared" si="8"/>
        <v>0</v>
      </c>
      <c r="Q53" s="175">
        <v>13</v>
      </c>
      <c r="R53" s="2"/>
    </row>
    <row r="54" spans="1:18" x14ac:dyDescent="0.25">
      <c r="A54" s="588">
        <v>600</v>
      </c>
      <c r="B54" s="197">
        <v>77</v>
      </c>
      <c r="C54" s="195" t="s">
        <v>129</v>
      </c>
      <c r="D54" s="177">
        <f t="shared" si="6"/>
        <v>0</v>
      </c>
      <c r="E54" s="175">
        <v>18</v>
      </c>
      <c r="G54" s="588">
        <v>600</v>
      </c>
      <c r="H54" s="197">
        <v>77</v>
      </c>
      <c r="I54" s="195" t="s">
        <v>129</v>
      </c>
      <c r="J54" s="177">
        <f t="shared" si="7"/>
        <v>0</v>
      </c>
      <c r="K54" s="175">
        <v>18</v>
      </c>
      <c r="M54" s="588">
        <v>600</v>
      </c>
      <c r="N54" s="197">
        <v>77</v>
      </c>
      <c r="O54" s="195" t="s">
        <v>129</v>
      </c>
      <c r="P54" s="177">
        <f t="shared" si="8"/>
        <v>0</v>
      </c>
      <c r="Q54" s="175">
        <v>18</v>
      </c>
      <c r="R54" s="2"/>
    </row>
    <row r="55" spans="1:18" x14ac:dyDescent="0.25">
      <c r="A55" s="588">
        <v>800</v>
      </c>
      <c r="B55" s="197">
        <v>111</v>
      </c>
      <c r="C55" s="195" t="s">
        <v>129</v>
      </c>
      <c r="D55" s="177">
        <f t="shared" si="6"/>
        <v>0</v>
      </c>
      <c r="E55" s="175">
        <v>24</v>
      </c>
      <c r="G55" s="588">
        <v>800</v>
      </c>
      <c r="H55" s="197">
        <v>111</v>
      </c>
      <c r="I55" s="195" t="s">
        <v>129</v>
      </c>
      <c r="J55" s="177">
        <f t="shared" si="7"/>
        <v>0</v>
      </c>
      <c r="K55" s="175">
        <v>24</v>
      </c>
      <c r="M55" s="588">
        <v>800</v>
      </c>
      <c r="N55" s="197">
        <v>111</v>
      </c>
      <c r="O55" s="195" t="s">
        <v>129</v>
      </c>
      <c r="P55" s="177">
        <f t="shared" si="8"/>
        <v>0</v>
      </c>
      <c r="Q55" s="175">
        <v>24</v>
      </c>
      <c r="R55" s="2"/>
    </row>
    <row r="56" spans="1:18" x14ac:dyDescent="0.25">
      <c r="A56" s="588">
        <v>1000</v>
      </c>
      <c r="B56" s="197">
        <v>138</v>
      </c>
      <c r="C56" s="195" t="s">
        <v>129</v>
      </c>
      <c r="D56" s="177">
        <f t="shared" si="6"/>
        <v>0</v>
      </c>
      <c r="E56" s="175">
        <v>29</v>
      </c>
      <c r="G56" s="588">
        <v>1000</v>
      </c>
      <c r="H56" s="197">
        <v>138</v>
      </c>
      <c r="I56" s="195" t="s">
        <v>129</v>
      </c>
      <c r="J56" s="177">
        <f t="shared" si="7"/>
        <v>0</v>
      </c>
      <c r="K56" s="175">
        <v>29</v>
      </c>
      <c r="M56" s="588">
        <v>1000</v>
      </c>
      <c r="N56" s="197">
        <v>138</v>
      </c>
      <c r="O56" s="195" t="s">
        <v>129</v>
      </c>
      <c r="P56" s="177">
        <f t="shared" si="8"/>
        <v>0</v>
      </c>
      <c r="Q56" s="175">
        <v>29</v>
      </c>
      <c r="R56" s="2"/>
    </row>
    <row r="57" spans="1:18" x14ac:dyDescent="0.25">
      <c r="A57" s="588">
        <v>1500</v>
      </c>
      <c r="B57" s="197">
        <v>214</v>
      </c>
      <c r="C57" s="195" t="s">
        <v>129</v>
      </c>
      <c r="D57" s="177">
        <f t="shared" si="6"/>
        <v>0</v>
      </c>
      <c r="E57" s="175">
        <v>44</v>
      </c>
      <c r="G57" s="588">
        <v>1500</v>
      </c>
      <c r="H57" s="197">
        <v>214</v>
      </c>
      <c r="I57" s="195" t="s">
        <v>129</v>
      </c>
      <c r="J57" s="177">
        <f t="shared" si="7"/>
        <v>0</v>
      </c>
      <c r="K57" s="175">
        <v>44</v>
      </c>
      <c r="M57" s="588">
        <v>1500</v>
      </c>
      <c r="N57" s="197">
        <v>214</v>
      </c>
      <c r="O57" s="195" t="s">
        <v>129</v>
      </c>
      <c r="P57" s="177">
        <f t="shared" si="8"/>
        <v>0</v>
      </c>
      <c r="Q57" s="175">
        <v>44</v>
      </c>
      <c r="R57" s="2"/>
    </row>
    <row r="58" spans="1:18" x14ac:dyDescent="0.25">
      <c r="A58" s="588">
        <v>1900</v>
      </c>
      <c r="B58" s="197">
        <v>275</v>
      </c>
      <c r="C58" s="195" t="s">
        <v>129</v>
      </c>
      <c r="D58" s="177">
        <f t="shared" si="6"/>
        <v>0</v>
      </c>
      <c r="E58" s="175">
        <v>55</v>
      </c>
      <c r="G58" s="588">
        <v>1900</v>
      </c>
      <c r="H58" s="197">
        <v>275</v>
      </c>
      <c r="I58" s="195" t="s">
        <v>129</v>
      </c>
      <c r="J58" s="177">
        <f t="shared" si="7"/>
        <v>0</v>
      </c>
      <c r="K58" s="175">
        <v>55</v>
      </c>
      <c r="M58" s="588">
        <v>1900</v>
      </c>
      <c r="N58" s="197">
        <v>275</v>
      </c>
      <c r="O58" s="195" t="s">
        <v>129</v>
      </c>
      <c r="P58" s="177">
        <f t="shared" si="8"/>
        <v>0</v>
      </c>
      <c r="Q58" s="175">
        <v>55</v>
      </c>
      <c r="R58" s="2"/>
    </row>
    <row r="59" spans="1:18" ht="13.8" thickBot="1" x14ac:dyDescent="0.3">
      <c r="A59" s="60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151"/>
    </row>
    <row r="60" spans="1:18" ht="13.8" x14ac:dyDescent="0.25">
      <c r="A60" s="1337">
        <v>10</v>
      </c>
      <c r="B60" s="1324"/>
      <c r="C60" s="1324"/>
      <c r="D60" s="1323" t="s">
        <v>123</v>
      </c>
      <c r="E60" s="1322" t="s">
        <v>124</v>
      </c>
      <c r="G60" s="1337">
        <v>11</v>
      </c>
      <c r="H60" s="1324"/>
      <c r="I60" s="1324"/>
      <c r="J60" s="1323" t="s">
        <v>123</v>
      </c>
      <c r="K60" s="1322" t="s">
        <v>124</v>
      </c>
      <c r="M60" s="1337">
        <v>12</v>
      </c>
      <c r="N60" s="1324"/>
      <c r="O60" s="1324"/>
      <c r="P60" s="1323" t="s">
        <v>123</v>
      </c>
      <c r="Q60" s="1322" t="s">
        <v>124</v>
      </c>
      <c r="R60" s="2"/>
    </row>
    <row r="61" spans="1:18" x14ac:dyDescent="0.25">
      <c r="A61" s="170" t="s">
        <v>62</v>
      </c>
      <c r="B61" s="1323" t="s">
        <v>127</v>
      </c>
      <c r="C61" s="1323"/>
      <c r="D61" s="1323"/>
      <c r="E61" s="1322"/>
      <c r="G61" s="170" t="s">
        <v>62</v>
      </c>
      <c r="H61" s="1323" t="s">
        <v>127</v>
      </c>
      <c r="I61" s="1323"/>
      <c r="J61" s="1323"/>
      <c r="K61" s="1322"/>
      <c r="M61" s="170" t="s">
        <v>62</v>
      </c>
      <c r="N61" s="1323" t="s">
        <v>127</v>
      </c>
      <c r="O61" s="1323"/>
      <c r="P61" s="1323"/>
      <c r="Q61" s="1322"/>
      <c r="R61" s="2"/>
    </row>
    <row r="62" spans="1:18" ht="14.4" x14ac:dyDescent="0.25">
      <c r="A62" s="164" t="s">
        <v>128</v>
      </c>
      <c r="B62" s="582">
        <v>2015</v>
      </c>
      <c r="C62" s="192" t="s">
        <v>129</v>
      </c>
      <c r="D62" s="1323"/>
      <c r="E62" s="1322"/>
      <c r="G62" s="164" t="s">
        <v>128</v>
      </c>
      <c r="H62" s="582">
        <v>2015</v>
      </c>
      <c r="I62" s="192" t="s">
        <v>129</v>
      </c>
      <c r="J62" s="1323"/>
      <c r="K62" s="1322"/>
      <c r="M62" s="164" t="s">
        <v>128</v>
      </c>
      <c r="N62" s="582">
        <v>2015</v>
      </c>
      <c r="O62" s="192" t="s">
        <v>129</v>
      </c>
      <c r="P62" s="1323"/>
      <c r="Q62" s="1322"/>
      <c r="R62" s="2"/>
    </row>
    <row r="63" spans="1:18" x14ac:dyDescent="0.25">
      <c r="A63" s="689">
        <v>20</v>
      </c>
      <c r="B63" s="194">
        <v>-0.7</v>
      </c>
      <c r="C63" s="195" t="s">
        <v>129</v>
      </c>
      <c r="D63" s="177">
        <f t="shared" ref="D63:D76" si="9">0.5*(MAX(B63:C63)-MIN(B63:C63))</f>
        <v>0</v>
      </c>
      <c r="E63" s="173">
        <v>3.8</v>
      </c>
      <c r="G63" s="689">
        <v>20</v>
      </c>
      <c r="H63" s="194">
        <v>-0.7</v>
      </c>
      <c r="I63" s="195" t="s">
        <v>129</v>
      </c>
      <c r="J63" s="177">
        <f t="shared" ref="J63:J76" si="10">0.5*(MAX(H63:I63)-MIN(H63:I63))</f>
        <v>0</v>
      </c>
      <c r="K63" s="173">
        <v>3.8</v>
      </c>
      <c r="M63" s="689">
        <v>20</v>
      </c>
      <c r="N63" s="194">
        <v>-0.7</v>
      </c>
      <c r="O63" s="195" t="s">
        <v>129</v>
      </c>
      <c r="P63" s="177">
        <f t="shared" ref="P63:P76" si="11">0.5*(MAX(N63:O63)-MIN(N63:O63))</f>
        <v>0</v>
      </c>
      <c r="Q63" s="173">
        <v>3.8</v>
      </c>
      <c r="R63" s="2"/>
    </row>
    <row r="64" spans="1:18" x14ac:dyDescent="0.25">
      <c r="A64" s="689">
        <v>40</v>
      </c>
      <c r="B64" s="194">
        <v>1.3</v>
      </c>
      <c r="C64" s="195" t="s">
        <v>129</v>
      </c>
      <c r="D64" s="177">
        <f t="shared" si="9"/>
        <v>0</v>
      </c>
      <c r="E64" s="173">
        <v>4</v>
      </c>
      <c r="G64" s="689">
        <v>40</v>
      </c>
      <c r="H64" s="194">
        <v>1.3</v>
      </c>
      <c r="I64" s="195" t="s">
        <v>129</v>
      </c>
      <c r="J64" s="177">
        <f t="shared" si="10"/>
        <v>0</v>
      </c>
      <c r="K64" s="173">
        <v>4</v>
      </c>
      <c r="M64" s="689">
        <v>40</v>
      </c>
      <c r="N64" s="194">
        <v>1.3</v>
      </c>
      <c r="O64" s="195" t="s">
        <v>129</v>
      </c>
      <c r="P64" s="177">
        <f t="shared" si="11"/>
        <v>0</v>
      </c>
      <c r="Q64" s="173">
        <v>4</v>
      </c>
      <c r="R64" s="2"/>
    </row>
    <row r="65" spans="1:18" x14ac:dyDescent="0.25">
      <c r="A65" s="689">
        <v>60</v>
      </c>
      <c r="B65" s="194">
        <v>3.5</v>
      </c>
      <c r="C65" s="195" t="s">
        <v>129</v>
      </c>
      <c r="D65" s="177">
        <f t="shared" si="9"/>
        <v>0</v>
      </c>
      <c r="E65" s="173">
        <v>4.2</v>
      </c>
      <c r="G65" s="689">
        <v>60</v>
      </c>
      <c r="H65" s="194">
        <v>3.5</v>
      </c>
      <c r="I65" s="195" t="s">
        <v>129</v>
      </c>
      <c r="J65" s="177">
        <f t="shared" si="10"/>
        <v>0</v>
      </c>
      <c r="K65" s="173">
        <v>4.2</v>
      </c>
      <c r="M65" s="689">
        <v>60</v>
      </c>
      <c r="N65" s="194">
        <v>3.5</v>
      </c>
      <c r="O65" s="195" t="s">
        <v>129</v>
      </c>
      <c r="P65" s="177">
        <f t="shared" si="11"/>
        <v>0</v>
      </c>
      <c r="Q65" s="173">
        <v>4.2</v>
      </c>
      <c r="R65" s="2"/>
    </row>
    <row r="66" spans="1:18" x14ac:dyDescent="0.25">
      <c r="A66" s="689">
        <v>80</v>
      </c>
      <c r="B66" s="194">
        <v>5.9</v>
      </c>
      <c r="C66" s="195" t="s">
        <v>129</v>
      </c>
      <c r="D66" s="177">
        <f t="shared" si="9"/>
        <v>0</v>
      </c>
      <c r="E66" s="173">
        <v>4.5</v>
      </c>
      <c r="G66" s="689">
        <v>80</v>
      </c>
      <c r="H66" s="194">
        <v>5.9</v>
      </c>
      <c r="I66" s="195" t="s">
        <v>129</v>
      </c>
      <c r="J66" s="177">
        <f t="shared" si="10"/>
        <v>0</v>
      </c>
      <c r="K66" s="173">
        <v>4.5</v>
      </c>
      <c r="M66" s="689">
        <v>80</v>
      </c>
      <c r="N66" s="194">
        <v>5.9</v>
      </c>
      <c r="O66" s="195" t="s">
        <v>129</v>
      </c>
      <c r="P66" s="177">
        <f t="shared" si="11"/>
        <v>0</v>
      </c>
      <c r="Q66" s="173">
        <v>4.5</v>
      </c>
      <c r="R66" s="2"/>
    </row>
    <row r="67" spans="1:18" x14ac:dyDescent="0.25">
      <c r="A67" s="689">
        <v>100</v>
      </c>
      <c r="B67" s="194">
        <v>8.5</v>
      </c>
      <c r="C67" s="195" t="s">
        <v>129</v>
      </c>
      <c r="D67" s="177">
        <f t="shared" si="9"/>
        <v>0</v>
      </c>
      <c r="E67" s="173">
        <v>4.8</v>
      </c>
      <c r="G67" s="689">
        <v>100</v>
      </c>
      <c r="H67" s="194">
        <v>8.5</v>
      </c>
      <c r="I67" s="195" t="s">
        <v>129</v>
      </c>
      <c r="J67" s="177">
        <f t="shared" si="10"/>
        <v>0</v>
      </c>
      <c r="K67" s="173">
        <v>4.8</v>
      </c>
      <c r="M67" s="689">
        <v>100</v>
      </c>
      <c r="N67" s="194">
        <v>8.5</v>
      </c>
      <c r="O67" s="195" t="s">
        <v>129</v>
      </c>
      <c r="P67" s="177">
        <f t="shared" si="11"/>
        <v>0</v>
      </c>
      <c r="Q67" s="173">
        <v>4.8</v>
      </c>
      <c r="R67" s="2"/>
    </row>
    <row r="68" spans="1:18" x14ac:dyDescent="0.25">
      <c r="A68" s="689">
        <v>150</v>
      </c>
      <c r="B68" s="194">
        <v>16</v>
      </c>
      <c r="C68" s="195" t="s">
        <v>129</v>
      </c>
      <c r="D68" s="177">
        <f t="shared" si="9"/>
        <v>0</v>
      </c>
      <c r="E68" s="173">
        <v>5.8</v>
      </c>
      <c r="G68" s="689">
        <v>150</v>
      </c>
      <c r="H68" s="194">
        <v>16</v>
      </c>
      <c r="I68" s="195" t="s">
        <v>129</v>
      </c>
      <c r="J68" s="177">
        <f t="shared" si="10"/>
        <v>0</v>
      </c>
      <c r="K68" s="173">
        <v>5.8</v>
      </c>
      <c r="M68" s="689">
        <v>150</v>
      </c>
      <c r="N68" s="194">
        <v>16</v>
      </c>
      <c r="O68" s="195" t="s">
        <v>129</v>
      </c>
      <c r="P68" s="177">
        <f t="shared" si="11"/>
        <v>0</v>
      </c>
      <c r="Q68" s="173">
        <v>5.8</v>
      </c>
      <c r="R68" s="2"/>
    </row>
    <row r="69" spans="1:18" x14ac:dyDescent="0.25">
      <c r="A69" s="689">
        <v>190</v>
      </c>
      <c r="B69" s="194">
        <v>22.9</v>
      </c>
      <c r="C69" s="195" t="s">
        <v>129</v>
      </c>
      <c r="D69" s="177">
        <f t="shared" si="9"/>
        <v>0</v>
      </c>
      <c r="E69" s="173">
        <v>6.7</v>
      </c>
      <c r="G69" s="689">
        <v>190</v>
      </c>
      <c r="H69" s="194">
        <v>22.9</v>
      </c>
      <c r="I69" s="195" t="s">
        <v>129</v>
      </c>
      <c r="J69" s="177">
        <f t="shared" si="10"/>
        <v>0</v>
      </c>
      <c r="K69" s="173">
        <v>6.7</v>
      </c>
      <c r="M69" s="689">
        <v>190</v>
      </c>
      <c r="N69" s="194">
        <v>22.9</v>
      </c>
      <c r="O69" s="195" t="s">
        <v>129</v>
      </c>
      <c r="P69" s="177">
        <f t="shared" si="11"/>
        <v>0</v>
      </c>
      <c r="Q69" s="173">
        <v>6.7</v>
      </c>
      <c r="R69" s="2"/>
    </row>
    <row r="70" spans="1:18" ht="13.5" customHeight="1" x14ac:dyDescent="0.25">
      <c r="A70" s="715">
        <v>200</v>
      </c>
      <c r="B70" s="193">
        <v>19</v>
      </c>
      <c r="C70" s="195" t="s">
        <v>129</v>
      </c>
      <c r="D70" s="178">
        <f t="shared" si="9"/>
        <v>0</v>
      </c>
      <c r="E70" s="174">
        <v>8</v>
      </c>
      <c r="G70" s="715">
        <v>200</v>
      </c>
      <c r="H70" s="193">
        <v>19</v>
      </c>
      <c r="I70" s="195" t="s">
        <v>129</v>
      </c>
      <c r="J70" s="178">
        <f t="shared" si="10"/>
        <v>0</v>
      </c>
      <c r="K70" s="174">
        <v>8</v>
      </c>
      <c r="M70" s="715">
        <v>200</v>
      </c>
      <c r="N70" s="193">
        <v>19</v>
      </c>
      <c r="O70" s="195" t="s">
        <v>129</v>
      </c>
      <c r="P70" s="178">
        <f t="shared" si="11"/>
        <v>0</v>
      </c>
      <c r="Q70" s="174">
        <v>8</v>
      </c>
      <c r="R70" s="722"/>
    </row>
    <row r="71" spans="1:18" x14ac:dyDescent="0.25">
      <c r="A71" s="588">
        <v>400</v>
      </c>
      <c r="B71" s="197">
        <v>48</v>
      </c>
      <c r="C71" s="195" t="s">
        <v>129</v>
      </c>
      <c r="D71" s="179">
        <f t="shared" si="9"/>
        <v>0</v>
      </c>
      <c r="E71" s="175">
        <v>13</v>
      </c>
      <c r="G71" s="588">
        <v>400</v>
      </c>
      <c r="H71" s="197">
        <v>48</v>
      </c>
      <c r="I71" s="195" t="s">
        <v>129</v>
      </c>
      <c r="J71" s="179">
        <f t="shared" si="10"/>
        <v>0</v>
      </c>
      <c r="K71" s="175">
        <v>13</v>
      </c>
      <c r="M71" s="588">
        <v>400</v>
      </c>
      <c r="N71" s="197">
        <v>48</v>
      </c>
      <c r="O71" s="195" t="s">
        <v>129</v>
      </c>
      <c r="P71" s="179">
        <f t="shared" si="11"/>
        <v>0</v>
      </c>
      <c r="Q71" s="175">
        <v>13</v>
      </c>
      <c r="R71" s="2"/>
    </row>
    <row r="72" spans="1:18" x14ac:dyDescent="0.25">
      <c r="A72" s="588">
        <v>600</v>
      </c>
      <c r="B72" s="197">
        <v>77</v>
      </c>
      <c r="C72" s="195" t="s">
        <v>129</v>
      </c>
      <c r="D72" s="177">
        <f t="shared" si="9"/>
        <v>0</v>
      </c>
      <c r="E72" s="175">
        <v>18</v>
      </c>
      <c r="G72" s="588">
        <v>600</v>
      </c>
      <c r="H72" s="197">
        <v>77</v>
      </c>
      <c r="I72" s="195" t="s">
        <v>129</v>
      </c>
      <c r="J72" s="177">
        <f t="shared" si="10"/>
        <v>0</v>
      </c>
      <c r="K72" s="175">
        <v>18</v>
      </c>
      <c r="M72" s="588">
        <v>600</v>
      </c>
      <c r="N72" s="197">
        <v>77</v>
      </c>
      <c r="O72" s="195" t="s">
        <v>129</v>
      </c>
      <c r="P72" s="177">
        <f t="shared" si="11"/>
        <v>0</v>
      </c>
      <c r="Q72" s="175">
        <v>18</v>
      </c>
      <c r="R72" s="2"/>
    </row>
    <row r="73" spans="1:18" x14ac:dyDescent="0.25">
      <c r="A73" s="588">
        <v>800</v>
      </c>
      <c r="B73" s="197">
        <v>111</v>
      </c>
      <c r="C73" s="195" t="s">
        <v>129</v>
      </c>
      <c r="D73" s="177">
        <f t="shared" si="9"/>
        <v>0</v>
      </c>
      <c r="E73" s="175">
        <v>24</v>
      </c>
      <c r="G73" s="588">
        <v>800</v>
      </c>
      <c r="H73" s="197">
        <v>111</v>
      </c>
      <c r="I73" s="195" t="s">
        <v>129</v>
      </c>
      <c r="J73" s="177">
        <f t="shared" si="10"/>
        <v>0</v>
      </c>
      <c r="K73" s="175">
        <v>24</v>
      </c>
      <c r="M73" s="588">
        <v>800</v>
      </c>
      <c r="N73" s="197">
        <v>111</v>
      </c>
      <c r="O73" s="195" t="s">
        <v>129</v>
      </c>
      <c r="P73" s="177">
        <f t="shared" si="11"/>
        <v>0</v>
      </c>
      <c r="Q73" s="175">
        <v>24</v>
      </c>
      <c r="R73" s="2"/>
    </row>
    <row r="74" spans="1:18" x14ac:dyDescent="0.25">
      <c r="A74" s="588">
        <v>1000</v>
      </c>
      <c r="B74" s="197">
        <v>138</v>
      </c>
      <c r="C74" s="195" t="s">
        <v>129</v>
      </c>
      <c r="D74" s="177">
        <f t="shared" si="9"/>
        <v>0</v>
      </c>
      <c r="E74" s="175">
        <v>29</v>
      </c>
      <c r="G74" s="588">
        <v>1000</v>
      </c>
      <c r="H74" s="197">
        <v>138</v>
      </c>
      <c r="I74" s="195" t="s">
        <v>129</v>
      </c>
      <c r="J74" s="177">
        <f t="shared" si="10"/>
        <v>0</v>
      </c>
      <c r="K74" s="175">
        <v>29</v>
      </c>
      <c r="M74" s="588">
        <v>1000</v>
      </c>
      <c r="N74" s="197">
        <v>138</v>
      </c>
      <c r="O74" s="195" t="s">
        <v>129</v>
      </c>
      <c r="P74" s="177">
        <f t="shared" si="11"/>
        <v>0</v>
      </c>
      <c r="Q74" s="175">
        <v>29</v>
      </c>
      <c r="R74" s="2"/>
    </row>
    <row r="75" spans="1:18" x14ac:dyDescent="0.25">
      <c r="A75" s="588">
        <v>1500</v>
      </c>
      <c r="B75" s="197">
        <v>214</v>
      </c>
      <c r="C75" s="195" t="s">
        <v>129</v>
      </c>
      <c r="D75" s="177">
        <f t="shared" si="9"/>
        <v>0</v>
      </c>
      <c r="E75" s="175">
        <v>44</v>
      </c>
      <c r="G75" s="588">
        <v>1500</v>
      </c>
      <c r="H75" s="197">
        <v>214</v>
      </c>
      <c r="I75" s="195" t="s">
        <v>129</v>
      </c>
      <c r="J75" s="177">
        <f t="shared" si="10"/>
        <v>0</v>
      </c>
      <c r="K75" s="175">
        <v>44</v>
      </c>
      <c r="M75" s="588">
        <v>1500</v>
      </c>
      <c r="N75" s="197">
        <v>214</v>
      </c>
      <c r="O75" s="195" t="s">
        <v>129</v>
      </c>
      <c r="P75" s="177">
        <f t="shared" si="11"/>
        <v>0</v>
      </c>
      <c r="Q75" s="175">
        <v>44</v>
      </c>
      <c r="R75" s="2"/>
    </row>
    <row r="76" spans="1:18" x14ac:dyDescent="0.25">
      <c r="A76" s="588">
        <v>1900</v>
      </c>
      <c r="B76" s="197">
        <v>275</v>
      </c>
      <c r="C76" s="195" t="s">
        <v>129</v>
      </c>
      <c r="D76" s="177">
        <f t="shared" si="9"/>
        <v>0</v>
      </c>
      <c r="E76" s="175">
        <v>55</v>
      </c>
      <c r="G76" s="588">
        <v>1900</v>
      </c>
      <c r="H76" s="197">
        <v>275</v>
      </c>
      <c r="I76" s="195" t="s">
        <v>129</v>
      </c>
      <c r="J76" s="177">
        <f t="shared" si="10"/>
        <v>0</v>
      </c>
      <c r="K76" s="175">
        <v>55</v>
      </c>
      <c r="M76" s="588">
        <v>1900</v>
      </c>
      <c r="N76" s="197">
        <v>275</v>
      </c>
      <c r="O76" s="195" t="s">
        <v>129</v>
      </c>
      <c r="P76" s="177">
        <f t="shared" si="11"/>
        <v>0</v>
      </c>
      <c r="Q76" s="175">
        <v>55</v>
      </c>
      <c r="R76" s="2"/>
    </row>
    <row r="77" spans="1:18" ht="13.8" thickBot="1" x14ac:dyDescent="0.3">
      <c r="A77" s="60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151"/>
    </row>
    <row r="80" spans="1:18" x14ac:dyDescent="0.25">
      <c r="A80" s="1335" t="s">
        <v>135</v>
      </c>
      <c r="B80" s="1336"/>
      <c r="G80" s="166" t="s">
        <v>136</v>
      </c>
      <c r="H80" s="166" t="s">
        <v>137</v>
      </c>
    </row>
    <row r="81" spans="1:18" x14ac:dyDescent="0.25">
      <c r="A81" s="163" t="s">
        <v>138</v>
      </c>
      <c r="B81" s="224">
        <f>ID!K32</f>
        <v>8</v>
      </c>
      <c r="C81" s="763">
        <f>B110</f>
        <v>8</v>
      </c>
      <c r="D81" s="223">
        <f>(((((-0.9)-(-0.2))*(21-15.8))/(497.4-15.8))+(-0.2))</f>
        <v>-0.20755813953488372</v>
      </c>
      <c r="E81" s="876">
        <f>B81+B82</f>
        <v>12.714982976646981</v>
      </c>
      <c r="G81" s="152">
        <f>INTERCEPT(B90:B103,A90:A103)</f>
        <v>3.6688980045585424</v>
      </c>
      <c r="H81">
        <f>INTERCEPT(E90:E103,A90:A103)</f>
        <v>5.3301356378519067</v>
      </c>
    </row>
    <row r="82" spans="1:18" x14ac:dyDescent="0.25">
      <c r="A82" s="212" t="s">
        <v>128</v>
      </c>
      <c r="B82" s="220">
        <f>FORECAST(B81,B90:B104,A90:A104)</f>
        <v>4.7149829766469811</v>
      </c>
      <c r="C82" s="274">
        <v>0</v>
      </c>
      <c r="G82" s="152">
        <f>SLOPE(B90:B103,A90:A103)</f>
        <v>0.18186582783184382</v>
      </c>
      <c r="H82">
        <f>SLOPE(E90:E103,A90:A103)</f>
        <v>2.5067912083817236E-2</v>
      </c>
    </row>
    <row r="83" spans="1:18" x14ac:dyDescent="0.25">
      <c r="A83" s="212" t="s">
        <v>139</v>
      </c>
      <c r="B83" s="220">
        <f>FORECAST(E81,D90:D104,A90:A104)</f>
        <v>-1.4819541901637587</v>
      </c>
      <c r="C83" s="274">
        <v>0</v>
      </c>
    </row>
    <row r="84" spans="1:18" x14ac:dyDescent="0.25">
      <c r="A84" s="212" t="s">
        <v>137</v>
      </c>
      <c r="B84" s="220">
        <f>FORECAST(E81,E90:E104,A90:A104)</f>
        <v>5.0573517127056471</v>
      </c>
      <c r="C84" s="274">
        <v>0</v>
      </c>
    </row>
    <row r="86" spans="1:18" ht="13.8" thickBot="1" x14ac:dyDescent="0.3"/>
    <row r="87" spans="1:18" ht="13.8" thickBot="1" x14ac:dyDescent="0.3">
      <c r="A87" s="1339" t="str">
        <f>ID!B53</f>
        <v>Digital Lux Meter, Merek : EXTECH, Model : Easy View 30, SN : 110705875</v>
      </c>
      <c r="B87" s="1340"/>
      <c r="C87" s="1340"/>
      <c r="D87" s="1340"/>
      <c r="E87" s="1341"/>
      <c r="F87" s="718"/>
      <c r="O87" s="721"/>
      <c r="P87" s="721"/>
      <c r="Q87" s="721"/>
      <c r="R87" s="165"/>
    </row>
    <row r="88" spans="1:18" ht="13.5" customHeight="1" thickBot="1" x14ac:dyDescent="0.3">
      <c r="A88" s="719" t="str">
        <f>IF($A$87=$A$116,A3,IF($A$87=$A$117,G3,IF($A$87=$A$118,M3,IF($A$87=$A$119,A23,IF($A$87=$A$120,G23,IF($A$87=$A$121,M23,IF($A$87=$A$122,A43,IF($A$87=$A$123,G43,IF($A$87=$A$124,M43,IF($A$87=$A$125,A61,IF($A$87=$A$126,G61,M61)))))))))))</f>
        <v>Illumination</v>
      </c>
      <c r="B88" s="1325" t="str">
        <f>IF($A$87=$A$116,B3,IF($A$87=$A$117,H3,IF($A$87=$A$118,N3,IF($A$87=$A$119,B23,IF($A$87=$A$120,H23,IF($A$87=$A$121,N23,IF($A$87=$A$122,B43,IF($A$87=$A$123,H43,IF($A$87=$A$124,N43,IF($A$87=$A$125,B61,IF($A$87=$A$126,H61,N61)))))))))))</f>
        <v>Tahun</v>
      </c>
      <c r="C88" s="1325"/>
      <c r="D88" s="1325" t="s">
        <v>123</v>
      </c>
      <c r="E88" s="1325" t="s">
        <v>124</v>
      </c>
      <c r="F88" s="717"/>
      <c r="O88" s="165"/>
      <c r="P88" s="165"/>
      <c r="Q88" s="165"/>
      <c r="R88" s="165"/>
    </row>
    <row r="89" spans="1:18" ht="13.8" thickBot="1" x14ac:dyDescent="0.3">
      <c r="A89" s="1005" t="str">
        <f>IF($A$87=$A$116,A4,IF($A$87=$A$117,G4,IF($A$87=$A$118,M4,IF($A$87=$A$119,A24,IF($A$87=$A$120,G24,IF($A$87=$A$121,M24,IF($A$87=$A$122,A44,IF($A$87=$A$123,G44,IF($A$87=$A$124,M44,IF($A$87=$A$125,A62,IF($A$87=$A$126,G62,M62)))))))))))</f>
        <v>Lux</v>
      </c>
      <c r="B89" s="1005">
        <f>IF($A$87=$A$116,B4,IF($A$87=$A$117,H4,IF($A$87=$A$118,N4,IF($A$87=$A$119,B24,IF($A$87=$A$120,H24,IF($A$87=$A$121,N24,IF($A$87=$A$122,B44,IF($A$87=$A$123,H44,IF($A$87=$A$124,N44,IF($A$87=$A$125,B62,IF($A$87=$A$126,H62,N62)))))))))))</f>
        <v>2015</v>
      </c>
      <c r="C89" s="1005">
        <f>IF($A$87=$A$116,C4,IF($A$87=$A$117,I4,IF($A$87=$A$118,O4,IF($A$87=$A$119,C24,IF($A$87=$A$120,I24,IF($A$87=$A$121,O24,IF($A$87=$A$122,C44,IF($A$87=$A$123,I44,IF($A$87=$A$124,O44,IF($A$87=$A$125,C62,IF($A$87=$A$126,I62,O62)))))))))))</f>
        <v>2014</v>
      </c>
      <c r="D89" s="1325"/>
      <c r="E89" s="1325"/>
      <c r="F89" s="717"/>
    </row>
    <row r="90" spans="1:18" ht="13.8" thickBot="1" x14ac:dyDescent="0.3">
      <c r="A90" s="1005">
        <f t="shared" ref="A90:C90" si="12">IF($A$87=$A$116,A5,IF($A$87=$A$117,G5,IF($A$87=$A$118,M5,IF($A$87=$A$119,A25,IF($A$87=$A$120,G25,IF($A$87=$A$121,M25,IF($A$87=$A$122,A45,IF($A$87=$A$123,G45,IF($A$87=$A$124,M45,IF($A$87=$A$125,A63,IF($A$87=$A$126,G63,M63)))))))))))</f>
        <v>20</v>
      </c>
      <c r="B90" s="1005">
        <f t="shared" si="12"/>
        <v>5.9</v>
      </c>
      <c r="C90" s="1005" t="str">
        <f t="shared" si="12"/>
        <v>-</v>
      </c>
      <c r="D90" s="1005">
        <f t="shared" ref="D90:D104" si="13">IF($A$87=$A$116,D5,IF($A$87=$A$117,J5,IF($A$87=$A$118,P5,IF($A$87=$A$119,D25,IF($A$87=$A$120,J25,IF($A$87=$A$121,P25,IF($A$87=$A$122,D45,IF($A$87=$A$123,J45,IF($A$87=$A$124,P45,IF($A$87=$A$125,D63,IF($A$87=$A$126,J63,P63)))))))))))</f>
        <v>0</v>
      </c>
      <c r="E90" s="1005">
        <f t="shared" ref="E90:E104" si="14">IF($A$87=$A$116,E5,IF($A$87=$A$117,K5,IF($A$87=$A$118,Q5,IF($A$87=$A$119,E25,IF($A$87=$A$120,K25,IF($A$87=$A$121,Q25,IF($A$87=$A$122,E45,IF($A$87=$A$123,K45,IF($A$87=$A$124,Q45,IF($A$87=$A$125,E63,IF($A$87=$A$126,K63,Q63)))))))))))</f>
        <v>8.4</v>
      </c>
      <c r="F90" s="717"/>
    </row>
    <row r="91" spans="1:18" ht="13.8" thickBot="1" x14ac:dyDescent="0.3">
      <c r="A91" s="1005">
        <f t="shared" ref="A91:C91" si="15">IF($A$87=$A$116,A6,IF($A$87=$A$117,G6,IF($A$87=$A$118,M6,IF($A$87=$A$119,A26,IF($A$87=$A$120,G26,IF($A$87=$A$121,M26,IF($A$87=$A$122,A46,IF($A$87=$A$123,G46,IF($A$87=$A$124,M46,IF($A$87=$A$125,A64,IF($A$87=$A$126,G64,M64)))))))))))</f>
        <v>40</v>
      </c>
      <c r="B91" s="1005">
        <f t="shared" si="15"/>
        <v>9.8000000000000007</v>
      </c>
      <c r="C91" s="1005" t="str">
        <f t="shared" si="15"/>
        <v>-</v>
      </c>
      <c r="D91" s="1005">
        <f t="shared" si="13"/>
        <v>0</v>
      </c>
      <c r="E91" s="1005">
        <f t="shared" si="14"/>
        <v>8.4</v>
      </c>
      <c r="F91" s="717"/>
    </row>
    <row r="92" spans="1:18" ht="13.8" thickBot="1" x14ac:dyDescent="0.3">
      <c r="A92" s="1005">
        <f t="shared" ref="A92:C92" si="16">IF($A$87=$A$116,A7,IF($A$87=$A$117,G7,IF($A$87=$A$118,M7,IF($A$87=$A$119,A27,IF($A$87=$A$120,G27,IF($A$87=$A$121,M27,IF($A$87=$A$122,A47,IF($A$87=$A$123,G47,IF($A$87=$A$124,M47,IF($A$87=$A$125,A65,IF($A$87=$A$126,G65,M65)))))))))))</f>
        <v>60</v>
      </c>
      <c r="B92" s="1005">
        <f t="shared" si="16"/>
        <v>14</v>
      </c>
      <c r="C92" s="1005" t="str">
        <f t="shared" si="16"/>
        <v>-</v>
      </c>
      <c r="D92" s="1005">
        <f t="shared" si="13"/>
        <v>0</v>
      </c>
      <c r="E92" s="1005">
        <f t="shared" si="14"/>
        <v>8.5</v>
      </c>
      <c r="F92" s="717"/>
    </row>
    <row r="93" spans="1:18" ht="13.8" thickBot="1" x14ac:dyDescent="0.3">
      <c r="A93" s="1005">
        <f t="shared" ref="A93:C93" si="17">IF($A$87=$A$116,A8,IF($A$87=$A$117,G8,IF($A$87=$A$118,M8,IF($A$87=$A$119,A28,IF($A$87=$A$120,G28,IF($A$87=$A$121,M28,IF($A$87=$A$122,A48,IF($A$87=$A$123,G48,IF($A$87=$A$124,M48,IF($A$87=$A$125,A66,IF($A$87=$A$126,G66,M66)))))))))))</f>
        <v>80</v>
      </c>
      <c r="B93" s="1005">
        <f t="shared" si="17"/>
        <v>18.399999999999999</v>
      </c>
      <c r="C93" s="1005" t="str">
        <f t="shared" si="17"/>
        <v>-</v>
      </c>
      <c r="D93" s="1005">
        <f t="shared" si="13"/>
        <v>0</v>
      </c>
      <c r="E93" s="1005">
        <f t="shared" si="14"/>
        <v>8.6</v>
      </c>
      <c r="F93" s="717"/>
    </row>
    <row r="94" spans="1:18" ht="13.8" thickBot="1" x14ac:dyDescent="0.3">
      <c r="A94" s="1005">
        <f t="shared" ref="A94:C94" si="18">IF($A$87=$A$116,A9,IF($A$87=$A$117,G9,IF($A$87=$A$118,M9,IF($A$87=$A$119,A29,IF($A$87=$A$120,G29,IF($A$87=$A$121,M29,IF($A$87=$A$122,A49,IF($A$87=$A$123,G49,IF($A$87=$A$124,M49,IF($A$87=$A$125,A67,IF($A$87=$A$126,G67,M67)))))))))))</f>
        <v>100</v>
      </c>
      <c r="B94" s="1005">
        <f t="shared" si="18"/>
        <v>23.2</v>
      </c>
      <c r="C94" s="1005" t="str">
        <f t="shared" si="18"/>
        <v>-</v>
      </c>
      <c r="D94" s="1005">
        <f t="shared" si="13"/>
        <v>0</v>
      </c>
      <c r="E94" s="1005">
        <f t="shared" si="14"/>
        <v>8.8000000000000007</v>
      </c>
      <c r="F94" s="717"/>
    </row>
    <row r="95" spans="1:18" ht="13.8" thickBot="1" x14ac:dyDescent="0.3">
      <c r="A95" s="1005">
        <f t="shared" ref="A95:C95" si="19">IF($A$87=$A$116,A10,IF($A$87=$A$117,G10,IF($A$87=$A$118,M10,IF($A$87=$A$119,A30,IF($A$87=$A$120,G30,IF($A$87=$A$121,M30,IF($A$87=$A$122,A50,IF($A$87=$A$123,G50,IF($A$87=$A$124,M50,IF($A$87=$A$125,A68,IF($A$87=$A$126,G68,M68)))))))))))</f>
        <v>150</v>
      </c>
      <c r="B95" s="1005">
        <f t="shared" si="19"/>
        <v>36.299999999999997</v>
      </c>
      <c r="C95" s="1005" t="str">
        <f t="shared" si="19"/>
        <v>-</v>
      </c>
      <c r="D95" s="1005">
        <f t="shared" si="13"/>
        <v>0</v>
      </c>
      <c r="E95" s="1005">
        <f t="shared" si="14"/>
        <v>9.4</v>
      </c>
      <c r="F95" s="717"/>
    </row>
    <row r="96" spans="1:18" ht="13.8" thickBot="1" x14ac:dyDescent="0.3">
      <c r="A96" s="1005">
        <f t="shared" ref="A96:C96" si="20">IF($A$87=$A$116,A11,IF($A$87=$A$117,G11,IF($A$87=$A$118,M11,IF($A$87=$A$119,A31,IF($A$87=$A$120,G31,IF($A$87=$A$121,M31,IF($A$87=$A$122,A51,IF($A$87=$A$123,G51,IF($A$87=$A$124,M51,IF($A$87=$A$125,A69,IF($A$87=$A$126,G69,M69)))))))))))</f>
        <v>190</v>
      </c>
      <c r="B96" s="1005">
        <f t="shared" si="20"/>
        <v>48.1</v>
      </c>
      <c r="C96" s="1005" t="str">
        <f t="shared" si="20"/>
        <v>-</v>
      </c>
      <c r="D96" s="1005">
        <f t="shared" si="13"/>
        <v>0</v>
      </c>
      <c r="E96" s="1005">
        <f t="shared" si="14"/>
        <v>10</v>
      </c>
      <c r="F96" s="717"/>
    </row>
    <row r="97" spans="1:6" ht="13.8" thickBot="1" x14ac:dyDescent="0.3">
      <c r="A97" s="1005">
        <f t="shared" ref="A97:C97" si="21">IF($A$87=$A$116,A12,IF($A$87=$A$117,G12,IF($A$87=$A$118,M12,IF($A$87=$A$119,A32,IF($A$87=$A$120,G32,IF($A$87=$A$121,M32,IF($A$87=$A$122,A52,IF($A$87=$A$123,G52,IF($A$87=$A$124,M52,IF($A$87=$A$125,A70,IF($A$87=$A$126,G70,M70)))))))))))</f>
        <v>200</v>
      </c>
      <c r="B97" s="1005">
        <f t="shared" si="21"/>
        <v>39</v>
      </c>
      <c r="C97" s="1005">
        <f t="shared" si="21"/>
        <v>23</v>
      </c>
      <c r="D97" s="1005">
        <f t="shared" si="13"/>
        <v>8</v>
      </c>
      <c r="E97" s="1005">
        <f t="shared" si="14"/>
        <v>7</v>
      </c>
      <c r="F97" s="717"/>
    </row>
    <row r="98" spans="1:6" ht="13.8" thickBot="1" x14ac:dyDescent="0.3">
      <c r="A98" s="1005">
        <f t="shared" ref="A98:C98" si="22">IF($A$87=$A$116,A13,IF($A$87=$A$117,G13,IF($A$87=$A$118,M13,IF($A$87=$A$119,A33,IF($A$87=$A$120,G33,IF($A$87=$A$121,M33,IF($A$87=$A$122,A53,IF($A$87=$A$123,G53,IF($A$87=$A$124,M53,IF($A$87=$A$125,A71,IF($A$87=$A$126,G71,M71)))))))))))</f>
        <v>400</v>
      </c>
      <c r="B98" s="1005">
        <f t="shared" si="22"/>
        <v>72</v>
      </c>
      <c r="C98" s="1005">
        <f t="shared" si="22"/>
        <v>40</v>
      </c>
      <c r="D98" s="1005">
        <f t="shared" si="13"/>
        <v>16</v>
      </c>
      <c r="E98" s="1005">
        <f t="shared" si="14"/>
        <v>12</v>
      </c>
      <c r="F98" s="717"/>
    </row>
    <row r="99" spans="1:6" ht="13.8" thickBot="1" x14ac:dyDescent="0.3">
      <c r="A99" s="1005">
        <f t="shared" ref="A99:C99" si="23">IF($A$87=$A$116,A14,IF($A$87=$A$117,G14,IF($A$87=$A$118,M14,IF($A$87=$A$119,A34,IF($A$87=$A$120,G34,IF($A$87=$A$121,M34,IF($A$87=$A$122,A54,IF($A$87=$A$123,G54,IF($A$87=$A$124,M54,IF($A$87=$A$125,A72,IF($A$87=$A$126,G72,M72)))))))))))</f>
        <v>600</v>
      </c>
      <c r="B99" s="1005">
        <f t="shared" si="23"/>
        <v>107</v>
      </c>
      <c r="C99" s="1005">
        <f t="shared" si="23"/>
        <v>60</v>
      </c>
      <c r="D99" s="1005">
        <f t="shared" si="13"/>
        <v>23.5</v>
      </c>
      <c r="E99" s="1005">
        <f t="shared" si="14"/>
        <v>18</v>
      </c>
      <c r="F99" s="717"/>
    </row>
    <row r="100" spans="1:6" ht="13.8" thickBot="1" x14ac:dyDescent="0.3">
      <c r="A100" s="1005">
        <f t="shared" ref="A100:C100" si="24">IF($A$87=$A$116,A15,IF($A$87=$A$117,G15,IF($A$87=$A$118,M15,IF($A$87=$A$119,A35,IF($A$87=$A$120,G35,IF($A$87=$A$121,M35,IF($A$87=$A$122,A55,IF($A$87=$A$123,G55,IF($A$87=$A$124,M55,IF($A$87=$A$125,A73,IF($A$87=$A$126,G73,M73)))))))))))</f>
        <v>800</v>
      </c>
      <c r="B100" s="1005">
        <f t="shared" si="24"/>
        <v>146</v>
      </c>
      <c r="C100" s="1005">
        <f t="shared" si="24"/>
        <v>80</v>
      </c>
      <c r="D100" s="1005">
        <f t="shared" si="13"/>
        <v>33</v>
      </c>
      <c r="E100" s="1005">
        <f t="shared" si="14"/>
        <v>24</v>
      </c>
      <c r="F100" s="717"/>
    </row>
    <row r="101" spans="1:6" ht="13.8" thickBot="1" x14ac:dyDescent="0.3">
      <c r="A101" s="1005">
        <f t="shared" ref="A101:C101" si="25">IF($A$87=$A$116,A16,IF($A$87=$A$117,G16,IF($A$87=$A$118,M16,IF($A$87=$A$119,A36,IF($A$87=$A$120,G36,IF($A$87=$A$121,M36,IF($A$87=$A$122,A56,IF($A$87=$A$123,G56,IF($A$87=$A$124,M56,IF($A$87=$A$125,A74,IF($A$87=$A$126,G74,M74)))))))))))</f>
        <v>1000</v>
      </c>
      <c r="B101" s="1005">
        <f t="shared" si="25"/>
        <v>182</v>
      </c>
      <c r="C101" s="1005">
        <f t="shared" si="25"/>
        <v>100</v>
      </c>
      <c r="D101" s="1005">
        <f t="shared" si="13"/>
        <v>41</v>
      </c>
      <c r="E101" s="1005">
        <f t="shared" si="14"/>
        <v>29</v>
      </c>
      <c r="F101" s="717"/>
    </row>
    <row r="102" spans="1:6" ht="13.8" thickBot="1" x14ac:dyDescent="0.3">
      <c r="A102" s="1005">
        <f t="shared" ref="A102:C102" si="26">IF($A$87=$A$116,A17,IF($A$87=$A$117,G17,IF($A$87=$A$118,M17,IF($A$87=$A$119,A37,IF($A$87=$A$120,G37,IF($A$87=$A$121,M37,IF($A$87=$A$122,A57,IF($A$87=$A$123,G57,IF($A$87=$A$124,M57,IF($A$87=$A$125,A75,IF($A$87=$A$126,G75,M75)))))))))))</f>
        <v>1500</v>
      </c>
      <c r="B102" s="1005">
        <f t="shared" si="26"/>
        <v>275</v>
      </c>
      <c r="C102" s="1005">
        <f t="shared" si="26"/>
        <v>160</v>
      </c>
      <c r="D102" s="1005">
        <f t="shared" si="13"/>
        <v>57.5</v>
      </c>
      <c r="E102" s="1005">
        <f t="shared" si="14"/>
        <v>44</v>
      </c>
      <c r="F102" s="717"/>
    </row>
    <row r="103" spans="1:6" ht="13.8" thickBot="1" x14ac:dyDescent="0.3">
      <c r="A103" s="1005">
        <f t="shared" ref="A103:C103" si="27">IF($A$87=$A$116,A18,IF($A$87=$A$117,G18,IF($A$87=$A$118,M18,IF($A$87=$A$119,A38,IF($A$87=$A$120,G38,IF($A$87=$A$121,M38,IF($A$87=$A$122,A58,IF($A$87=$A$123,G58,IF($A$87=$A$124,M58,IF($A$87=$A$125,A76,IF($A$87=$A$126,G76,M76)))))))))))</f>
        <v>1900</v>
      </c>
      <c r="B103" s="1005">
        <f t="shared" si="27"/>
        <v>355</v>
      </c>
      <c r="C103" s="1005">
        <f t="shared" si="27"/>
        <v>216</v>
      </c>
      <c r="D103" s="1005">
        <f t="shared" si="13"/>
        <v>69.5</v>
      </c>
      <c r="E103" s="1005">
        <f t="shared" si="14"/>
        <v>55</v>
      </c>
      <c r="F103" s="717"/>
    </row>
    <row r="104" spans="1:6" ht="13.8" thickBot="1" x14ac:dyDescent="0.3">
      <c r="A104" s="1005">
        <f t="shared" ref="A104:C104" si="28">IF($A$87=$A$116,A19,IF($A$87=$A$117,G19,IF($A$87=$A$118,M19,IF($A$87=$A$119,A39,IF($A$87=$A$120,G39,IF($A$87=$A$121,M39,IF($A$87=$A$122,A59,IF($A$87=$A$123,G59,IF($A$87=$A$124,M59,IF($A$87=$A$125,A77,IF($A$87=$A$126,G77,M77)))))))))))</f>
        <v>0</v>
      </c>
      <c r="B104" s="1005">
        <f t="shared" si="28"/>
        <v>0</v>
      </c>
      <c r="C104" s="1005">
        <f t="shared" si="28"/>
        <v>0</v>
      </c>
      <c r="D104" s="1005">
        <f t="shared" si="13"/>
        <v>0</v>
      </c>
      <c r="E104" s="1005">
        <f t="shared" si="14"/>
        <v>0</v>
      </c>
      <c r="F104" s="717"/>
    </row>
    <row r="108" spans="1:6" ht="13.8" thickBot="1" x14ac:dyDescent="0.3"/>
    <row r="109" spans="1:6" ht="20.399999999999999" x14ac:dyDescent="0.25">
      <c r="A109" s="663" t="s">
        <v>140</v>
      </c>
      <c r="B109" s="663" t="s">
        <v>141</v>
      </c>
      <c r="C109" s="663" t="s">
        <v>142</v>
      </c>
      <c r="D109" s="663" t="s">
        <v>143</v>
      </c>
      <c r="E109" s="663" t="s">
        <v>144</v>
      </c>
      <c r="F109" s="664" t="s">
        <v>145</v>
      </c>
    </row>
    <row r="110" spans="1:6" x14ac:dyDescent="0.25">
      <c r="A110" s="683">
        <f>ID!K32</f>
        <v>8</v>
      </c>
      <c r="B110" s="684">
        <f>A110+0</f>
        <v>8</v>
      </c>
      <c r="C110" s="592">
        <f>ID!M32</f>
        <v>0</v>
      </c>
      <c r="D110" s="592">
        <f>(C110/B110)*100</f>
        <v>0</v>
      </c>
      <c r="E110" s="592">
        <f>B110-A110</f>
        <v>0</v>
      </c>
      <c r="F110" s="592">
        <f>UNCERT!L14</f>
        <v>0.57982691537132647</v>
      </c>
    </row>
    <row r="115" spans="1:14" x14ac:dyDescent="0.25">
      <c r="A115" s="1326" t="str">
        <f>ID!B53</f>
        <v>Digital Lux Meter, Merek : EXTECH, Model : Easy View 30, SN : 110705875</v>
      </c>
      <c r="B115" s="1327"/>
      <c r="C115" s="1327"/>
      <c r="D115" s="1327"/>
      <c r="E115" s="1327"/>
      <c r="F115" s="1328"/>
      <c r="H115" s="1332">
        <f>A128</f>
        <v>2</v>
      </c>
      <c r="I115" s="1333"/>
      <c r="J115" s="1333"/>
      <c r="K115" s="1333"/>
      <c r="L115" s="1333"/>
      <c r="M115" s="1333"/>
      <c r="N115" s="1334"/>
    </row>
    <row r="116" spans="1:14" x14ac:dyDescent="0.25">
      <c r="A116" s="720" t="s">
        <v>146</v>
      </c>
      <c r="B116" s="671"/>
      <c r="C116" s="671"/>
      <c r="D116" s="671"/>
      <c r="E116" s="671"/>
      <c r="F116" s="672"/>
      <c r="G116" s="621">
        <v>1</v>
      </c>
      <c r="H116" s="770" t="s">
        <v>147</v>
      </c>
      <c r="I116" s="671"/>
      <c r="J116" s="671"/>
      <c r="K116" s="671"/>
      <c r="L116" s="671"/>
      <c r="M116" s="671"/>
      <c r="N116" s="672"/>
    </row>
    <row r="117" spans="1:14" x14ac:dyDescent="0.25">
      <c r="A117" s="720" t="s">
        <v>148</v>
      </c>
      <c r="B117" s="671"/>
      <c r="C117" s="671"/>
      <c r="D117" s="671"/>
      <c r="E117" s="671"/>
      <c r="F117" s="672"/>
      <c r="G117" s="621">
        <v>2</v>
      </c>
      <c r="H117" s="770" t="s">
        <v>149</v>
      </c>
      <c r="I117" s="671"/>
      <c r="J117" s="671"/>
      <c r="K117" s="671"/>
      <c r="L117" s="671"/>
      <c r="M117" s="671"/>
      <c r="N117" s="672"/>
    </row>
    <row r="118" spans="1:14" x14ac:dyDescent="0.25">
      <c r="A118" s="720" t="s">
        <v>150</v>
      </c>
      <c r="B118" s="671"/>
      <c r="C118" s="671"/>
      <c r="D118" s="671"/>
      <c r="E118" s="671"/>
      <c r="F118" s="672"/>
      <c r="G118" s="621">
        <v>3</v>
      </c>
      <c r="H118" s="771" t="s">
        <v>151</v>
      </c>
      <c r="I118" s="671"/>
      <c r="J118" s="671"/>
      <c r="K118" s="671"/>
      <c r="L118" s="671"/>
      <c r="M118" s="671"/>
      <c r="N118" s="672"/>
    </row>
    <row r="119" spans="1:14" x14ac:dyDescent="0.25">
      <c r="A119" s="720" t="s">
        <v>152</v>
      </c>
      <c r="B119" s="671"/>
      <c r="C119" s="671"/>
      <c r="D119" s="671"/>
      <c r="E119" s="671"/>
      <c r="F119" s="672"/>
      <c r="G119" s="621">
        <v>4</v>
      </c>
      <c r="H119" s="771"/>
      <c r="I119" s="671"/>
      <c r="J119" s="671"/>
      <c r="K119" s="671"/>
      <c r="L119" s="671"/>
      <c r="M119" s="671"/>
      <c r="N119" s="672"/>
    </row>
    <row r="120" spans="1:14" x14ac:dyDescent="0.25">
      <c r="A120" s="720" t="s">
        <v>153</v>
      </c>
      <c r="B120" s="671"/>
      <c r="C120" s="671"/>
      <c r="D120" s="671"/>
      <c r="E120" s="671"/>
      <c r="F120" s="672"/>
      <c r="G120" s="621">
        <v>5</v>
      </c>
      <c r="H120" s="771" t="s">
        <v>154</v>
      </c>
      <c r="I120" s="671"/>
      <c r="J120" s="671"/>
      <c r="K120" s="671"/>
      <c r="L120" s="671"/>
      <c r="M120" s="671"/>
      <c r="N120" s="672"/>
    </row>
    <row r="121" spans="1:14" x14ac:dyDescent="0.25">
      <c r="A121" s="720" t="s">
        <v>155</v>
      </c>
      <c r="B121" s="671"/>
      <c r="C121" s="671"/>
      <c r="D121" s="671"/>
      <c r="E121" s="671"/>
      <c r="F121" s="672"/>
      <c r="G121" s="621">
        <v>6</v>
      </c>
      <c r="H121" s="771" t="s">
        <v>154</v>
      </c>
      <c r="I121" s="671"/>
      <c r="J121" s="671"/>
      <c r="K121" s="671"/>
      <c r="L121" s="671"/>
      <c r="M121" s="671"/>
      <c r="N121" s="672"/>
    </row>
    <row r="122" spans="1:14" x14ac:dyDescent="0.25">
      <c r="A122" s="720" t="s">
        <v>156</v>
      </c>
      <c r="B122" s="671"/>
      <c r="C122" s="671"/>
      <c r="D122" s="671"/>
      <c r="E122" s="671"/>
      <c r="F122" s="672"/>
      <c r="G122" s="621">
        <v>7</v>
      </c>
      <c r="H122" s="771" t="s">
        <v>154</v>
      </c>
      <c r="I122" s="671"/>
      <c r="J122" s="671"/>
      <c r="K122" s="671"/>
      <c r="L122" s="671"/>
      <c r="M122" s="671"/>
      <c r="N122" s="672"/>
    </row>
    <row r="123" spans="1:14" x14ac:dyDescent="0.25">
      <c r="A123" s="720" t="s">
        <v>157</v>
      </c>
      <c r="B123" s="671"/>
      <c r="C123" s="671"/>
      <c r="D123" s="671"/>
      <c r="E123" s="671"/>
      <c r="F123" s="672"/>
      <c r="G123" s="621">
        <v>8</v>
      </c>
      <c r="H123" s="771" t="s">
        <v>154</v>
      </c>
      <c r="I123" s="671"/>
      <c r="J123" s="671"/>
      <c r="K123" s="671"/>
      <c r="L123" s="671"/>
      <c r="M123" s="671"/>
      <c r="N123" s="672"/>
    </row>
    <row r="124" spans="1:14" x14ac:dyDescent="0.25">
      <c r="A124" s="720" t="s">
        <v>158</v>
      </c>
      <c r="B124" s="671"/>
      <c r="C124" s="671"/>
      <c r="D124" s="671"/>
      <c r="E124" s="671"/>
      <c r="F124" s="672"/>
      <c r="G124" s="621">
        <v>9</v>
      </c>
      <c r="H124" s="771" t="s">
        <v>154</v>
      </c>
      <c r="I124" s="671"/>
      <c r="J124" s="671"/>
      <c r="K124" s="671"/>
      <c r="L124" s="671"/>
      <c r="M124" s="671"/>
      <c r="N124" s="672"/>
    </row>
    <row r="125" spans="1:14" x14ac:dyDescent="0.25">
      <c r="A125" s="720" t="s">
        <v>159</v>
      </c>
      <c r="B125" s="671"/>
      <c r="C125" s="671"/>
      <c r="D125" s="671"/>
      <c r="E125" s="671"/>
      <c r="F125" s="672"/>
      <c r="G125" s="621">
        <v>10</v>
      </c>
      <c r="H125" s="771" t="s">
        <v>154</v>
      </c>
      <c r="I125" s="671"/>
      <c r="J125" s="671"/>
      <c r="K125" s="671"/>
      <c r="L125" s="671"/>
      <c r="M125" s="671"/>
      <c r="N125" s="672"/>
    </row>
    <row r="126" spans="1:14" x14ac:dyDescent="0.25">
      <c r="A126" s="720" t="s">
        <v>160</v>
      </c>
      <c r="B126" s="671"/>
      <c r="C126" s="671"/>
      <c r="D126" s="671"/>
      <c r="E126" s="671"/>
      <c r="F126" s="672"/>
      <c r="G126" s="621">
        <v>11</v>
      </c>
      <c r="H126" s="771" t="s">
        <v>154</v>
      </c>
      <c r="I126" s="671"/>
      <c r="J126" s="671"/>
      <c r="K126" s="671"/>
      <c r="L126" s="671"/>
      <c r="M126" s="671"/>
      <c r="N126" s="672"/>
    </row>
    <row r="127" spans="1:14" x14ac:dyDescent="0.25">
      <c r="A127" s="720" t="s">
        <v>161</v>
      </c>
      <c r="B127" s="671"/>
      <c r="C127" s="671"/>
      <c r="D127" s="671"/>
      <c r="E127" s="671"/>
      <c r="F127" s="672"/>
      <c r="G127" s="621">
        <v>12</v>
      </c>
      <c r="H127" s="771" t="s">
        <v>154</v>
      </c>
      <c r="I127" s="671"/>
      <c r="J127" s="671"/>
      <c r="K127" s="671"/>
      <c r="L127" s="671"/>
      <c r="M127" s="671"/>
      <c r="N127" s="672"/>
    </row>
    <row r="128" spans="1:14" x14ac:dyDescent="0.25">
      <c r="A128" s="1329">
        <f>VLOOKUP(A115,A116:G127,7,FALSE)</f>
        <v>2</v>
      </c>
      <c r="B128" s="1330"/>
      <c r="C128" s="1330"/>
      <c r="D128" s="1330"/>
      <c r="E128" s="1330"/>
      <c r="F128" s="1331"/>
      <c r="H128" s="1329" t="str">
        <f>VLOOKUP(H115,G116:N127,2,FALSE)</f>
        <v>Hasil pengujian Illumination tertelusur ke Satuan Internasional ( SI ) melalui Pusat Penelitian Metrologi - LIPI</v>
      </c>
      <c r="I128" s="1330"/>
      <c r="J128" s="1330"/>
      <c r="K128" s="1330"/>
      <c r="L128" s="1330"/>
      <c r="M128" s="1330"/>
      <c r="N128" s="1331"/>
    </row>
    <row r="153" spans="1:5" ht="13.8" x14ac:dyDescent="0.25">
      <c r="A153" s="1324" t="s">
        <v>162</v>
      </c>
      <c r="B153" s="1324"/>
      <c r="C153" s="1324"/>
      <c r="D153" s="1323" t="s">
        <v>123</v>
      </c>
      <c r="E153" s="1322" t="s">
        <v>124</v>
      </c>
    </row>
    <row r="154" spans="1:5" x14ac:dyDescent="0.25">
      <c r="A154" s="170" t="s">
        <v>62</v>
      </c>
      <c r="B154" s="1323" t="s">
        <v>127</v>
      </c>
      <c r="C154" s="1323"/>
      <c r="D154" s="1323"/>
      <c r="E154" s="1322"/>
    </row>
    <row r="155" spans="1:5" ht="14.4" x14ac:dyDescent="0.25">
      <c r="A155" s="164" t="s">
        <v>128</v>
      </c>
      <c r="B155" s="582">
        <v>2015</v>
      </c>
      <c r="C155" s="192" t="s">
        <v>129</v>
      </c>
      <c r="D155" s="1323"/>
      <c r="E155" s="1322"/>
    </row>
    <row r="156" spans="1:5" x14ac:dyDescent="0.25">
      <c r="A156" s="193">
        <v>20</v>
      </c>
      <c r="B156" s="194">
        <v>-0.7</v>
      </c>
      <c r="C156" s="195" t="s">
        <v>129</v>
      </c>
      <c r="D156" s="177">
        <f>0.5*(MAX(B156:C156)-MIN(B156:C156))</f>
        <v>0</v>
      </c>
      <c r="E156" s="173">
        <v>3.8</v>
      </c>
    </row>
    <row r="157" spans="1:5" x14ac:dyDescent="0.25">
      <c r="A157" s="193">
        <v>40</v>
      </c>
      <c r="B157" s="194">
        <v>1.3</v>
      </c>
      <c r="C157" s="195" t="s">
        <v>129</v>
      </c>
      <c r="D157" s="177">
        <f>0.5*(MAX(B157:C157)-MIN(B157:C157))</f>
        <v>0</v>
      </c>
      <c r="E157" s="173">
        <v>4</v>
      </c>
    </row>
    <row r="158" spans="1:5" x14ac:dyDescent="0.25">
      <c r="A158" s="193">
        <v>60</v>
      </c>
      <c r="B158" s="194">
        <v>3.5</v>
      </c>
      <c r="C158" s="195" t="s">
        <v>129</v>
      </c>
      <c r="D158" s="177">
        <f>0.5*(MAX(B158:C158)-MIN(B158:C158))</f>
        <v>0</v>
      </c>
      <c r="E158" s="173">
        <v>4.2</v>
      </c>
    </row>
    <row r="159" spans="1:5" x14ac:dyDescent="0.25">
      <c r="A159" s="193">
        <v>80</v>
      </c>
      <c r="B159" s="194">
        <v>5.9</v>
      </c>
      <c r="C159" s="195" t="s">
        <v>129</v>
      </c>
      <c r="D159" s="177">
        <f t="shared" ref="D159:D169" si="29">0.5*(MAX(B159:C159)-MIN(B159:C159))</f>
        <v>0</v>
      </c>
      <c r="E159" s="173">
        <v>4.5</v>
      </c>
    </row>
    <row r="160" spans="1:5" x14ac:dyDescent="0.25">
      <c r="A160" s="193">
        <v>100</v>
      </c>
      <c r="B160" s="194">
        <v>8.5</v>
      </c>
      <c r="C160" s="195" t="s">
        <v>129</v>
      </c>
      <c r="D160" s="177">
        <f t="shared" si="29"/>
        <v>0</v>
      </c>
      <c r="E160" s="173">
        <v>4.8</v>
      </c>
    </row>
    <row r="161" spans="1:5" x14ac:dyDescent="0.25">
      <c r="A161" s="193">
        <v>150</v>
      </c>
      <c r="B161" s="194">
        <v>16</v>
      </c>
      <c r="C161" s="195" t="s">
        <v>129</v>
      </c>
      <c r="D161" s="177">
        <f t="shared" si="29"/>
        <v>0</v>
      </c>
      <c r="E161" s="173">
        <v>5.8</v>
      </c>
    </row>
    <row r="162" spans="1:5" x14ac:dyDescent="0.25">
      <c r="A162" s="193">
        <v>190</v>
      </c>
      <c r="B162" s="194">
        <v>22.9</v>
      </c>
      <c r="C162" s="195" t="s">
        <v>129</v>
      </c>
      <c r="D162" s="177">
        <f t="shared" si="29"/>
        <v>0</v>
      </c>
      <c r="E162" s="173">
        <v>6.7</v>
      </c>
    </row>
    <row r="163" spans="1:5" x14ac:dyDescent="0.25">
      <c r="A163" s="196">
        <v>200</v>
      </c>
      <c r="B163" s="193">
        <v>19</v>
      </c>
      <c r="C163" s="195" t="s">
        <v>129</v>
      </c>
      <c r="D163" s="178">
        <f t="shared" si="29"/>
        <v>0</v>
      </c>
      <c r="E163" s="174">
        <v>8</v>
      </c>
    </row>
    <row r="164" spans="1:5" x14ac:dyDescent="0.25">
      <c r="A164" s="175">
        <v>400</v>
      </c>
      <c r="B164" s="197">
        <v>48</v>
      </c>
      <c r="C164" s="195" t="s">
        <v>129</v>
      </c>
      <c r="D164" s="179">
        <f t="shared" si="29"/>
        <v>0</v>
      </c>
      <c r="E164" s="175">
        <v>13</v>
      </c>
    </row>
    <row r="165" spans="1:5" x14ac:dyDescent="0.25">
      <c r="A165" s="175">
        <v>600</v>
      </c>
      <c r="B165" s="197">
        <v>77</v>
      </c>
      <c r="C165" s="195" t="s">
        <v>129</v>
      </c>
      <c r="D165" s="177">
        <f t="shared" si="29"/>
        <v>0</v>
      </c>
      <c r="E165" s="175">
        <v>18</v>
      </c>
    </row>
    <row r="166" spans="1:5" x14ac:dyDescent="0.25">
      <c r="A166" s="175">
        <v>800</v>
      </c>
      <c r="B166" s="197">
        <v>111</v>
      </c>
      <c r="C166" s="195" t="s">
        <v>129</v>
      </c>
      <c r="D166" s="177">
        <f t="shared" si="29"/>
        <v>0</v>
      </c>
      <c r="E166" s="175">
        <v>24</v>
      </c>
    </row>
    <row r="167" spans="1:5" x14ac:dyDescent="0.25">
      <c r="A167" s="175">
        <v>1000</v>
      </c>
      <c r="B167" s="197">
        <v>138</v>
      </c>
      <c r="C167" s="195" t="s">
        <v>129</v>
      </c>
      <c r="D167" s="177">
        <f t="shared" si="29"/>
        <v>0</v>
      </c>
      <c r="E167" s="175">
        <v>29</v>
      </c>
    </row>
    <row r="168" spans="1:5" x14ac:dyDescent="0.25">
      <c r="A168" s="175">
        <v>1500</v>
      </c>
      <c r="B168" s="197">
        <v>214</v>
      </c>
      <c r="C168" s="195" t="s">
        <v>129</v>
      </c>
      <c r="D168" s="177">
        <f t="shared" si="29"/>
        <v>0</v>
      </c>
      <c r="E168" s="175">
        <v>44</v>
      </c>
    </row>
    <row r="169" spans="1:5" x14ac:dyDescent="0.25">
      <c r="A169" s="175">
        <v>1900</v>
      </c>
      <c r="B169" s="197">
        <v>275</v>
      </c>
      <c r="C169" s="195" t="s">
        <v>129</v>
      </c>
      <c r="D169" s="177">
        <f t="shared" si="29"/>
        <v>0</v>
      </c>
      <c r="E169" s="175">
        <v>55</v>
      </c>
    </row>
  </sheetData>
  <mergeCells count="53">
    <mergeCell ref="M22:O22"/>
    <mergeCell ref="P22:P24"/>
    <mergeCell ref="A87:E87"/>
    <mergeCell ref="E42:E44"/>
    <mergeCell ref="B43:C43"/>
    <mergeCell ref="A60:C60"/>
    <mergeCell ref="D60:D62"/>
    <mergeCell ref="E60:E62"/>
    <mergeCell ref="J42:J44"/>
    <mergeCell ref="P60:P62"/>
    <mergeCell ref="Q2:Q4"/>
    <mergeCell ref="N3:O3"/>
    <mergeCell ref="A2:C2"/>
    <mergeCell ref="D2:D4"/>
    <mergeCell ref="E2:E4"/>
    <mergeCell ref="B3:C3"/>
    <mergeCell ref="G2:I2"/>
    <mergeCell ref="J2:J4"/>
    <mergeCell ref="K2:K4"/>
    <mergeCell ref="H3:I3"/>
    <mergeCell ref="M2:O2"/>
    <mergeCell ref="P2:P4"/>
    <mergeCell ref="Q22:Q24"/>
    <mergeCell ref="N23:O23"/>
    <mergeCell ref="A80:B80"/>
    <mergeCell ref="K42:K44"/>
    <mergeCell ref="H43:I43"/>
    <mergeCell ref="M42:O42"/>
    <mergeCell ref="P42:P44"/>
    <mergeCell ref="G42:I42"/>
    <mergeCell ref="Q42:Q44"/>
    <mergeCell ref="N43:O43"/>
    <mergeCell ref="G60:I60"/>
    <mergeCell ref="J60:J62"/>
    <mergeCell ref="K60:K62"/>
    <mergeCell ref="M60:O60"/>
    <mergeCell ref="A42:C42"/>
    <mergeCell ref="D42:D44"/>
    <mergeCell ref="Q60:Q62"/>
    <mergeCell ref="B61:C61"/>
    <mergeCell ref="H61:I61"/>
    <mergeCell ref="N61:O61"/>
    <mergeCell ref="A153:C153"/>
    <mergeCell ref="D153:D155"/>
    <mergeCell ref="E153:E155"/>
    <mergeCell ref="B154:C154"/>
    <mergeCell ref="E88:E89"/>
    <mergeCell ref="B88:C88"/>
    <mergeCell ref="D88:D89"/>
    <mergeCell ref="A115:F115"/>
    <mergeCell ref="A128:F128"/>
    <mergeCell ref="H115:N115"/>
    <mergeCell ref="H128:N1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J140"/>
  <sheetViews>
    <sheetView view="pageBreakPreview" topLeftCell="S1" zoomScale="89" zoomScaleNormal="80" zoomScaleSheetLayoutView="89" workbookViewId="0">
      <selection activeCell="AA5" sqref="AA5"/>
    </sheetView>
  </sheetViews>
  <sheetFormatPr defaultColWidth="9.33203125" defaultRowHeight="13.2" x14ac:dyDescent="0.25"/>
  <cols>
    <col min="1" max="1" width="13.44140625" style="165" customWidth="1"/>
    <col min="2" max="7" width="10.33203125" style="165" customWidth="1"/>
    <col min="8" max="8" width="9.33203125" style="165" customWidth="1"/>
    <col min="9" max="9" width="3" style="165" customWidth="1"/>
    <col min="10" max="10" width="9.33203125" style="165" customWidth="1"/>
    <col min="11" max="12" width="9.33203125" style="165"/>
    <col min="13" max="13" width="13.44140625" style="165" customWidth="1"/>
    <col min="14" max="15" width="9.33203125" style="165"/>
    <col min="16" max="16" width="20.6640625" style="165" bestFit="1" customWidth="1"/>
    <col min="17" max="21" width="9.33203125" style="165"/>
    <col min="22" max="27" width="16" style="165" customWidth="1"/>
    <col min="28" max="28" width="9.33203125" style="165"/>
    <col min="29" max="29" width="2.33203125" style="165" customWidth="1"/>
    <col min="30" max="30" width="9.33203125" style="165"/>
    <col min="31" max="36" width="14.33203125" style="165" customWidth="1"/>
    <col min="37" max="16384" width="9.33203125" style="165"/>
  </cols>
  <sheetData>
    <row r="1" spans="1:36" ht="13.8" x14ac:dyDescent="0.25">
      <c r="A1" s="1376" t="s">
        <v>163</v>
      </c>
      <c r="B1" s="1376"/>
      <c r="C1" s="1376"/>
      <c r="D1" s="1323" t="s">
        <v>123</v>
      </c>
      <c r="E1" s="1322" t="s">
        <v>124</v>
      </c>
      <c r="H1" s="1378" t="s">
        <v>164</v>
      </c>
      <c r="I1" s="630"/>
      <c r="J1" s="1378" t="s">
        <v>165</v>
      </c>
      <c r="M1" s="1376" t="s">
        <v>163</v>
      </c>
      <c r="N1" s="1376"/>
      <c r="O1" s="1376"/>
      <c r="P1" s="1323" t="s">
        <v>123</v>
      </c>
      <c r="Q1" s="1322" t="s">
        <v>124</v>
      </c>
      <c r="S1" s="630"/>
      <c r="V1" s="1364" t="s">
        <v>164</v>
      </c>
      <c r="W1" s="1364"/>
      <c r="X1" s="1364"/>
      <c r="Y1" s="1364"/>
      <c r="Z1" s="1364"/>
      <c r="AA1" s="1364"/>
      <c r="AD1" s="1364" t="s">
        <v>165</v>
      </c>
      <c r="AE1" s="1364"/>
      <c r="AF1" s="1364"/>
      <c r="AG1" s="1364"/>
      <c r="AH1" s="1364"/>
      <c r="AI1" s="1364"/>
    </row>
    <row r="2" spans="1:36" x14ac:dyDescent="0.25">
      <c r="A2" s="626" t="s">
        <v>166</v>
      </c>
      <c r="B2" s="1372" t="s">
        <v>127</v>
      </c>
      <c r="C2" s="1372"/>
      <c r="D2" s="1323"/>
      <c r="E2" s="1322"/>
      <c r="H2" s="1378"/>
      <c r="I2" s="630"/>
      <c r="J2" s="1378"/>
      <c r="M2" s="626" t="s">
        <v>166</v>
      </c>
      <c r="N2" s="1372" t="s">
        <v>127</v>
      </c>
      <c r="O2" s="1372"/>
      <c r="P2" s="1323"/>
      <c r="Q2" s="1322"/>
      <c r="S2" s="630"/>
      <c r="V2" s="1364"/>
      <c r="W2" s="1364"/>
      <c r="X2" s="1364"/>
      <c r="Y2" s="1364"/>
      <c r="Z2" s="1364"/>
      <c r="AA2" s="1364"/>
      <c r="AD2" s="1364"/>
      <c r="AE2" s="1364"/>
      <c r="AF2" s="1364"/>
      <c r="AG2" s="1364"/>
      <c r="AH2" s="1364"/>
      <c r="AI2" s="1364"/>
    </row>
    <row r="3" spans="1:36" ht="14.4" x14ac:dyDescent="0.25">
      <c r="A3" s="627" t="s">
        <v>167</v>
      </c>
      <c r="B3" s="628">
        <v>2021</v>
      </c>
      <c r="C3" s="629">
        <v>2019</v>
      </c>
      <c r="D3" s="1323"/>
      <c r="E3" s="1322"/>
      <c r="H3" s="1378"/>
      <c r="I3" s="630"/>
      <c r="J3" s="1378"/>
      <c r="M3" s="627" t="s">
        <v>167</v>
      </c>
      <c r="N3" s="628">
        <v>2019</v>
      </c>
      <c r="O3" s="628">
        <v>2017</v>
      </c>
      <c r="P3" s="1323"/>
      <c r="Q3" s="1322"/>
      <c r="S3" s="630"/>
    </row>
    <row r="4" spans="1:36" ht="15.6" x14ac:dyDescent="0.3">
      <c r="A4" s="588">
        <v>0</v>
      </c>
      <c r="B4" s="589">
        <v>9.9999999999999995E-7</v>
      </c>
      <c r="C4" s="589">
        <v>9.9999999999999995E-7</v>
      </c>
      <c r="D4" s="171">
        <f>0.5*(MAX(B4:C4)-MIN(B4:C4))</f>
        <v>0</v>
      </c>
      <c r="E4" s="167">
        <v>0</v>
      </c>
      <c r="H4" s="1378"/>
      <c r="I4" s="630"/>
      <c r="J4" s="1378"/>
      <c r="M4" s="588">
        <v>0</v>
      </c>
      <c r="N4" s="589">
        <v>9.9999999999999995E-7</v>
      </c>
      <c r="O4" s="589">
        <v>9.9999999999999995E-7</v>
      </c>
      <c r="P4" s="171">
        <f>0.5*(MAX(N4:O4)-MIN(N4:O4))</f>
        <v>0</v>
      </c>
      <c r="Q4" s="417">
        <v>0.03</v>
      </c>
      <c r="R4" s="624"/>
      <c r="S4" s="630"/>
      <c r="V4" s="1335" t="s">
        <v>135</v>
      </c>
      <c r="W4" s="1336"/>
      <c r="X4"/>
      <c r="Y4"/>
      <c r="Z4"/>
      <c r="AA4"/>
      <c r="AE4" s="1335" t="s">
        <v>135</v>
      </c>
      <c r="AF4" s="1336"/>
      <c r="AG4" s="203"/>
      <c r="AH4" s="203"/>
      <c r="AI4" s="203"/>
      <c r="AJ4"/>
    </row>
    <row r="5" spans="1:36" x14ac:dyDescent="0.25">
      <c r="A5" s="175">
        <v>200</v>
      </c>
      <c r="B5" s="589">
        <v>9.9999999999999995E-7</v>
      </c>
      <c r="C5" s="589">
        <v>9.9999999999999995E-7</v>
      </c>
      <c r="D5" s="171">
        <f>0.5*(MAX(B5:C5)-MIN(B5:C5))</f>
        <v>0</v>
      </c>
      <c r="E5" s="167">
        <v>0.06</v>
      </c>
      <c r="H5" s="1378"/>
      <c r="I5" s="630"/>
      <c r="J5" s="1378"/>
      <c r="M5" s="175">
        <v>200</v>
      </c>
      <c r="N5" s="589">
        <v>9.9999999999999995E-7</v>
      </c>
      <c r="O5" s="589">
        <v>9.9999999999999995E-7</v>
      </c>
      <c r="P5" s="171">
        <f>0.5*(MAX(N5:O5)-MIN(N5:O5))</f>
        <v>0</v>
      </c>
      <c r="Q5" s="167">
        <v>0.06</v>
      </c>
      <c r="S5" s="630"/>
      <c r="V5" s="163" t="s">
        <v>168</v>
      </c>
      <c r="W5" s="224">
        <f>ID!K34</f>
        <v>30000</v>
      </c>
      <c r="X5" s="669" t="s">
        <v>169</v>
      </c>
      <c r="Y5" s="214">
        <f>((((1-0)*(2500-2000))/(3000-2000))+(0))</f>
        <v>0.5</v>
      </c>
      <c r="Z5"/>
      <c r="AA5"/>
      <c r="AE5" s="163" t="s">
        <v>170</v>
      </c>
      <c r="AF5" s="163">
        <f>ID!K33</f>
        <v>99000</v>
      </c>
      <c r="AG5" s="669" t="s">
        <v>169</v>
      </c>
      <c r="AH5" s="214">
        <f>((((1-0)*(2500-2000))/(3000-2000))+(0))</f>
        <v>0.5</v>
      </c>
      <c r="AI5" s="201"/>
      <c r="AJ5"/>
    </row>
    <row r="6" spans="1:36" x14ac:dyDescent="0.25">
      <c r="A6" s="175">
        <v>1000</v>
      </c>
      <c r="B6" s="589">
        <v>9.9999999999999995E-7</v>
      </c>
      <c r="C6" s="589">
        <v>9.9999999999999995E-7</v>
      </c>
      <c r="D6" s="171">
        <f>0.5*(MAX(B6:C6)-MIN(B6:C6))</f>
        <v>0</v>
      </c>
      <c r="E6" s="167">
        <v>0.3</v>
      </c>
      <c r="H6" s="1378"/>
      <c r="I6" s="630"/>
      <c r="J6" s="1378"/>
      <c r="M6" s="175">
        <v>1000</v>
      </c>
      <c r="N6" s="589">
        <v>9.9999999999999995E-7</v>
      </c>
      <c r="O6" s="589">
        <v>9.9999999999999995E-7</v>
      </c>
      <c r="P6" s="171">
        <f>0.5*(MAX(N6:O6)-MIN(N6:O6))</f>
        <v>0</v>
      </c>
      <c r="Q6" s="167">
        <v>0.3</v>
      </c>
      <c r="S6" s="630"/>
      <c r="V6" s="212" t="s">
        <v>171</v>
      </c>
      <c r="W6" s="1006">
        <f>FORECAST(W5,X14:X23,V14:V23)</f>
        <v>-0.9790570928240967</v>
      </c>
      <c r="X6" s="668">
        <f>W28</f>
        <v>29999.020942907177</v>
      </c>
      <c r="Y6"/>
      <c r="Z6"/>
      <c r="AA6"/>
      <c r="AE6" s="212" t="s">
        <v>167</v>
      </c>
      <c r="AF6" s="213">
        <f>FORECAST(AF5,AG14:AG23,AE14:AE23)</f>
        <v>-3.1678456544189042</v>
      </c>
      <c r="AG6" s="670">
        <f>AF28</f>
        <v>98996.832154345582</v>
      </c>
      <c r="AH6" s="202"/>
      <c r="AI6" s="202"/>
      <c r="AJ6"/>
    </row>
    <row r="7" spans="1:36" x14ac:dyDescent="0.25">
      <c r="A7" s="175">
        <v>2000</v>
      </c>
      <c r="B7" s="589">
        <v>9.9999999999999995E-7</v>
      </c>
      <c r="C7" s="589">
        <v>9.9999999999999995E-7</v>
      </c>
      <c r="D7" s="171">
        <f t="shared" ref="D7:D9" si="0">0.5*(MAX(B7:C7)-MIN(B7:C7))</f>
        <v>0</v>
      </c>
      <c r="E7" s="167">
        <v>0.6</v>
      </c>
      <c r="H7" s="1378"/>
      <c r="I7" s="630"/>
      <c r="J7" s="1378"/>
      <c r="M7" s="175">
        <v>2000</v>
      </c>
      <c r="N7" s="589">
        <v>9.9999999999999995E-7</v>
      </c>
      <c r="O7" s="589">
        <v>9.9999999999999995E-7</v>
      </c>
      <c r="P7" s="171">
        <f t="shared" ref="P7:P9" si="1">0.5*(MAX(N7:O7)-MIN(N7:O7))</f>
        <v>0</v>
      </c>
      <c r="Q7" s="167">
        <v>0.6</v>
      </c>
      <c r="S7" s="630"/>
      <c r="V7" s="212" t="s">
        <v>139</v>
      </c>
      <c r="W7" s="213">
        <f>FORECAST(X6,Z14:Z23,V14:V23)</f>
        <v>0.35239730432063354</v>
      </c>
      <c r="X7"/>
      <c r="Y7"/>
      <c r="Z7"/>
      <c r="AA7"/>
      <c r="AE7" s="212" t="s">
        <v>139</v>
      </c>
      <c r="AF7" s="213">
        <f>FORECAST(AG6,AI14:AI23,AE14:AE23)</f>
        <v>0.74950486018839257</v>
      </c>
      <c r="AG7" s="202"/>
      <c r="AH7" s="201"/>
      <c r="AI7" s="201"/>
      <c r="AJ7"/>
    </row>
    <row r="8" spans="1:36" x14ac:dyDescent="0.25">
      <c r="A8" s="175">
        <v>3000</v>
      </c>
      <c r="B8" s="589">
        <v>9.9999999999999995E-7</v>
      </c>
      <c r="C8" s="589">
        <v>9.9999999999999995E-7</v>
      </c>
      <c r="D8" s="171">
        <f t="shared" si="0"/>
        <v>0</v>
      </c>
      <c r="E8" s="167">
        <v>0.9</v>
      </c>
      <c r="H8" s="1378"/>
      <c r="I8" s="630"/>
      <c r="J8" s="1378"/>
      <c r="M8" s="175">
        <v>3000</v>
      </c>
      <c r="N8" s="589">
        <v>9.9999999999999995E-7</v>
      </c>
      <c r="O8" s="589">
        <v>9.9999999999999995E-7</v>
      </c>
      <c r="P8" s="171">
        <f t="shared" si="1"/>
        <v>0</v>
      </c>
      <c r="Q8" s="167">
        <v>0.9</v>
      </c>
      <c r="S8" s="630"/>
      <c r="V8" s="212" t="s">
        <v>137</v>
      </c>
      <c r="W8" s="213">
        <f>FORECAST(X6,AA14:AA23,V14:V23)</f>
        <v>0.49058777662915243</v>
      </c>
      <c r="X8"/>
      <c r="Y8"/>
      <c r="Z8"/>
      <c r="AA8"/>
      <c r="AE8" s="212" t="s">
        <v>137</v>
      </c>
      <c r="AF8" s="213">
        <f>FORECAST(AG6,AJ14:AJ23,AE14:AE23)</f>
        <v>1.2068807138532662</v>
      </c>
      <c r="AG8"/>
      <c r="AH8"/>
      <c r="AI8"/>
      <c r="AJ8"/>
    </row>
    <row r="9" spans="1:36" x14ac:dyDescent="0.25">
      <c r="A9" s="175">
        <v>4000</v>
      </c>
      <c r="B9" s="589">
        <v>9.9999999999999995E-7</v>
      </c>
      <c r="C9" s="589">
        <v>9.9999999999999995E-7</v>
      </c>
      <c r="D9" s="171">
        <f t="shared" si="0"/>
        <v>0</v>
      </c>
      <c r="E9" s="167">
        <v>1.2</v>
      </c>
      <c r="H9" s="1378"/>
      <c r="I9" s="630"/>
      <c r="J9" s="1378"/>
      <c r="M9" s="175">
        <v>4000</v>
      </c>
      <c r="N9" s="589">
        <v>9.9999999999999995E-7</v>
      </c>
      <c r="O9" s="589">
        <v>9.9999999999999995E-7</v>
      </c>
      <c r="P9" s="171">
        <f t="shared" si="1"/>
        <v>0</v>
      </c>
      <c r="Q9" s="167">
        <v>1.2</v>
      </c>
      <c r="S9" s="630"/>
      <c r="V9"/>
      <c r="W9"/>
      <c r="X9"/>
      <c r="Y9"/>
      <c r="Z9"/>
      <c r="AA9"/>
      <c r="AE9"/>
      <c r="AF9" s="1352"/>
      <c r="AG9" s="1352"/>
      <c r="AH9" s="1352"/>
      <c r="AI9" s="1352"/>
      <c r="AJ9"/>
    </row>
    <row r="10" spans="1:36" ht="13.8" thickBot="1" x14ac:dyDescent="0.3">
      <c r="A10" s="175">
        <v>5000</v>
      </c>
      <c r="B10" s="589">
        <v>9.9999999999999995E-7</v>
      </c>
      <c r="C10" s="589">
        <v>9.9999999999999995E-7</v>
      </c>
      <c r="D10" s="171">
        <f>0.5*(MAX(B10:C10)-MIN(B10:C10))</f>
        <v>0</v>
      </c>
      <c r="E10" s="167">
        <v>1.5</v>
      </c>
      <c r="H10" s="1378"/>
      <c r="I10" s="630"/>
      <c r="J10" s="1378"/>
      <c r="M10" s="175">
        <v>5000</v>
      </c>
      <c r="N10" s="589">
        <v>9.9999999999999995E-7</v>
      </c>
      <c r="O10" s="589">
        <v>9.9999999999999995E-7</v>
      </c>
      <c r="P10" s="171">
        <f>0.5*(MAX(N10:O10)-MIN(N10:O10))</f>
        <v>0</v>
      </c>
      <c r="Q10" s="167">
        <v>1.5</v>
      </c>
      <c r="S10" s="630"/>
      <c r="V10"/>
      <c r="W10"/>
      <c r="X10"/>
      <c r="Y10"/>
      <c r="Z10"/>
      <c r="AA10"/>
    </row>
    <row r="11" spans="1:36" ht="13.8" thickBot="1" x14ac:dyDescent="0.3">
      <c r="A11" s="175">
        <v>10000</v>
      </c>
      <c r="B11" s="589">
        <v>9.9999999999999995E-7</v>
      </c>
      <c r="C11" s="589">
        <v>9.9999999999999995E-7</v>
      </c>
      <c r="D11" s="169">
        <f>0.5*(MAX(B11:C11)-MIN(B11:C11))</f>
        <v>0</v>
      </c>
      <c r="E11" s="167">
        <v>3</v>
      </c>
      <c r="H11" s="1378"/>
      <c r="I11" s="630"/>
      <c r="J11" s="1378"/>
      <c r="M11" s="175">
        <v>10000</v>
      </c>
      <c r="N11" s="589">
        <v>9.9999999999999995E-7</v>
      </c>
      <c r="O11" s="589">
        <v>9.9999999999999995E-7</v>
      </c>
      <c r="P11" s="169">
        <f>0.5*(MAX(N11:O11)-MIN(N11:O11))</f>
        <v>0</v>
      </c>
      <c r="Q11" s="167">
        <v>3</v>
      </c>
      <c r="S11" s="630"/>
      <c r="V11" s="1355" t="str">
        <f>ID!B51</f>
        <v>Digital Tachometer, Merek : Krisbow, Model : KW06-563, SN : 180812200</v>
      </c>
      <c r="W11" s="1356"/>
      <c r="X11" s="1356"/>
      <c r="Y11" s="1356"/>
      <c r="Z11" s="1356"/>
      <c r="AA11" s="1357"/>
      <c r="AE11" s="1355" t="str">
        <f>ID!B51</f>
        <v>Digital Tachometer, Merek : Krisbow, Model : KW06-563, SN : 180812200</v>
      </c>
      <c r="AF11" s="1356"/>
      <c r="AG11" s="1356"/>
      <c r="AH11" s="1356"/>
      <c r="AI11" s="1356"/>
      <c r="AJ11" s="1357"/>
    </row>
    <row r="12" spans="1:36" x14ac:dyDescent="0.25">
      <c r="A12" s="175">
        <v>50000</v>
      </c>
      <c r="B12" s="589">
        <v>9.9999999999999995E-7</v>
      </c>
      <c r="C12" s="589">
        <v>9.9999999999999995E-7</v>
      </c>
      <c r="D12" s="172">
        <f>0.5*(MAX(B12:C12)-MIN(B12:C12))</f>
        <v>0</v>
      </c>
      <c r="E12" s="167">
        <v>15</v>
      </c>
      <c r="H12" s="1378"/>
      <c r="I12" s="630"/>
      <c r="J12" s="1378"/>
      <c r="M12" s="175">
        <v>50000</v>
      </c>
      <c r="N12" s="589">
        <v>9.9999999999999995E-7</v>
      </c>
      <c r="O12" s="589">
        <v>9.9999999999999995E-7</v>
      </c>
      <c r="P12" s="172">
        <f>0.5*(MAX(N12:O12)-MIN(N12:O12))</f>
        <v>0</v>
      </c>
      <c r="Q12" s="167">
        <v>15</v>
      </c>
      <c r="S12" s="630"/>
      <c r="V12" s="1368" t="s">
        <v>172</v>
      </c>
      <c r="W12" s="1369"/>
      <c r="X12" s="1370" t="s">
        <v>127</v>
      </c>
      <c r="Y12" s="1371"/>
      <c r="Z12" s="1358" t="s">
        <v>123</v>
      </c>
      <c r="AA12" s="1360" t="s">
        <v>173</v>
      </c>
      <c r="AE12" s="1365" t="s">
        <v>174</v>
      </c>
      <c r="AF12" s="1354"/>
      <c r="AG12" s="1353" t="s">
        <v>127</v>
      </c>
      <c r="AH12" s="1354"/>
      <c r="AI12" s="1358" t="s">
        <v>123</v>
      </c>
      <c r="AJ12" s="1360" t="s">
        <v>173</v>
      </c>
    </row>
    <row r="13" spans="1:36" x14ac:dyDescent="0.25">
      <c r="A13" s="175">
        <v>95000</v>
      </c>
      <c r="B13" s="589">
        <v>9.9999999999999995E-7</v>
      </c>
      <c r="C13" s="589">
        <v>9.9999999999999995E-7</v>
      </c>
      <c r="D13" s="172">
        <f>0.5*(MAX(B13:C13)-MIN(B13:C13))</f>
        <v>0</v>
      </c>
      <c r="E13" s="167">
        <v>28.5</v>
      </c>
      <c r="H13" s="1378"/>
      <c r="I13" s="630"/>
      <c r="J13" s="1378"/>
      <c r="M13" s="175">
        <v>95000</v>
      </c>
      <c r="N13" s="589">
        <v>9.9999999999999995E-7</v>
      </c>
      <c r="O13" s="589">
        <v>9.9999999999999995E-7</v>
      </c>
      <c r="P13" s="172">
        <f>0.5*(MAX(N13:O13)-MIN(N13:O13))</f>
        <v>0</v>
      </c>
      <c r="Q13" s="167">
        <v>28.5</v>
      </c>
      <c r="S13" s="630"/>
      <c r="V13" s="1362" t="str">
        <f>IF(ID!$B$51='Input Data Tachometer'!$V$33,'Input Data Tachometer'!A3,IF(ID!$B$51='Input Data Tachometer'!$V$34,'Input Data Tachometer'!A17,IF(ID!$B$51='Input Data Tachometer'!$V$35,'Input Data Tachometer'!A31,IF(ID!$B$51='Input Data Tachometer'!$V$36,'Input Data Tachometer'!A45,IF(ID!$B$51='Input Data Tachometer'!$V$37,'Input Data Tachometer'!A59,IF(ID!$B$51='Input Data Tachometer'!$V$38,'Input Data Tachometer'!A73,IF(ID!$B$51='Input Data Tachometer'!$V$39,'Input Data Tachometer'!A87,IF(ID!$B$51='Input Data Tachometer'!$V$40,'Input Data Tachometer'!A101,IF(ID!$B$51='Input Data Tachometer'!$V$41,'Input Data Tachometer'!A115,IF(ID!$B$51='Input Data Tachometer'!$V$42,'Input Data Tachometer'!A129))))))))))</f>
        <v>rpm</v>
      </c>
      <c r="W13" s="1363"/>
      <c r="X13" s="583">
        <f>IF(ID!$B$51='Input Data Tachometer'!$V$33,'Input Data Tachometer'!B3,IF(ID!$B$51='Input Data Tachometer'!$V$34,'Input Data Tachometer'!B17,IF(ID!$B$51='Input Data Tachometer'!$V$35,'Input Data Tachometer'!B31,IF(ID!$B$51='Input Data Tachometer'!$V$36,'Input Data Tachometer'!B45,IF(ID!$B$51='Input Data Tachometer'!$V$37,'Input Data Tachometer'!B59,IF(ID!$B$51='Input Data Tachometer'!$V$38,'Input Data Tachometer'!B73,IF(ID!$B$51='Input Data Tachometer'!$V$39,'Input Data Tachometer'!B87,IF(ID!$B$51='Input Data Tachometer'!$V$40,'Input Data Tachometer'!B101,IF(ID!$B$51='Input Data Tachometer'!$V$41,'Input Data Tachometer'!B115,IF(ID!$B$51='Input Data Tachometer'!$V$42,'Input Data Tachometer'!B129))))))))))</f>
        <v>2021</v>
      </c>
      <c r="Y13" s="583">
        <f>IF(ID!$B$51='Input Data Tachometer'!$V$33,'Input Data Tachometer'!C3,IF(ID!$B$51='Input Data Tachometer'!$V$34,'Input Data Tachometer'!C17,IF(ID!$B$51='Input Data Tachometer'!$V$35,'Input Data Tachometer'!C31,IF(ID!$B$51='Input Data Tachometer'!$V$36,'Input Data Tachometer'!C45,IF(ID!$B$51='Input Data Tachometer'!$V$37,'Input Data Tachometer'!C59,IF(ID!$B$51='Input Data Tachometer'!$V$38,'Input Data Tachometer'!C73,IF(ID!$B$51='Input Data Tachometer'!$V$39,'Input Data Tachometer'!C87,IF(ID!C50=ID!D102,'Input Data Tachometer'!C101,IF(ID!C50=ID!D103,'Input Data Tachometer'!C115,IF(ID!C50=ID!D104,'Input Data Tachometer'!C129))))))))))</f>
        <v>2019</v>
      </c>
      <c r="Z13" s="1359"/>
      <c r="AA13" s="1361"/>
      <c r="AE13" s="1366" t="str">
        <f>IF(ID!$B$51='Input Data Tachometer'!$V$33,'Input Data Tachometer'!M3,IF(ID!$B$51='Input Data Tachometer'!$V$34,'Input Data Tachometer'!M17,IF(ID!$B$51='Input Data Tachometer'!$V$35,'Input Data Tachometer'!M31,IF(ID!$B$51='Input Data Tachometer'!$V$36,'Input Data Tachometer'!M45,IF(ID!$B$51='Input Data Tachometer'!$V$37,'Input Data Tachometer'!M59,IF(ID!$B$51='Input Data Tachometer'!$V$38,'Input Data Tachometer'!M73,IF(ID!$B$51='Input Data Tachometer'!$V$39,'Input Data Tachometer'!M87,IF(ID!$B$51='Input Data Tachometer'!$V$40,'Input Data Tachometer'!M101,IF(ID!$B$51='Input Data Tachometer'!$V$41,'Input Data Tachometer'!M115,IF(ID!$B$51='Input Data Tachometer'!$V$42,'Input Data Tachometer'!M129))))))))))</f>
        <v>rpm</v>
      </c>
      <c r="AF13" s="1367"/>
      <c r="AG13" s="271">
        <f>IF(ID!$B$51='Input Data Tachometer'!$V$33,'Input Data Tachometer'!N3,IF(ID!$B$51='Input Data Tachometer'!$V$34,'Input Data Tachometer'!N17,IF(ID!$B$51='Input Data Tachometer'!$V$35,'Input Data Tachometer'!N31,IF(ID!$B$51='Input Data Tachometer'!$V$36,'Input Data Tachometer'!N45,IF(ID!$B$51='Input Data Tachometer'!$V$37,'Input Data Tachometer'!N59,IF(ID!$B$51='Input Data Tachometer'!$V$38,'Input Data Tachometer'!N73,IF(ID!$B$51='Input Data Tachometer'!$V$39,'Input Data Tachometer'!N87,IF(ID!$B$51='Input Data Tachometer'!$V$40,'Input Data Tachometer'!N101,IF(ID!$B$51='Input Data Tachometer'!$V$41,'Input Data Tachometer'!N115,IF(ID!$B$51='Input Data Tachometer'!$V$42,'Input Data Tachometer'!N129))))))))))</f>
        <v>2021</v>
      </c>
      <c r="AH13" s="271">
        <f>IF(ID!$B$51='Input Data Tachometer'!$V$33,'Input Data Tachometer'!O3,IF(ID!$B$51='Input Data Tachometer'!$V$34,'Input Data Tachometer'!O17,IF(ID!$B$51='Input Data Tachometer'!$V$35,'Input Data Tachometer'!O31,IF(ID!$B$51='Input Data Tachometer'!$V$36,'Input Data Tachometer'!O45,IF(ID!$B$51='Input Data Tachometer'!$V$37,'Input Data Tachometer'!O59,IF(ID!$B$51='Input Data Tachometer'!$V$38,'Input Data Tachometer'!O73,IF(ID!$B$51='Input Data Tachometer'!$V$39,'Input Data Tachometer'!O87,IF(ID!$B$51='Input Data Tachometer'!$V$40,'Input Data Tachometer'!O101,IF(ID!$B$51='Input Data Tachometer'!$V$41,'Input Data Tachometer'!O115,IF(ID!$B$51='Input Data Tachometer'!$V$42,'Input Data Tachometer'!O129))))))))))</f>
        <v>2019</v>
      </c>
      <c r="AI13" s="1359"/>
      <c r="AJ13" s="1361"/>
    </row>
    <row r="14" spans="1:36" x14ac:dyDescent="0.25">
      <c r="H14" s="1378"/>
      <c r="I14" s="630"/>
      <c r="J14" s="1378"/>
      <c r="S14" s="630"/>
      <c r="V14" s="1362">
        <f>V48</f>
        <v>0</v>
      </c>
      <c r="W14" s="1363"/>
      <c r="X14" s="1133">
        <f>IF(W48=0,0.000001,W48)</f>
        <v>9.9999999999999995E-7</v>
      </c>
      <c r="Y14" s="1133">
        <f>IF(X48=0,0.000001,X48)</f>
        <v>9.9999999999999995E-7</v>
      </c>
      <c r="Z14" s="1133">
        <f>IF(Y48=0,0.000001,Y48)</f>
        <v>9.9999999999999995E-7</v>
      </c>
      <c r="AA14" s="1136">
        <f>IF(Z48=0,0.000001,Z48)</f>
        <v>9.9999999999999995E-7</v>
      </c>
      <c r="AE14" s="1362">
        <f>AE48</f>
        <v>0</v>
      </c>
      <c r="AF14" s="1363"/>
      <c r="AG14" s="1133">
        <f>IF(AF48=0,0.000001,AF48)</f>
        <v>9.9999999999999995E-7</v>
      </c>
      <c r="AH14" s="1133">
        <f t="shared" ref="AH14:AJ14" si="2">IF(AG48=0,0.000001,AG48)</f>
        <v>9.9999999999999995E-7</v>
      </c>
      <c r="AI14" s="1133">
        <f t="shared" si="2"/>
        <v>9.9999999999999995E-7</v>
      </c>
      <c r="AJ14" s="1136">
        <f t="shared" si="2"/>
        <v>9.9999999999999995E-7</v>
      </c>
    </row>
    <row r="15" spans="1:36" ht="13.8" x14ac:dyDescent="0.25">
      <c r="A15" s="1377" t="s">
        <v>175</v>
      </c>
      <c r="B15" s="1377"/>
      <c r="C15" s="1377"/>
      <c r="D15" s="1323" t="s">
        <v>123</v>
      </c>
      <c r="E15" s="1322" t="s">
        <v>124</v>
      </c>
      <c r="H15" s="1378"/>
      <c r="I15" s="630"/>
      <c r="J15" s="1378"/>
      <c r="M15" s="1377" t="s">
        <v>175</v>
      </c>
      <c r="N15" s="1377"/>
      <c r="O15" s="1377"/>
      <c r="P15" s="1323" t="s">
        <v>123</v>
      </c>
      <c r="Q15" s="1322" t="s">
        <v>124</v>
      </c>
      <c r="S15" s="630"/>
      <c r="V15" s="1362">
        <f t="shared" ref="V15:V23" si="3">V49</f>
        <v>200</v>
      </c>
      <c r="W15" s="1363"/>
      <c r="X15" s="1133">
        <f t="shared" ref="X15:AA22" si="4">IF(W49=0,0.000001,W49)</f>
        <v>9.9999999999999995E-7</v>
      </c>
      <c r="Y15" s="1133">
        <f t="shared" si="4"/>
        <v>9.9999999999999995E-7</v>
      </c>
      <c r="Z15" s="1133">
        <f t="shared" si="4"/>
        <v>9.9999999999999995E-7</v>
      </c>
      <c r="AA15" s="1136">
        <f t="shared" si="4"/>
        <v>0.1</v>
      </c>
      <c r="AE15" s="1362">
        <f t="shared" ref="AE15:AE23" si="5">AE49</f>
        <v>200</v>
      </c>
      <c r="AF15" s="1363"/>
      <c r="AG15" s="1133">
        <f t="shared" ref="AG15:AJ15" si="6">IF(AF49=0,0.000001,AF49)</f>
        <v>9.9999999999999995E-7</v>
      </c>
      <c r="AH15" s="1133">
        <f t="shared" si="6"/>
        <v>9.9999999999999995E-7</v>
      </c>
      <c r="AI15" s="1133">
        <f t="shared" si="6"/>
        <v>9.9999999999999995E-7</v>
      </c>
      <c r="AJ15" s="1136">
        <f t="shared" si="6"/>
        <v>0.1</v>
      </c>
    </row>
    <row r="16" spans="1:36" x14ac:dyDescent="0.25">
      <c r="A16" s="626" t="s">
        <v>166</v>
      </c>
      <c r="B16" s="1372" t="s">
        <v>127</v>
      </c>
      <c r="C16" s="1372"/>
      <c r="D16" s="1323"/>
      <c r="E16" s="1322"/>
      <c r="H16" s="1378"/>
      <c r="I16" s="630"/>
      <c r="J16" s="1378"/>
      <c r="M16" s="626" t="s">
        <v>166</v>
      </c>
      <c r="N16" s="1372" t="s">
        <v>127</v>
      </c>
      <c r="O16" s="1372"/>
      <c r="P16" s="1323"/>
      <c r="Q16" s="1322"/>
      <c r="S16" s="630"/>
      <c r="V16" s="1362">
        <f t="shared" si="3"/>
        <v>1000</v>
      </c>
      <c r="W16" s="1363"/>
      <c r="X16" s="1133">
        <f t="shared" si="4"/>
        <v>-0.1</v>
      </c>
      <c r="Y16" s="1133">
        <f t="shared" si="4"/>
        <v>9.9999999999999995E-7</v>
      </c>
      <c r="Z16" s="1133">
        <f t="shared" si="4"/>
        <v>5.0000500000000003E-2</v>
      </c>
      <c r="AA16" s="1136">
        <f t="shared" si="4"/>
        <v>0.1</v>
      </c>
      <c r="AE16" s="1362">
        <f t="shared" si="5"/>
        <v>1000</v>
      </c>
      <c r="AF16" s="1363"/>
      <c r="AG16" s="1133">
        <f t="shared" ref="AG16:AJ16" si="7">IF(AF50=0,0.000001,AF50)</f>
        <v>-0.1</v>
      </c>
      <c r="AH16" s="1133">
        <f t="shared" si="7"/>
        <v>9.9999999999999995E-7</v>
      </c>
      <c r="AI16" s="1133">
        <f t="shared" si="7"/>
        <v>5.0000500000000003E-2</v>
      </c>
      <c r="AJ16" s="1136">
        <f t="shared" si="7"/>
        <v>0.1</v>
      </c>
    </row>
    <row r="17" spans="1:36" ht="14.4" x14ac:dyDescent="0.25">
      <c r="A17" s="627" t="s">
        <v>167</v>
      </c>
      <c r="B17" s="628">
        <v>2019</v>
      </c>
      <c r="C17" s="628">
        <v>2018</v>
      </c>
      <c r="D17" s="1323"/>
      <c r="E17" s="1322"/>
      <c r="H17" s="1378"/>
      <c r="I17" s="630"/>
      <c r="J17" s="1378"/>
      <c r="M17" s="627" t="s">
        <v>167</v>
      </c>
      <c r="N17" s="628">
        <v>2019</v>
      </c>
      <c r="O17" s="628">
        <v>2018</v>
      </c>
      <c r="P17" s="1323"/>
      <c r="Q17" s="1322"/>
      <c r="S17" s="630"/>
      <c r="V17" s="1362">
        <f t="shared" si="3"/>
        <v>2000</v>
      </c>
      <c r="W17" s="1363"/>
      <c r="X17" s="1133">
        <f t="shared" si="4"/>
        <v>-0.1</v>
      </c>
      <c r="Y17" s="1133">
        <f t="shared" si="4"/>
        <v>0.1</v>
      </c>
      <c r="Z17" s="1133">
        <f t="shared" si="4"/>
        <v>0.1</v>
      </c>
      <c r="AA17" s="1136">
        <f t="shared" si="4"/>
        <v>0.1</v>
      </c>
      <c r="AE17" s="1362">
        <f t="shared" si="5"/>
        <v>2000</v>
      </c>
      <c r="AF17" s="1363"/>
      <c r="AG17" s="1133">
        <f t="shared" ref="AG17:AJ17" si="8">IF(AF51=0,0.000001,AF51)</f>
        <v>-0.1</v>
      </c>
      <c r="AH17" s="1133">
        <f t="shared" si="8"/>
        <v>0.1</v>
      </c>
      <c r="AI17" s="1133">
        <f t="shared" si="8"/>
        <v>0.1</v>
      </c>
      <c r="AJ17" s="1136">
        <f t="shared" si="8"/>
        <v>0.1</v>
      </c>
    </row>
    <row r="18" spans="1:36" x14ac:dyDescent="0.25">
      <c r="A18" s="175">
        <v>0</v>
      </c>
      <c r="B18" s="589">
        <v>9.9999999999999995E-7</v>
      </c>
      <c r="C18" s="589">
        <v>9.9999999999999995E-7</v>
      </c>
      <c r="D18" s="171">
        <f>0.5*(MAX(B18:C18)-MIN(B18:C18))</f>
        <v>0</v>
      </c>
      <c r="E18" s="417">
        <v>0.03</v>
      </c>
      <c r="H18" s="1378"/>
      <c r="I18" s="630"/>
      <c r="J18" s="1378"/>
      <c r="M18" s="175">
        <v>0</v>
      </c>
      <c r="N18" s="589">
        <v>9.9999999999999995E-7</v>
      </c>
      <c r="O18" s="589">
        <v>9.9999999999999995E-7</v>
      </c>
      <c r="P18" s="171">
        <f>0.5*(MAX(N18:O18)-MIN(N18:O18))</f>
        <v>0</v>
      </c>
      <c r="Q18" s="417">
        <v>0.03</v>
      </c>
      <c r="S18" s="630"/>
      <c r="V18" s="1362">
        <f t="shared" si="3"/>
        <v>3000</v>
      </c>
      <c r="W18" s="1363"/>
      <c r="X18" s="1133">
        <f t="shared" si="4"/>
        <v>-0.1</v>
      </c>
      <c r="Y18" s="1133">
        <f t="shared" si="4"/>
        <v>0.2</v>
      </c>
      <c r="Z18" s="1133">
        <f t="shared" si="4"/>
        <v>0.15000000000000002</v>
      </c>
      <c r="AA18" s="1136">
        <f t="shared" si="4"/>
        <v>0.1</v>
      </c>
      <c r="AE18" s="1362">
        <f t="shared" si="5"/>
        <v>3000</v>
      </c>
      <c r="AF18" s="1363"/>
      <c r="AG18" s="1133">
        <f t="shared" ref="AG18:AJ18" si="9">IF(AF52=0,0.000001,AF52)</f>
        <v>-0.1</v>
      </c>
      <c r="AH18" s="1133">
        <f t="shared" si="9"/>
        <v>0.2</v>
      </c>
      <c r="AI18" s="1133">
        <f t="shared" si="9"/>
        <v>0.15000000000000002</v>
      </c>
      <c r="AJ18" s="1136">
        <f t="shared" si="9"/>
        <v>0.1</v>
      </c>
    </row>
    <row r="19" spans="1:36" x14ac:dyDescent="0.25">
      <c r="A19" s="175">
        <v>200</v>
      </c>
      <c r="B19" s="589">
        <v>9.9999999999999995E-7</v>
      </c>
      <c r="C19" s="589">
        <v>9.9999999999999995E-7</v>
      </c>
      <c r="D19" s="171">
        <f>0.5*(MAX(B19:C19)-MIN(B19:C19))</f>
        <v>0</v>
      </c>
      <c r="E19" s="167">
        <v>0.06</v>
      </c>
      <c r="H19" s="1378"/>
      <c r="I19" s="630"/>
      <c r="J19" s="1378"/>
      <c r="M19" s="175">
        <v>200</v>
      </c>
      <c r="N19" s="589">
        <v>9.9999999999999995E-7</v>
      </c>
      <c r="O19" s="589">
        <v>9.9999999999999995E-7</v>
      </c>
      <c r="P19" s="171">
        <f>0.5*(MAX(N19:O19)-MIN(N19:O19))</f>
        <v>0</v>
      </c>
      <c r="Q19" s="167">
        <v>0.06</v>
      </c>
      <c r="S19" s="630"/>
      <c r="V19" s="1362">
        <f t="shared" si="3"/>
        <v>4000</v>
      </c>
      <c r="W19" s="1363"/>
      <c r="X19" s="1133">
        <f t="shared" si="4"/>
        <v>-0.2</v>
      </c>
      <c r="Y19" s="1133">
        <f t="shared" si="4"/>
        <v>0.2</v>
      </c>
      <c r="Z19" s="1133">
        <f t="shared" si="4"/>
        <v>0.2</v>
      </c>
      <c r="AA19" s="1136">
        <f t="shared" si="4"/>
        <v>0.1</v>
      </c>
      <c r="AE19" s="1362">
        <f t="shared" si="5"/>
        <v>4000</v>
      </c>
      <c r="AF19" s="1363"/>
      <c r="AG19" s="1133">
        <f t="shared" ref="AG19:AJ19" si="10">IF(AF53=0,0.000001,AF53)</f>
        <v>-0.2</v>
      </c>
      <c r="AH19" s="1133">
        <f t="shared" si="10"/>
        <v>0.2</v>
      </c>
      <c r="AI19" s="1133">
        <f t="shared" si="10"/>
        <v>0.2</v>
      </c>
      <c r="AJ19" s="1136">
        <f t="shared" si="10"/>
        <v>0.1</v>
      </c>
    </row>
    <row r="20" spans="1:36" x14ac:dyDescent="0.25">
      <c r="A20" s="175">
        <v>1000</v>
      </c>
      <c r="B20" s="589">
        <v>9.9999999999999995E-7</v>
      </c>
      <c r="C20" s="589">
        <v>9.9999999999999995E-7</v>
      </c>
      <c r="D20" s="171">
        <f>0.5*(MAX(B20:C20)-MIN(B20:C20))</f>
        <v>0</v>
      </c>
      <c r="E20" s="167">
        <v>0.3</v>
      </c>
      <c r="H20" s="1378"/>
      <c r="I20" s="630"/>
      <c r="J20" s="1378"/>
      <c r="M20" s="175">
        <v>1000</v>
      </c>
      <c r="N20" s="589">
        <v>9.9999999999999995E-7</v>
      </c>
      <c r="O20" s="589">
        <v>9.9999999999999995E-7</v>
      </c>
      <c r="P20" s="171">
        <f>0.5*(MAX(N20:O20)-MIN(N20:O20))</f>
        <v>0</v>
      </c>
      <c r="Q20" s="167">
        <v>0.3</v>
      </c>
      <c r="S20" s="630"/>
      <c r="V20" s="1362">
        <f t="shared" si="3"/>
        <v>5000</v>
      </c>
      <c r="W20" s="1363"/>
      <c r="X20" s="1133">
        <f t="shared" si="4"/>
        <v>-0.3</v>
      </c>
      <c r="Y20" s="1133">
        <f t="shared" si="4"/>
        <v>0.3</v>
      </c>
      <c r="Z20" s="1133">
        <f t="shared" si="4"/>
        <v>0.3</v>
      </c>
      <c r="AA20" s="1136">
        <f t="shared" si="4"/>
        <v>0.1</v>
      </c>
      <c r="AE20" s="1362">
        <f t="shared" si="5"/>
        <v>5000</v>
      </c>
      <c r="AF20" s="1363"/>
      <c r="AG20" s="1133">
        <f t="shared" ref="AG20:AJ20" si="11">IF(AF54=0,0.000001,AF54)</f>
        <v>-0.3</v>
      </c>
      <c r="AH20" s="1133">
        <f t="shared" si="11"/>
        <v>0.3</v>
      </c>
      <c r="AI20" s="1133">
        <f t="shared" si="11"/>
        <v>0.3</v>
      </c>
      <c r="AJ20" s="1136">
        <f t="shared" si="11"/>
        <v>0.1</v>
      </c>
    </row>
    <row r="21" spans="1:36" x14ac:dyDescent="0.25">
      <c r="A21" s="175">
        <v>2000</v>
      </c>
      <c r="B21" s="589">
        <v>9.9999999999999995E-7</v>
      </c>
      <c r="C21" s="589">
        <v>9.9999999999999995E-7</v>
      </c>
      <c r="D21" s="171">
        <f t="shared" ref="D21:D23" si="12">0.5*(MAX(B21:C21)-MIN(B21:C21))</f>
        <v>0</v>
      </c>
      <c r="E21" s="167">
        <v>0.6</v>
      </c>
      <c r="H21" s="1378"/>
      <c r="I21" s="630"/>
      <c r="J21" s="1378"/>
      <c r="M21" s="175">
        <v>2000</v>
      </c>
      <c r="N21" s="589">
        <v>9.9999999999999995E-7</v>
      </c>
      <c r="O21" s="589">
        <v>9.9999999999999995E-7</v>
      </c>
      <c r="P21" s="171">
        <f t="shared" ref="P21:P23" si="13">0.5*(MAX(N21:O21)-MIN(N21:O21))</f>
        <v>0</v>
      </c>
      <c r="Q21" s="167">
        <v>0.6</v>
      </c>
      <c r="S21" s="630"/>
      <c r="V21" s="1362">
        <f t="shared" si="3"/>
        <v>10000</v>
      </c>
      <c r="W21" s="1363"/>
      <c r="X21" s="1133">
        <f t="shared" si="4"/>
        <v>9.9999999999999995E-7</v>
      </c>
      <c r="Y21" s="1133">
        <f t="shared" si="4"/>
        <v>9.9999999999999995E-7</v>
      </c>
      <c r="Z21" s="1133">
        <f t="shared" si="4"/>
        <v>9.9999999999999995E-7</v>
      </c>
      <c r="AA21" s="1136">
        <f t="shared" si="4"/>
        <v>1</v>
      </c>
      <c r="AE21" s="1362">
        <f t="shared" si="5"/>
        <v>10000</v>
      </c>
      <c r="AF21" s="1363"/>
      <c r="AG21" s="1133">
        <f t="shared" ref="AG21:AJ21" si="14">IF(AF55=0,0.000001,AF55)</f>
        <v>9.9999999999999995E-7</v>
      </c>
      <c r="AH21" s="1133">
        <f t="shared" si="14"/>
        <v>9.9999999999999995E-7</v>
      </c>
      <c r="AI21" s="1133">
        <f t="shared" si="14"/>
        <v>4.9999999999999998E-7</v>
      </c>
      <c r="AJ21" s="1136">
        <f t="shared" si="14"/>
        <v>1</v>
      </c>
    </row>
    <row r="22" spans="1:36" x14ac:dyDescent="0.25">
      <c r="A22" s="175">
        <v>3000</v>
      </c>
      <c r="B22" s="589">
        <v>9.9999999999999995E-7</v>
      </c>
      <c r="C22" s="589">
        <v>9.9999999999999995E-7</v>
      </c>
      <c r="D22" s="171">
        <f t="shared" si="12"/>
        <v>0</v>
      </c>
      <c r="E22" s="167">
        <v>0.9</v>
      </c>
      <c r="H22" s="1378"/>
      <c r="I22" s="630"/>
      <c r="J22" s="1378"/>
      <c r="M22" s="175">
        <v>3000</v>
      </c>
      <c r="N22" s="589">
        <v>9.9999999999999995E-7</v>
      </c>
      <c r="O22" s="589">
        <v>9.9999999999999995E-7</v>
      </c>
      <c r="P22" s="171">
        <f t="shared" si="13"/>
        <v>0</v>
      </c>
      <c r="Q22" s="167">
        <v>0.9</v>
      </c>
      <c r="S22" s="630"/>
      <c r="V22" s="1362">
        <f t="shared" si="3"/>
        <v>50000</v>
      </c>
      <c r="W22" s="1363"/>
      <c r="X22" s="1133">
        <f t="shared" si="4"/>
        <v>-2</v>
      </c>
      <c r="Y22" s="1133">
        <f t="shared" si="4"/>
        <v>2</v>
      </c>
      <c r="Z22" s="1133">
        <f t="shared" si="4"/>
        <v>2</v>
      </c>
      <c r="AA22" s="1136">
        <f t="shared" si="4"/>
        <v>1</v>
      </c>
      <c r="AE22" s="1362">
        <f t="shared" si="5"/>
        <v>50000</v>
      </c>
      <c r="AF22" s="1363"/>
      <c r="AG22" s="1133">
        <f t="shared" ref="AG22:AJ22" si="15">IF(AF56=0,0.000001,AF56)</f>
        <v>-2</v>
      </c>
      <c r="AH22" s="1133">
        <f t="shared" si="15"/>
        <v>2</v>
      </c>
      <c r="AI22" s="1133">
        <f t="shared" si="15"/>
        <v>2</v>
      </c>
      <c r="AJ22" s="1136">
        <f t="shared" si="15"/>
        <v>1</v>
      </c>
    </row>
    <row r="23" spans="1:36" ht="13.8" thickBot="1" x14ac:dyDescent="0.3">
      <c r="A23" s="175">
        <v>4000</v>
      </c>
      <c r="B23" s="589">
        <v>9.9999999999999995E-7</v>
      </c>
      <c r="C23" s="589">
        <v>9.9999999999999995E-7</v>
      </c>
      <c r="D23" s="171">
        <f t="shared" si="12"/>
        <v>0</v>
      </c>
      <c r="E23" s="167">
        <v>1.2</v>
      </c>
      <c r="H23" s="1378"/>
      <c r="I23" s="630"/>
      <c r="J23" s="1378"/>
      <c r="M23" s="175">
        <v>4000</v>
      </c>
      <c r="N23" s="589">
        <v>9.9999999999999995E-7</v>
      </c>
      <c r="O23" s="589">
        <v>9.9999999999999995E-7</v>
      </c>
      <c r="P23" s="171">
        <f t="shared" si="13"/>
        <v>0</v>
      </c>
      <c r="Q23" s="167">
        <v>1.2</v>
      </c>
      <c r="S23" s="630"/>
      <c r="V23" s="1350">
        <f t="shared" si="3"/>
        <v>99000</v>
      </c>
      <c r="W23" s="1351"/>
      <c r="X23" s="1135">
        <f>IF(W57=0,0.000001,W57)</f>
        <v>-3</v>
      </c>
      <c r="Y23" s="1135" t="str">
        <f t="shared" ref="Y23:AA23" si="16">IF(X57=0,0.000001,X57)</f>
        <v>-</v>
      </c>
      <c r="Z23" s="1135">
        <f t="shared" si="16"/>
        <v>9.9999999999999995E-7</v>
      </c>
      <c r="AA23" s="1137">
        <f t="shared" si="16"/>
        <v>1</v>
      </c>
      <c r="AE23" s="1350">
        <f t="shared" si="5"/>
        <v>99000</v>
      </c>
      <c r="AF23" s="1351"/>
      <c r="AG23" s="1135">
        <f t="shared" ref="AG23:AJ23" si="17">IF(AF57=0,0.000001,AF57)</f>
        <v>-3</v>
      </c>
      <c r="AH23" s="1135" t="str">
        <f t="shared" si="17"/>
        <v>-</v>
      </c>
      <c r="AI23" s="1135">
        <f t="shared" si="17"/>
        <v>9.9999999999999995E-7</v>
      </c>
      <c r="AJ23" s="1137">
        <f t="shared" si="17"/>
        <v>1</v>
      </c>
    </row>
    <row r="24" spans="1:36" x14ac:dyDescent="0.25">
      <c r="A24" s="175">
        <v>5000</v>
      </c>
      <c r="B24" s="589">
        <v>9.9999999999999995E-7</v>
      </c>
      <c r="C24" s="589">
        <v>9.9999999999999995E-7</v>
      </c>
      <c r="D24" s="171">
        <f>0.5*(MAX(B24:C24)-MIN(B24:C24))</f>
        <v>0</v>
      </c>
      <c r="E24" s="167">
        <v>1.5</v>
      </c>
      <c r="H24" s="1378"/>
      <c r="I24" s="630"/>
      <c r="J24" s="1378"/>
      <c r="M24" s="175">
        <v>5000</v>
      </c>
      <c r="N24" s="589">
        <v>9.9999999999999995E-7</v>
      </c>
      <c r="O24" s="589">
        <v>9.9999999999999995E-7</v>
      </c>
      <c r="P24" s="171">
        <f>0.5*(MAX(N24:O24)-MIN(N24:O24))</f>
        <v>0</v>
      </c>
      <c r="Q24" s="167">
        <v>1.5</v>
      </c>
      <c r="S24" s="630"/>
    </row>
    <row r="25" spans="1:36" x14ac:dyDescent="0.25">
      <c r="A25" s="175">
        <v>10000</v>
      </c>
      <c r="B25" s="589">
        <v>9.9999999999999995E-7</v>
      </c>
      <c r="C25" s="589">
        <v>9.9999999999999995E-7</v>
      </c>
      <c r="D25" s="169">
        <f>0.5*(MAX(B25:C25)-MIN(B25:C25))</f>
        <v>0</v>
      </c>
      <c r="E25" s="167">
        <v>3</v>
      </c>
      <c r="H25" s="1378"/>
      <c r="I25" s="630"/>
      <c r="J25" s="1378"/>
      <c r="M25" s="175">
        <v>10000</v>
      </c>
      <c r="N25" s="589">
        <v>9.9999999999999995E-7</v>
      </c>
      <c r="O25" s="589">
        <v>9.9999999999999995E-7</v>
      </c>
      <c r="P25" s="169">
        <f>0.5*(MAX(N25:O25)-MIN(N25:O25))</f>
        <v>0</v>
      </c>
      <c r="Q25" s="167">
        <v>3</v>
      </c>
      <c r="S25" s="630"/>
    </row>
    <row r="26" spans="1:36" ht="13.8" thickBot="1" x14ac:dyDescent="0.3">
      <c r="A26" s="175">
        <v>50000</v>
      </c>
      <c r="B26" s="589">
        <v>9.9999999999999995E-7</v>
      </c>
      <c r="C26" s="589">
        <v>9.9999999999999995E-7</v>
      </c>
      <c r="D26" s="169">
        <f>0.5*(MAX(B26:C26)-MIN(B26:C26))</f>
        <v>0</v>
      </c>
      <c r="E26" s="167">
        <v>15</v>
      </c>
      <c r="H26" s="1378"/>
      <c r="I26" s="630"/>
      <c r="J26" s="1378"/>
      <c r="M26" s="175">
        <v>50000</v>
      </c>
      <c r="N26" s="589">
        <v>9.9999999999999995E-7</v>
      </c>
      <c r="O26" s="589">
        <v>9.9999999999999995E-7</v>
      </c>
      <c r="P26" s="169">
        <f>0.5*(MAX(N26:O26)-MIN(N26:O26))</f>
        <v>0</v>
      </c>
      <c r="Q26" s="167">
        <v>15</v>
      </c>
      <c r="S26" s="630"/>
      <c r="AB26" s="665"/>
      <c r="AC26" s="666"/>
      <c r="AD26" s="667"/>
      <c r="AE26" s="667"/>
    </row>
    <row r="27" spans="1:36" ht="20.399999999999999" x14ac:dyDescent="0.25">
      <c r="A27" s="175">
        <v>95000</v>
      </c>
      <c r="B27" s="589">
        <v>9.9999999999999995E-7</v>
      </c>
      <c r="C27" s="589">
        <v>9.9999999999999995E-7</v>
      </c>
      <c r="D27" s="169">
        <f>0.5*(MAX(B27:C27)-MIN(B27:C27))</f>
        <v>0</v>
      </c>
      <c r="E27" s="167">
        <v>28.5</v>
      </c>
      <c r="H27" s="1378"/>
      <c r="I27" s="630"/>
      <c r="J27" s="1378"/>
      <c r="M27" s="175">
        <v>95000</v>
      </c>
      <c r="N27" s="589">
        <v>9.9999999999999995E-7</v>
      </c>
      <c r="O27" s="589">
        <v>9.9999999999999995E-7</v>
      </c>
      <c r="P27" s="169">
        <f>0.5*(MAX(N27:O27)-MIN(N27:O27))</f>
        <v>0</v>
      </c>
      <c r="Q27" s="167">
        <v>28.5</v>
      </c>
      <c r="S27" s="630"/>
      <c r="V27" s="663" t="s">
        <v>140</v>
      </c>
      <c r="W27" s="663" t="s">
        <v>141</v>
      </c>
      <c r="X27" s="663" t="s">
        <v>142</v>
      </c>
      <c r="Y27" s="663" t="s">
        <v>143</v>
      </c>
      <c r="Z27" s="663" t="s">
        <v>144</v>
      </c>
      <c r="AA27" s="664" t="s">
        <v>145</v>
      </c>
      <c r="AB27" s="682"/>
      <c r="AC27" s="666"/>
      <c r="AD27" s="667"/>
      <c r="AE27" s="663" t="s">
        <v>140</v>
      </c>
      <c r="AF27" s="663" t="s">
        <v>141</v>
      </c>
      <c r="AG27" s="663" t="s">
        <v>142</v>
      </c>
      <c r="AH27" s="663" t="s">
        <v>143</v>
      </c>
      <c r="AI27" s="663" t="s">
        <v>144</v>
      </c>
      <c r="AJ27" s="664" t="s">
        <v>145</v>
      </c>
    </row>
    <row r="28" spans="1:36" x14ac:dyDescent="0.25">
      <c r="H28" s="1378"/>
      <c r="I28" s="630"/>
      <c r="J28" s="1378"/>
      <c r="S28" s="630"/>
      <c r="V28" s="683">
        <f>ID!K34</f>
        <v>30000</v>
      </c>
      <c r="W28" s="684">
        <f>W5+W6</f>
        <v>29999.020942907177</v>
      </c>
      <c r="X28" s="592">
        <f>ID!M34</f>
        <v>0</v>
      </c>
      <c r="Y28" s="592">
        <f>(X28/W28)*100</f>
        <v>0</v>
      </c>
      <c r="Z28" s="592">
        <f>W28-V28</f>
        <v>-0.97905709282349562</v>
      </c>
      <c r="AA28" s="592">
        <f>UNCERT!L26</f>
        <v>0.63315630236251208</v>
      </c>
      <c r="AE28" s="684">
        <f>ID!K33</f>
        <v>99000</v>
      </c>
      <c r="AF28" s="684">
        <f>AF5+AF6</f>
        <v>98996.832154345582</v>
      </c>
      <c r="AG28" s="592">
        <f>ID!M33</f>
        <v>0</v>
      </c>
      <c r="AH28" s="592">
        <f>(AG28/AF28)*100</f>
        <v>0</v>
      </c>
      <c r="AI28" s="592">
        <f>AF28-AE28</f>
        <v>-3.1678456544177607</v>
      </c>
      <c r="AJ28" s="592">
        <f>UNCERT!X26</f>
        <v>1.4753441569535941</v>
      </c>
    </row>
    <row r="29" spans="1:36" ht="13.8" x14ac:dyDescent="0.25">
      <c r="A29" s="1376" t="s">
        <v>176</v>
      </c>
      <c r="B29" s="1376"/>
      <c r="C29" s="1376"/>
      <c r="D29" s="1323" t="s">
        <v>123</v>
      </c>
      <c r="E29" s="1322" t="s">
        <v>124</v>
      </c>
      <c r="H29" s="1378"/>
      <c r="I29" s="630"/>
      <c r="J29" s="1378"/>
      <c r="M29" s="1376" t="s">
        <v>176</v>
      </c>
      <c r="N29" s="1376"/>
      <c r="O29" s="1376"/>
      <c r="P29" s="1323" t="s">
        <v>123</v>
      </c>
      <c r="Q29" s="1322" t="s">
        <v>124</v>
      </c>
      <c r="S29" s="630"/>
    </row>
    <row r="30" spans="1:36" x14ac:dyDescent="0.25">
      <c r="A30" s="626" t="s">
        <v>166</v>
      </c>
      <c r="B30" s="1372" t="s">
        <v>127</v>
      </c>
      <c r="C30" s="1372"/>
      <c r="D30" s="1323"/>
      <c r="E30" s="1322"/>
      <c r="H30" s="1378"/>
      <c r="I30" s="630"/>
      <c r="J30" s="1378"/>
      <c r="M30" s="626" t="s">
        <v>166</v>
      </c>
      <c r="N30" s="1372" t="s">
        <v>127</v>
      </c>
      <c r="O30" s="1372"/>
      <c r="P30" s="1323"/>
      <c r="Q30" s="1322"/>
      <c r="S30" s="630"/>
    </row>
    <row r="31" spans="1:36" ht="15" thickBot="1" x14ac:dyDescent="0.3">
      <c r="A31" s="627" t="s">
        <v>167</v>
      </c>
      <c r="B31" s="628">
        <v>2019</v>
      </c>
      <c r="C31" s="628">
        <v>2018</v>
      </c>
      <c r="D31" s="1323"/>
      <c r="E31" s="1322"/>
      <c r="H31" s="1378"/>
      <c r="I31" s="630"/>
      <c r="J31" s="1378"/>
      <c r="M31" s="627" t="s">
        <v>167</v>
      </c>
      <c r="N31" s="628">
        <v>2019</v>
      </c>
      <c r="O31" s="628">
        <v>2018</v>
      </c>
      <c r="P31" s="1323"/>
      <c r="Q31" s="1322"/>
      <c r="S31" s="630"/>
    </row>
    <row r="32" spans="1:36" x14ac:dyDescent="0.25">
      <c r="A32" s="625">
        <v>0</v>
      </c>
      <c r="B32" s="589">
        <v>9.9999999999999995E-7</v>
      </c>
      <c r="C32" s="589">
        <v>9.9999999999999995E-7</v>
      </c>
      <c r="D32" s="171">
        <f>0.5*(MAX(B32:C32)-MIN(B32:C32))</f>
        <v>0</v>
      </c>
      <c r="E32" s="417">
        <v>0.03</v>
      </c>
      <c r="H32" s="1378"/>
      <c r="I32" s="630"/>
      <c r="J32" s="1378"/>
      <c r="M32" s="625">
        <v>0</v>
      </c>
      <c r="N32" s="589">
        <v>9.9999999999999995E-7</v>
      </c>
      <c r="O32" s="589">
        <v>9.9999999999999995E-7</v>
      </c>
      <c r="P32" s="171">
        <f>0.5*(MAX(N32:O32)-MIN(N32:O32))</f>
        <v>0</v>
      </c>
      <c r="Q32" s="417">
        <v>0.03</v>
      </c>
      <c r="S32" s="630"/>
      <c r="V32" s="1346" t="str">
        <f>ID!B51</f>
        <v>Digital Tachometer, Merek : Krisbow, Model : KW06-563, SN : 180812200</v>
      </c>
      <c r="W32" s="1347"/>
      <c r="X32" s="1347"/>
      <c r="Y32" s="1347"/>
      <c r="Z32" s="1347"/>
      <c r="AA32" s="1347"/>
      <c r="AB32" s="1347"/>
      <c r="AC32" s="1347"/>
      <c r="AD32" s="1347"/>
      <c r="AE32" s="1348" t="s">
        <v>177</v>
      </c>
      <c r="AF32" s="1347"/>
      <c r="AG32" s="1349"/>
    </row>
    <row r="33" spans="1:35" x14ac:dyDescent="0.25">
      <c r="A33" s="175">
        <v>200</v>
      </c>
      <c r="B33" s="589">
        <v>9.9999999999999995E-7</v>
      </c>
      <c r="C33" s="589">
        <v>9.9999999999999995E-7</v>
      </c>
      <c r="D33" s="171">
        <f>0.5*(MAX(B33:C33)-MIN(B33:C33))</f>
        <v>0</v>
      </c>
      <c r="E33" s="167">
        <v>0.06</v>
      </c>
      <c r="H33" s="1378"/>
      <c r="I33" s="630"/>
      <c r="J33" s="1378"/>
      <c r="M33" s="175">
        <v>200</v>
      </c>
      <c r="N33" s="589">
        <v>9.9999999999999995E-7</v>
      </c>
      <c r="O33" s="589">
        <v>9.9999999999999995E-7</v>
      </c>
      <c r="P33" s="171">
        <f>0.5*(MAX(N33:O33)-MIN(N33:O33))</f>
        <v>0</v>
      </c>
      <c r="Q33" s="167">
        <v>0.06</v>
      </c>
      <c r="S33" s="630"/>
      <c r="U33" s="165">
        <v>1</v>
      </c>
      <c r="V33" s="673" t="s">
        <v>178</v>
      </c>
      <c r="W33" s="671"/>
      <c r="X33" s="671"/>
      <c r="Y33" s="671"/>
      <c r="Z33" s="671"/>
      <c r="AA33" s="671"/>
      <c r="AB33" s="671"/>
      <c r="AC33" s="672"/>
      <c r="AD33" s="620" t="s">
        <v>179</v>
      </c>
      <c r="AE33" s="621">
        <f>IF(ID!$B$51='Input Data Tachometer'!V33,1,0)</f>
        <v>0</v>
      </c>
      <c r="AF33" s="658">
        <f>SUM(AE33:AE42)</f>
        <v>2</v>
      </c>
      <c r="AG33" s="674">
        <f>IF(ID!$B$51='Input Data Tachometer'!V33,0.5,0)</f>
        <v>0</v>
      </c>
    </row>
    <row r="34" spans="1:35" x14ac:dyDescent="0.25">
      <c r="A34" s="175">
        <v>1000</v>
      </c>
      <c r="B34" s="589">
        <v>9.9999999999999995E-7</v>
      </c>
      <c r="C34" s="589">
        <v>9.9999999999999995E-7</v>
      </c>
      <c r="D34" s="171">
        <f>0.5*(MAX(B34:C34)-MIN(B34:C34))</f>
        <v>0</v>
      </c>
      <c r="E34" s="167">
        <v>0.3</v>
      </c>
      <c r="H34" s="1378"/>
      <c r="I34" s="630"/>
      <c r="J34" s="1378"/>
      <c r="M34" s="175">
        <v>1000</v>
      </c>
      <c r="N34" s="589">
        <v>9.9999999999999995E-7</v>
      </c>
      <c r="O34" s="589">
        <v>9.9999999999999995E-7</v>
      </c>
      <c r="P34" s="171">
        <f>0.5*(MAX(N34:O34)-MIN(N34:O34))</f>
        <v>0</v>
      </c>
      <c r="Q34" s="167">
        <v>0.3</v>
      </c>
      <c r="S34" s="630"/>
      <c r="U34" s="165">
        <v>2</v>
      </c>
      <c r="V34" s="673" t="s">
        <v>180</v>
      </c>
      <c r="W34" s="671"/>
      <c r="X34" s="671"/>
      <c r="Y34" s="671"/>
      <c r="Z34" s="671"/>
      <c r="AA34" s="671"/>
      <c r="AB34" s="671"/>
      <c r="AC34" s="672"/>
      <c r="AD34" s="620" t="s">
        <v>179</v>
      </c>
      <c r="AE34" s="621">
        <f>IF(ID!$B$51='Input Data Tachometer'!V34,1,0)</f>
        <v>0</v>
      </c>
      <c r="AF34" s="675"/>
      <c r="AG34" s="674">
        <f>IF(ID!$B$51='Input Data Tachometer'!V34,0.5,0)</f>
        <v>0</v>
      </c>
    </row>
    <row r="35" spans="1:35" x14ac:dyDescent="0.25">
      <c r="A35" s="175">
        <v>2000</v>
      </c>
      <c r="B35" s="589">
        <v>9.9999999999999995E-7</v>
      </c>
      <c r="C35" s="589">
        <v>9.9999999999999995E-7</v>
      </c>
      <c r="D35" s="171">
        <f t="shared" ref="D35:D37" si="18">0.5*(MAX(B35:C35)-MIN(B35:C35))</f>
        <v>0</v>
      </c>
      <c r="E35" s="167">
        <v>0.6</v>
      </c>
      <c r="H35" s="1378"/>
      <c r="I35" s="630"/>
      <c r="J35" s="1378"/>
      <c r="M35" s="175">
        <v>2000</v>
      </c>
      <c r="N35" s="589">
        <v>9.9999999999999995E-7</v>
      </c>
      <c r="O35" s="589">
        <v>9.9999999999999995E-7</v>
      </c>
      <c r="P35" s="171">
        <f t="shared" ref="P35:P37" si="19">0.5*(MAX(N35:O35)-MIN(N35:O35))</f>
        <v>0</v>
      </c>
      <c r="Q35" s="167">
        <v>0.6</v>
      </c>
      <c r="S35" s="630"/>
      <c r="U35" s="165">
        <v>3</v>
      </c>
      <c r="V35" s="673" t="s">
        <v>181</v>
      </c>
      <c r="W35" s="671"/>
      <c r="X35" s="671"/>
      <c r="Y35" s="671"/>
      <c r="Z35" s="671"/>
      <c r="AA35" s="671"/>
      <c r="AB35" s="671"/>
      <c r="AC35" s="672"/>
      <c r="AD35" s="620" t="s">
        <v>179</v>
      </c>
      <c r="AE35" s="621">
        <f>IF(ID!$B$51='Input Data Tachometer'!V35,1,0)</f>
        <v>0</v>
      </c>
      <c r="AF35" s="621">
        <f>SUM(AG33:AG42)</f>
        <v>0.05</v>
      </c>
      <c r="AG35" s="674">
        <f>IF(ID!$B$51='Input Data Tachometer'!V35,0.5,0)</f>
        <v>0</v>
      </c>
    </row>
    <row r="36" spans="1:35" x14ac:dyDescent="0.25">
      <c r="A36" s="175">
        <v>3000</v>
      </c>
      <c r="B36" s="589">
        <v>9.9999999999999995E-7</v>
      </c>
      <c r="C36" s="589">
        <v>9.9999999999999995E-7</v>
      </c>
      <c r="D36" s="171">
        <f t="shared" si="18"/>
        <v>0</v>
      </c>
      <c r="E36" s="167">
        <v>0.9</v>
      </c>
      <c r="H36" s="1378"/>
      <c r="I36" s="630"/>
      <c r="J36" s="1378"/>
      <c r="M36" s="175">
        <v>3000</v>
      </c>
      <c r="N36" s="589">
        <v>9.9999999999999995E-7</v>
      </c>
      <c r="O36" s="589">
        <v>9.9999999999999995E-7</v>
      </c>
      <c r="P36" s="171">
        <f t="shared" si="19"/>
        <v>0</v>
      </c>
      <c r="Q36" s="167">
        <v>0.9</v>
      </c>
      <c r="S36" s="630"/>
      <c r="U36" s="165">
        <v>4</v>
      </c>
      <c r="V36" s="673" t="s">
        <v>182</v>
      </c>
      <c r="W36" s="671"/>
      <c r="X36" s="671"/>
      <c r="Y36" s="671"/>
      <c r="Z36" s="671"/>
      <c r="AA36" s="671"/>
      <c r="AB36" s="671"/>
      <c r="AC36" s="672"/>
      <c r="AD36" s="620" t="s">
        <v>179</v>
      </c>
      <c r="AE36" s="621">
        <f>IF(ID!$B$51='Input Data Tachometer'!V36,1,0)</f>
        <v>0</v>
      </c>
      <c r="AF36" s="621"/>
      <c r="AG36" s="674">
        <f>IF(ID!$B$51='Input Data Tachometer'!V36,0.5,0)</f>
        <v>0</v>
      </c>
    </row>
    <row r="37" spans="1:35" x14ac:dyDescent="0.25">
      <c r="A37" s="175">
        <v>4000</v>
      </c>
      <c r="B37" s="589">
        <v>9.9999999999999995E-7</v>
      </c>
      <c r="C37" s="589">
        <v>9.9999999999999995E-7</v>
      </c>
      <c r="D37" s="171">
        <f t="shared" si="18"/>
        <v>0</v>
      </c>
      <c r="E37" s="167">
        <v>1.2</v>
      </c>
      <c r="H37" s="1378"/>
      <c r="I37" s="630"/>
      <c r="J37" s="1378"/>
      <c r="M37" s="175">
        <v>4000</v>
      </c>
      <c r="N37" s="589">
        <v>9.9999999999999995E-7</v>
      </c>
      <c r="O37" s="589">
        <v>9.9999999999999995E-7</v>
      </c>
      <c r="P37" s="171">
        <f t="shared" si="19"/>
        <v>0</v>
      </c>
      <c r="Q37" s="167">
        <v>1.2</v>
      </c>
      <c r="S37" s="630"/>
      <c r="U37" s="165">
        <v>5</v>
      </c>
      <c r="V37" s="676" t="s">
        <v>183</v>
      </c>
      <c r="W37" s="671"/>
      <c r="X37" s="671"/>
      <c r="Y37" s="671"/>
      <c r="Z37" s="671"/>
      <c r="AA37" s="671"/>
      <c r="AB37" s="671"/>
      <c r="AC37" s="672"/>
      <c r="AD37" s="620" t="s">
        <v>179</v>
      </c>
      <c r="AE37" s="621">
        <f>IF(ID!$B$51='Input Data Tachometer'!V37,2,0)</f>
        <v>0</v>
      </c>
      <c r="AF37" s="621"/>
      <c r="AG37" s="674">
        <f>IF(ID!$B$51='Input Data Tachometer'!V37,0.05,0)</f>
        <v>0</v>
      </c>
    </row>
    <row r="38" spans="1:35" x14ac:dyDescent="0.25">
      <c r="A38" s="175">
        <v>5000</v>
      </c>
      <c r="B38" s="589">
        <v>9.9999999999999995E-7</v>
      </c>
      <c r="C38" s="589">
        <v>9.9999999999999995E-7</v>
      </c>
      <c r="D38" s="171">
        <f>0.5*(MAX(B38:C38)-MIN(B38:C38))</f>
        <v>0</v>
      </c>
      <c r="E38" s="167">
        <v>1.5</v>
      </c>
      <c r="H38" s="1378"/>
      <c r="I38" s="630"/>
      <c r="J38" s="1378"/>
      <c r="M38" s="175">
        <v>5000</v>
      </c>
      <c r="N38" s="589">
        <v>9.9999999999999995E-7</v>
      </c>
      <c r="O38" s="589">
        <v>9.9999999999999995E-7</v>
      </c>
      <c r="P38" s="171">
        <f>0.5*(MAX(N38:O38)-MIN(N38:O38))</f>
        <v>0</v>
      </c>
      <c r="Q38" s="167">
        <v>1.5</v>
      </c>
      <c r="S38" s="630"/>
      <c r="U38" s="165">
        <v>6</v>
      </c>
      <c r="V38" s="676" t="s">
        <v>184</v>
      </c>
      <c r="W38" s="671"/>
      <c r="X38" s="671"/>
      <c r="Y38" s="671"/>
      <c r="Z38" s="671"/>
      <c r="AA38" s="671"/>
      <c r="AB38" s="671"/>
      <c r="AC38" s="672"/>
      <c r="AD38" s="620" t="s">
        <v>179</v>
      </c>
      <c r="AE38" s="621">
        <f>IF(ID!$B$51='Input Data Tachometer'!V38,2,0)</f>
        <v>2</v>
      </c>
      <c r="AF38" s="621"/>
      <c r="AG38" s="674">
        <f>IF(ID!$B$51='Input Data Tachometer'!V38,0.05,0)</f>
        <v>0.05</v>
      </c>
    </row>
    <row r="39" spans="1:35" x14ac:dyDescent="0.25">
      <c r="A39" s="175">
        <v>10000</v>
      </c>
      <c r="B39" s="589">
        <v>9.9999999999999995E-7</v>
      </c>
      <c r="C39" s="589">
        <v>9.9999999999999995E-7</v>
      </c>
      <c r="D39" s="169">
        <f>0.5*(MAX(B39:C39)-MIN(B39:C39))</f>
        <v>0</v>
      </c>
      <c r="E39" s="167">
        <v>3</v>
      </c>
      <c r="H39" s="1378"/>
      <c r="I39" s="630"/>
      <c r="J39" s="1378"/>
      <c r="M39" s="175">
        <v>10000</v>
      </c>
      <c r="N39" s="589">
        <v>9.9999999999999995E-7</v>
      </c>
      <c r="O39" s="589">
        <v>9.9999999999999995E-7</v>
      </c>
      <c r="P39" s="169">
        <f>0.5*(MAX(N39:O39)-MIN(N39:O39))</f>
        <v>0</v>
      </c>
      <c r="Q39" s="167">
        <v>3</v>
      </c>
      <c r="S39" s="630"/>
      <c r="U39" s="165">
        <v>7</v>
      </c>
      <c r="V39" s="676" t="s">
        <v>185</v>
      </c>
      <c r="W39" s="671"/>
      <c r="X39" s="671"/>
      <c r="Y39" s="671"/>
      <c r="Z39" s="671"/>
      <c r="AA39" s="671"/>
      <c r="AB39" s="671"/>
      <c r="AC39" s="672"/>
      <c r="AD39" s="620" t="s">
        <v>179</v>
      </c>
      <c r="AE39" s="621">
        <f>IF(ID!$B$51='Input Data Tachometer'!V39,2,0)</f>
        <v>0</v>
      </c>
      <c r="AF39" s="621"/>
      <c r="AG39" s="674">
        <f>IF(ID!$B$51='Input Data Tachometer'!V39,0.05,0)</f>
        <v>0</v>
      </c>
    </row>
    <row r="40" spans="1:35" x14ac:dyDescent="0.25">
      <c r="A40" s="175">
        <v>50000</v>
      </c>
      <c r="B40" s="589">
        <v>9.9999999999999995E-7</v>
      </c>
      <c r="C40" s="589">
        <v>9.9999999999999995E-7</v>
      </c>
      <c r="D40" s="169">
        <f>0.5*(MAX(B40:C40)-MIN(B40:C40))</f>
        <v>0</v>
      </c>
      <c r="E40" s="167">
        <v>15</v>
      </c>
      <c r="H40" s="1378"/>
      <c r="I40" s="630"/>
      <c r="J40" s="1378"/>
      <c r="M40" s="175">
        <v>50000</v>
      </c>
      <c r="N40" s="589">
        <v>9.9999999999999995E-7</v>
      </c>
      <c r="O40" s="589">
        <v>9.9999999999999995E-7</v>
      </c>
      <c r="P40" s="169">
        <f>0.5*(MAX(N40:O40)-MIN(N40:O40))</f>
        <v>0</v>
      </c>
      <c r="Q40" s="167">
        <v>15</v>
      </c>
      <c r="S40" s="630"/>
      <c r="U40" s="165">
        <v>8</v>
      </c>
      <c r="V40" s="676" t="s">
        <v>186</v>
      </c>
      <c r="W40" s="671"/>
      <c r="X40" s="671"/>
      <c r="Y40" s="671"/>
      <c r="Z40" s="671"/>
      <c r="AA40" s="671"/>
      <c r="AB40" s="671"/>
      <c r="AC40" s="672"/>
      <c r="AD40" s="620" t="s">
        <v>179</v>
      </c>
      <c r="AE40" s="621">
        <f>IF(ID!$B$51='Input Data Tachometer'!V40,2,0)</f>
        <v>0</v>
      </c>
      <c r="AF40" s="621"/>
      <c r="AG40" s="674">
        <f>IF(ID!$B$51='Input Data Tachometer'!V40,0.05,0)</f>
        <v>0</v>
      </c>
    </row>
    <row r="41" spans="1:35" x14ac:dyDescent="0.25">
      <c r="A41" s="175">
        <v>95000</v>
      </c>
      <c r="B41" s="589">
        <v>9.9999999999999995E-7</v>
      </c>
      <c r="C41" s="589">
        <v>9.9999999999999995E-7</v>
      </c>
      <c r="D41" s="169">
        <f>0.5*(MAX(B41:C41)-MIN(B41:C41))</f>
        <v>0</v>
      </c>
      <c r="E41" s="167">
        <v>28.5</v>
      </c>
      <c r="H41" s="1378"/>
      <c r="I41" s="630"/>
      <c r="J41" s="1378"/>
      <c r="M41" s="175">
        <v>95000</v>
      </c>
      <c r="N41" s="589">
        <v>9.9999999999999995E-7</v>
      </c>
      <c r="O41" s="589">
        <v>9.9999999999999995E-7</v>
      </c>
      <c r="P41" s="169">
        <f>0.5*(MAX(N41:O41)-MIN(N41:O41))</f>
        <v>0</v>
      </c>
      <c r="Q41" s="167">
        <v>28.5</v>
      </c>
      <c r="S41" s="630"/>
      <c r="U41" s="165">
        <v>9</v>
      </c>
      <c r="V41" s="676" t="s">
        <v>187</v>
      </c>
      <c r="W41" s="671"/>
      <c r="X41" s="671"/>
      <c r="Y41" s="671"/>
      <c r="Z41" s="671"/>
      <c r="AA41" s="671"/>
      <c r="AB41" s="671"/>
      <c r="AC41" s="672"/>
      <c r="AD41" s="620" t="s">
        <v>179</v>
      </c>
      <c r="AE41" s="621">
        <f>IF(ID!$B$51='Input Data Tachometer'!V41,2,0)</f>
        <v>0</v>
      </c>
      <c r="AF41" s="621"/>
      <c r="AG41" s="674">
        <f>IF(ID!$B$51='Input Data Tachometer'!V41,0.05,0)</f>
        <v>0</v>
      </c>
    </row>
    <row r="42" spans="1:35" ht="13.8" thickBot="1" x14ac:dyDescent="0.3">
      <c r="H42" s="1378"/>
      <c r="I42" s="630"/>
      <c r="J42" s="1378"/>
      <c r="S42" s="630"/>
      <c r="U42" s="165">
        <v>10</v>
      </c>
      <c r="V42" s="677" t="s">
        <v>188</v>
      </c>
      <c r="W42" s="678"/>
      <c r="X42" s="678"/>
      <c r="Y42" s="678"/>
      <c r="Z42" s="678"/>
      <c r="AA42" s="678"/>
      <c r="AB42" s="678"/>
      <c r="AC42" s="679"/>
      <c r="AD42" s="620" t="s">
        <v>179</v>
      </c>
      <c r="AE42" s="680">
        <f>IF(ID!$B$51='Input Data Tachometer'!V42,2,0)</f>
        <v>0</v>
      </c>
      <c r="AF42" s="680"/>
      <c r="AG42" s="681">
        <f>IF(ID!$B$51='Input Data Tachometer'!V42,0.05,0)</f>
        <v>0</v>
      </c>
    </row>
    <row r="43" spans="1:35" ht="13.8" x14ac:dyDescent="0.25">
      <c r="A43" s="1376" t="s">
        <v>189</v>
      </c>
      <c r="B43" s="1376"/>
      <c r="C43" s="1376"/>
      <c r="D43" s="1323" t="s">
        <v>123</v>
      </c>
      <c r="E43" s="1322" t="s">
        <v>124</v>
      </c>
      <c r="H43" s="1378"/>
      <c r="I43" s="630"/>
      <c r="J43" s="1378"/>
      <c r="M43" s="1376" t="s">
        <v>189</v>
      </c>
      <c r="N43" s="1376"/>
      <c r="O43" s="1376"/>
      <c r="P43" s="1323" t="s">
        <v>123</v>
      </c>
      <c r="Q43" s="1322" t="s">
        <v>124</v>
      </c>
      <c r="S43" s="630"/>
    </row>
    <row r="44" spans="1:35" ht="16.2" thickBot="1" x14ac:dyDescent="0.35">
      <c r="A44" s="626" t="s">
        <v>166</v>
      </c>
      <c r="B44" s="1372" t="s">
        <v>127</v>
      </c>
      <c r="C44" s="1372"/>
      <c r="D44" s="1323"/>
      <c r="E44" s="1322"/>
      <c r="H44" s="1378"/>
      <c r="I44" s="630"/>
      <c r="J44" s="1378"/>
      <c r="M44" s="626" t="s">
        <v>166</v>
      </c>
      <c r="N44" s="1372" t="s">
        <v>127</v>
      </c>
      <c r="O44" s="1372"/>
      <c r="P44" s="1323"/>
      <c r="Q44" s="1322"/>
      <c r="S44" s="630"/>
      <c r="V44" s="1345" t="s">
        <v>164</v>
      </c>
      <c r="W44" s="1345"/>
      <c r="X44" s="1345"/>
      <c r="Y44" s="1345"/>
      <c r="Z44" s="1345"/>
      <c r="AE44" s="1345" t="s">
        <v>165</v>
      </c>
      <c r="AF44" s="1345"/>
      <c r="AG44" s="1345"/>
      <c r="AH44" s="1345"/>
      <c r="AI44" s="1345"/>
    </row>
    <row r="45" spans="1:35" ht="14.4" x14ac:dyDescent="0.25">
      <c r="A45" s="627" t="s">
        <v>167</v>
      </c>
      <c r="B45" s="628">
        <v>2020</v>
      </c>
      <c r="C45" s="628">
        <v>2018</v>
      </c>
      <c r="D45" s="1323"/>
      <c r="E45" s="1322"/>
      <c r="H45" s="1378"/>
      <c r="I45" s="630"/>
      <c r="J45" s="1378"/>
      <c r="M45" s="627" t="s">
        <v>167</v>
      </c>
      <c r="N45" s="628">
        <v>2020</v>
      </c>
      <c r="O45" s="628">
        <v>2018</v>
      </c>
      <c r="P45" s="1323"/>
      <c r="Q45" s="1322"/>
      <c r="S45" s="630"/>
      <c r="V45" s="1342" t="str">
        <f>IF(ID!$B$51='Input Data Tachometer'!$V$33,'Input Data Tachometer'!A1,IF(ID!$B$51='Input Data Tachometer'!$V$34,'Input Data Tachometer'!A15,IF(ID!$B$51='Input Data Tachometer'!$V$35,'Input Data Tachometer'!A29,IF(ID!$B$51='Input Data Tachometer'!$V$36,'Input Data Tachometer'!A43,IF(ID!$B$51='Input Data Tachometer'!$V$37,'Input Data Tachometer'!A57,IF(ID!$B$51='Input Data Tachometer'!$V$38,'Input Data Tachometer'!A71,IF(ID!$B$51='Input Data Tachometer'!$V$39,'Input Data Tachometer'!A85,IF(ID!$B$51='Input Data Tachometer'!$V$40,'Input Data Tachometer'!A99,IF(ID!$B$51='Input Data Tachometer'!$V$41,'Input Data Tachometer'!A113,IF(ID!$B$51='Input Data Tachometer'!$V$42,'Input Data Tachometer'!A127))))))))))</f>
        <v>6. SN. 180812200</v>
      </c>
      <c r="W45" s="1343"/>
      <c r="X45" s="1343"/>
      <c r="Y45" s="1138" t="str">
        <f>IF(ID!$B$51='Input Data Tachometer'!$V$33,'Input Data Tachometer'!D1,IF(ID!$B$51='Input Data Tachometer'!$V$34,'Input Data Tachometer'!D15,IF(ID!$B$51='Input Data Tachometer'!$V$35,'Input Data Tachometer'!D29,IF(ID!$B$51='Input Data Tachometer'!$V$36,'Input Data Tachometer'!D43,IF(ID!$B$51='Input Data Tachometer'!$V$37,'Input Data Tachometer'!D57,IF(ID!$B$51='Input Data Tachometer'!$V$38,'Input Data Tachometer'!D71,IF(ID!$B$51='Input Data Tachometer'!$V$39,'Input Data Tachometer'!D85,IF(ID!$B$51='Input Data Tachometer'!$V$40,'Input Data Tachometer'!D99,IF(ID!$B$51='Input Data Tachometer'!$V$41,'Input Data Tachometer'!D113,IF(ID!$B$51='Input Data Tachometer'!$V$42,'Input Data Tachometer'!D127))))))))))</f>
        <v>DRIFT</v>
      </c>
      <c r="Z45" s="1139" t="str">
        <f>IF(ID!$B$51='Input Data Tachometer'!$V$33,'Input Data Tachometer'!E1,IF(ID!$B$51='Input Data Tachometer'!$V$34,'Input Data Tachometer'!E15,IF(ID!$B$51='Input Data Tachometer'!$V$35,'Input Data Tachometer'!E29,IF(ID!$B$51='Input Data Tachometer'!$V$36,'Input Data Tachometer'!E43,IF(ID!$B$51='Input Data Tachometer'!$V$37,'Input Data Tachometer'!E57,IF(ID!$B$51='Input Data Tachometer'!$V$38,'Input Data Tachometer'!E71,IF(ID!$B$51='Input Data Tachometer'!$V$39,'Input Data Tachometer'!E85,IF(ID!$B$51='Input Data Tachometer'!$V$40,'Input Data Tachometer'!E99,IF(ID!$B$51='Input Data Tachometer'!$V$41,'Input Data Tachometer'!E113,IF(ID!$B$51='Input Data Tachometer'!$V$42,'Input Data Tachometer'!E127))))))))))</f>
        <v>U95 STD</v>
      </c>
      <c r="AA45" s="634"/>
      <c r="AE45" s="1342" t="str">
        <f>IF(ID!$B$51='Input Data Tachometer'!$V$33,'Input Data Tachometer'!M1,IF(ID!$B$51='Input Data Tachometer'!$V$34,'Input Data Tachometer'!M15,IF(ID!$B$51='Input Data Tachometer'!$V$35,'Input Data Tachometer'!M29,IF(ID!$B$51='Input Data Tachometer'!$V$36,'Input Data Tachometer'!M43,IF(ID!$B$51='Input Data Tachometer'!$V$37,'Input Data Tachometer'!M57,IF(ID!$B$51='Input Data Tachometer'!$V$38,'Input Data Tachometer'!M71,IF(ID!$B$51='Input Data Tachometer'!$V$39,'Input Data Tachometer'!M85,IF(ID!$B$51='Input Data Tachometer'!$V$40,'Input Data Tachometer'!M99,IF(ID!$B$51='Input Data Tachometer'!$V$41,'Input Data Tachometer'!M113,'Input Data Tachometer'!M127)))))))))</f>
        <v>6. SN. 180812200</v>
      </c>
      <c r="AF45" s="1343"/>
      <c r="AG45" s="1343"/>
      <c r="AH45" s="1138" t="str">
        <f>IF(ID!$B$51='Input Data Tachometer'!$V$33,'Input Data Tachometer'!P1,IF(ID!$B$51='Input Data Tachometer'!$V$34,'Input Data Tachometer'!P15,IF(ID!$B$51='Input Data Tachometer'!$V$35,'Input Data Tachometer'!P29,IF(ID!$B$51='Input Data Tachometer'!$V$36,'Input Data Tachometer'!P43,IF(ID!$B$51='Input Data Tachometer'!$V$37,'Input Data Tachometer'!P57,IF(ID!$B$51='Input Data Tachometer'!$V$38,'Input Data Tachometer'!P71,IF(ID!$B$51='Input Data Tachometer'!$V$39,'Input Data Tachometer'!P85,IF(ID!$B$51='Input Data Tachometer'!$V$40,'Input Data Tachometer'!P99,IF(ID!$B$51='Input Data Tachometer'!$V$41,'Input Data Tachometer'!P113,'Input Data Tachometer'!P127)))))))))</f>
        <v>DRIFT</v>
      </c>
      <c r="AI45" s="1139" t="str">
        <f>IF(ID!$B$51='Input Data Tachometer'!$V$33,'Input Data Tachometer'!Q1,IF(ID!$B$51='Input Data Tachometer'!$V$34,'Input Data Tachometer'!Q15,IF(ID!$B$51='Input Data Tachometer'!$V$35,'Input Data Tachometer'!Q29,IF(ID!$B$51='Input Data Tachometer'!$V$36,'Input Data Tachometer'!Q43,IF(ID!$B$51='Input Data Tachometer'!$V$37,'Input Data Tachometer'!Q57,IF(ID!$B$51='Input Data Tachometer'!$V$38,'Input Data Tachometer'!Q71,IF(ID!$B$51='Input Data Tachometer'!$V$39,'Input Data Tachometer'!Q85,IF(ID!$B$51='Input Data Tachometer'!$V$40,'Input Data Tachometer'!Q99,IF(ID!$B$51='Input Data Tachometer'!$V$41,'Input Data Tachometer'!Q113,'Input Data Tachometer'!Q127)))))))))</f>
        <v>U95 STD</v>
      </c>
    </row>
    <row r="46" spans="1:35" x14ac:dyDescent="0.25">
      <c r="A46" s="588">
        <v>0</v>
      </c>
      <c r="B46" s="167">
        <v>9.9999999999999995E-7</v>
      </c>
      <c r="C46" s="167">
        <v>9.9999999999999995E-7</v>
      </c>
      <c r="D46" s="171">
        <f>0.5*(MAX(B46:C46)-MIN(B46:C46))</f>
        <v>0</v>
      </c>
      <c r="E46" s="167">
        <v>1</v>
      </c>
      <c r="H46" s="1378"/>
      <c r="I46" s="630"/>
      <c r="J46" s="1378"/>
      <c r="M46" s="588">
        <v>0</v>
      </c>
      <c r="N46" s="167">
        <v>9.9999999999999995E-7</v>
      </c>
      <c r="O46" s="167">
        <v>9.9999999999999995E-7</v>
      </c>
      <c r="P46" s="171">
        <f>0.5*(MAX(N46:O46)-MIN(N46:O46))</f>
        <v>0</v>
      </c>
      <c r="Q46" s="167">
        <v>1</v>
      </c>
      <c r="S46" s="630"/>
      <c r="V46" s="1140" t="str">
        <f>IF(ID!$B$51='Input Data Tachometer'!$V$33,'Input Data Tachometer'!A2,IF(ID!$B$51='Input Data Tachometer'!$V$34,'Input Data Tachometer'!A16,IF(ID!$B$51='Input Data Tachometer'!$V$35,'Input Data Tachometer'!A30,IF(ID!$B$51='Input Data Tachometer'!$V$36,'Input Data Tachometer'!A44,IF(ID!$B$51='Input Data Tachometer'!$V$37,'Input Data Tachometer'!A58,IF(ID!$B$51='Input Data Tachometer'!$V$38,'Input Data Tachometer'!A72,IF(ID!$B$51='Input Data Tachometer'!$V$39,'Input Data Tachometer'!A86,IF(ID!$B$51='Input Data Tachometer'!$V$40,'Input Data Tachometer'!A100,IF(ID!$B$51='Input Data Tachometer'!$V$41,'Input Data Tachometer'!A114,IF(ID!$B$51='Input Data Tachometer'!$V$42,'Input Data Tachometer'!A128))))))))))</f>
        <v>Kecepatan</v>
      </c>
      <c r="W46" s="1344" t="str">
        <f>IF(ID!$B$51='Input Data Tachometer'!$V$33,'Input Data Tachometer'!B2,IF(ID!$B$51='Input Data Tachometer'!$V$34,'Input Data Tachometer'!B16,IF(ID!$B$51='Input Data Tachometer'!$V$35,'Input Data Tachometer'!B30,IF(ID!$B$51='Input Data Tachometer'!$V$36,'Input Data Tachometer'!B44,IF(ID!$B$51='Input Data Tachometer'!$V$37,'Input Data Tachometer'!B58,IF(ID!$B$51='Input Data Tachometer'!$V$38,'Input Data Tachometer'!B72,IF(ID!$B$51='Input Data Tachometer'!$V$39,'Input Data Tachometer'!B86,IF(ID!$B$51='Input Data Tachometer'!$V$40,'Input Data Tachometer'!B100,IF(ID!$B$51='Input Data Tachometer'!$V$41,'Input Data Tachometer'!B114,IF(ID!$B$51='Input Data Tachometer'!$V$42,'Input Data Tachometer'!B128))))))))))</f>
        <v>Tahun</v>
      </c>
      <c r="X46" s="1344"/>
      <c r="Y46" s="1134"/>
      <c r="Z46" s="1141"/>
      <c r="AA46" s="634"/>
      <c r="AE46" s="1140" t="str">
        <f>IF(ID!$B$51='Input Data Tachometer'!$V$33,'Input Data Tachometer'!M2,IF(ID!$B$51='Input Data Tachometer'!$V$34,'Input Data Tachometer'!M16,IF(ID!$B$51='Input Data Tachometer'!$V$35,'Input Data Tachometer'!M30,IF(ID!$B$51='Input Data Tachometer'!$V$36,'Input Data Tachometer'!M44,IF(ID!$B$51='Input Data Tachometer'!$V$37,'Input Data Tachometer'!M58,IF(ID!$B$51='Input Data Tachometer'!$V$38,'Input Data Tachometer'!M72,IF(ID!$B$51='Input Data Tachometer'!$V$39,'Input Data Tachometer'!M86,IF(ID!$B$51='Input Data Tachometer'!$V$40,'Input Data Tachometer'!M100,IF(ID!$B$51='Input Data Tachometer'!$V$41,'Input Data Tachometer'!M114,'Input Data Tachometer'!M128)))))))))</f>
        <v>Kecepatan</v>
      </c>
      <c r="AF46" s="1344" t="str">
        <f>IF(ID!$B$51='Input Data Tachometer'!$V$33,'Input Data Tachometer'!N2,IF(ID!$B$51='Input Data Tachometer'!$V$34,'Input Data Tachometer'!N16,IF(ID!$B$51='Input Data Tachometer'!$V$35,'Input Data Tachometer'!N30,IF(ID!$B$51='Input Data Tachometer'!$V$36,'Input Data Tachometer'!N44,IF(ID!$B$51='Input Data Tachometer'!$V$37,'Input Data Tachometer'!N58,IF(ID!$B$51='Input Data Tachometer'!$V$38,'Input Data Tachometer'!N72,IF(ID!$B$51='Input Data Tachometer'!$V$39,'Input Data Tachometer'!N86,IF(ID!$B$51='Input Data Tachometer'!$V$40,'Input Data Tachometer'!N100,IF(ID!$B$51='Input Data Tachometer'!$V$41,'Input Data Tachometer'!N114,'Input Data Tachometer'!N128)))))))))</f>
        <v>Tahun</v>
      </c>
      <c r="AG46" s="1344"/>
      <c r="AH46" s="1134"/>
      <c r="AI46" s="1141"/>
    </row>
    <row r="47" spans="1:35" x14ac:dyDescent="0.25">
      <c r="A47" s="175">
        <v>200</v>
      </c>
      <c r="B47" s="167">
        <v>1</v>
      </c>
      <c r="C47" s="167">
        <v>9.9999999999999995E-7</v>
      </c>
      <c r="D47" s="171">
        <f>0.5*(MAX(B47:C47)-MIN(B47:C47))</f>
        <v>0.49999949999999999</v>
      </c>
      <c r="E47" s="167">
        <v>0.06</v>
      </c>
      <c r="H47" s="1378"/>
      <c r="I47" s="630"/>
      <c r="J47" s="1378"/>
      <c r="M47" s="175">
        <v>200</v>
      </c>
      <c r="N47" s="167">
        <v>1</v>
      </c>
      <c r="O47" s="167">
        <v>9.9999999999999995E-7</v>
      </c>
      <c r="P47" s="171">
        <f>0.5*(MAX(N47:O47)-MIN(N47:O47))</f>
        <v>0.49999949999999999</v>
      </c>
      <c r="Q47" s="167">
        <v>0.06</v>
      </c>
      <c r="S47" s="630"/>
      <c r="V47" s="1140" t="str">
        <f>IF(ID!$B$51='Input Data Tachometer'!$V$33,'Input Data Tachometer'!A3,IF(ID!$B$51='Input Data Tachometer'!$V$34,'Input Data Tachometer'!A17,IF(ID!$B$51='Input Data Tachometer'!$V$35,'Input Data Tachometer'!A31,IF(ID!$B$51='Input Data Tachometer'!$V$36,'Input Data Tachometer'!A45,IF(ID!$B$51='Input Data Tachometer'!$V$37,'Input Data Tachometer'!A59,IF(ID!$B$51='Input Data Tachometer'!$V$38,'Input Data Tachometer'!A73,IF(ID!$B$51='Input Data Tachometer'!$V$39,'Input Data Tachometer'!A87,IF(ID!$B$51='Input Data Tachometer'!$V$40,'Input Data Tachometer'!A101,IF(ID!$B$51='Input Data Tachometer'!$V$41,'Input Data Tachometer'!A115,IF(ID!$B$51='Input Data Tachometer'!$V$42,'Input Data Tachometer'!A129))))))))))</f>
        <v>rpm</v>
      </c>
      <c r="W47" s="1134">
        <f>IF(ID!$B$51='Input Data Tachometer'!$V$33,'Input Data Tachometer'!B3,IF(ID!$B$51='Input Data Tachometer'!$V$34,'Input Data Tachometer'!B17,IF(ID!$B$51='Input Data Tachometer'!$V$35,'Input Data Tachometer'!B31,IF(ID!$B$51='Input Data Tachometer'!$V$36,'Input Data Tachometer'!B45,IF(ID!$B$51='Input Data Tachometer'!$V$37,'Input Data Tachometer'!B59,IF(ID!$B$51='Input Data Tachometer'!$V$38,'Input Data Tachometer'!B73,IF(ID!$B$51='Input Data Tachometer'!$V$39,'Input Data Tachometer'!B87,IF(ID!$B$51='Input Data Tachometer'!$V$40,'Input Data Tachometer'!B101,IF(ID!$B$51='Input Data Tachometer'!$V$41,'Input Data Tachometer'!B115,IF(ID!$B$51='Input Data Tachometer'!$V$42,'Input Data Tachometer'!B129))))))))))</f>
        <v>2021</v>
      </c>
      <c r="X47" s="1134">
        <f>IF(ID!$B$51='Input Data Tachometer'!$V$33,'Input Data Tachometer'!C3,IF(ID!$B$51='Input Data Tachometer'!$V$34,'Input Data Tachometer'!C17,IF(ID!$B$51='Input Data Tachometer'!$V$35,'Input Data Tachometer'!C31,IF(ID!$B$51='Input Data Tachometer'!$V$36,'Input Data Tachometer'!C45,IF(ID!$B$51='Input Data Tachometer'!$V$37,'Input Data Tachometer'!C59,IF(ID!$B$51='Input Data Tachometer'!$V$38,'Input Data Tachometer'!C73,IF(ID!$B$51='Input Data Tachometer'!$V$39,'Input Data Tachometer'!C87,IF(ID!$B$51='Input Data Tachometer'!$V$40,'Input Data Tachometer'!C101,IF(ID!$B$51='Input Data Tachometer'!$V$41,'Input Data Tachometer'!C115,IF(ID!$B$51='Input Data Tachometer'!$V$42,'Input Data Tachometer'!C129))))))))))</f>
        <v>2019</v>
      </c>
      <c r="Y47" s="1134"/>
      <c r="Z47" s="1141"/>
      <c r="AA47" s="634"/>
      <c r="AE47" s="1140" t="str">
        <f>IF(ID!$B$51='Input Data Tachometer'!$V$33,'Input Data Tachometer'!M3,IF(ID!$B$51='Input Data Tachometer'!$V$34,'Input Data Tachometer'!M17,IF(ID!$B$51='Input Data Tachometer'!$V$35,'Input Data Tachometer'!M31,IF(ID!$B$51='Input Data Tachometer'!$V$36,'Input Data Tachometer'!M45,IF(ID!$B$51='Input Data Tachometer'!$V$37,'Input Data Tachometer'!M59,IF(ID!$B$51='Input Data Tachometer'!$V$38,'Input Data Tachometer'!M73,IF(ID!$B$51='Input Data Tachometer'!$V$39,'Input Data Tachometer'!M87,IF(ID!$B$51='Input Data Tachometer'!$V$40,'Input Data Tachometer'!M101,IF(ID!$B$51='Input Data Tachometer'!$V$41,'Input Data Tachometer'!M115,'Input Data Tachometer'!M129)))))))))</f>
        <v>rpm</v>
      </c>
      <c r="AF47" s="1134">
        <f>IF(ID!$B$51='Input Data Tachometer'!$V$33,'Input Data Tachometer'!N3,IF(ID!$B$51='Input Data Tachometer'!$V$34,'Input Data Tachometer'!N17,IF(ID!$B$51='Input Data Tachometer'!$V$35,'Input Data Tachometer'!N31,IF(ID!$B$51='Input Data Tachometer'!$V$36,'Input Data Tachometer'!N45,IF(ID!$B$51='Input Data Tachometer'!$V$37,'Input Data Tachometer'!N59,IF(ID!$B$51='Input Data Tachometer'!$V$38,'Input Data Tachometer'!N73,IF(ID!$B$51='Input Data Tachometer'!$V$39,'Input Data Tachometer'!N87,IF(ID!$B$51='Input Data Tachometer'!$V$40,'Input Data Tachometer'!N101,IF(ID!$B$51='Input Data Tachometer'!$V$41,'Input Data Tachometer'!N115,'Input Data Tachometer'!N129)))))))))</f>
        <v>2021</v>
      </c>
      <c r="AG47" s="1134">
        <f>IF(ID!$B$51='Input Data Tachometer'!$V$33,'Input Data Tachometer'!O3,IF(ID!$B$51='Input Data Tachometer'!$V$34,'Input Data Tachometer'!O17,IF(ID!$B$51='Input Data Tachometer'!$V$35,'Input Data Tachometer'!O31,IF(ID!$B$51='Input Data Tachometer'!$V$36,'Input Data Tachometer'!O45,IF(ID!$B$51='Input Data Tachometer'!$V$37,'Input Data Tachometer'!O59,IF(ID!$B$51='Input Data Tachometer'!$V$38,'Input Data Tachometer'!O73,IF(ID!$B$51='Input Data Tachometer'!$V$39,'Input Data Tachometer'!O87,IF(ID!$B$51='Input Data Tachometer'!$V$40,'Input Data Tachometer'!O101,IF(ID!$B$51='Input Data Tachometer'!$V$41,'Input Data Tachometer'!O115,'Input Data Tachometer'!O129)))))))))</f>
        <v>2019</v>
      </c>
      <c r="AH47" s="1134"/>
      <c r="AI47" s="1141"/>
    </row>
    <row r="48" spans="1:35" x14ac:dyDescent="0.25">
      <c r="A48" s="175">
        <v>1000</v>
      </c>
      <c r="B48" s="167">
        <v>1</v>
      </c>
      <c r="C48" s="167">
        <v>9.9999999999999995E-7</v>
      </c>
      <c r="D48" s="171">
        <f>0.5*(MAX(B48:C48)-MIN(B48:C48))</f>
        <v>0.49999949999999999</v>
      </c>
      <c r="E48" s="167">
        <v>0.3</v>
      </c>
      <c r="H48" s="1378"/>
      <c r="I48" s="630"/>
      <c r="J48" s="1378"/>
      <c r="M48" s="175">
        <v>1000</v>
      </c>
      <c r="N48" s="167">
        <v>1</v>
      </c>
      <c r="O48" s="167">
        <v>9.9999999999999995E-7</v>
      </c>
      <c r="P48" s="171">
        <f>0.5*(MAX(N48:O48)-MIN(N48:O48))</f>
        <v>0.49999949999999999</v>
      </c>
      <c r="Q48" s="167">
        <v>0.3</v>
      </c>
      <c r="S48" s="630"/>
      <c r="V48" s="1140">
        <f>IF(ID!$B$51='Input Data Tachometer'!$V$33,'Input Data Tachometer'!A4,IF(ID!$B$51='Input Data Tachometer'!$V$34,'Input Data Tachometer'!A18,IF(ID!$B$51='Input Data Tachometer'!$V$35,'Input Data Tachometer'!A32,IF(ID!$B$51='Input Data Tachometer'!$V$36,'Input Data Tachometer'!A46,IF(ID!$B$51='Input Data Tachometer'!$V$37,'Input Data Tachometer'!A60,IF(ID!$B$51='Input Data Tachometer'!$V$38,'Input Data Tachometer'!A74,IF(ID!$B$51='Input Data Tachometer'!$V$39,'Input Data Tachometer'!A88,IF(ID!$B$51='Input Data Tachometer'!$V$40,'Input Data Tachometer'!A102,IF(ID!$B$51='Input Data Tachometer'!$V$41,'Input Data Tachometer'!A116,IF(ID!$B$51='Input Data Tachometer'!$V$42,'Input Data Tachometer'!A130))))))))))</f>
        <v>0</v>
      </c>
      <c r="W48" s="1134">
        <f>IF(ID!$B$51='Input Data Tachometer'!$V$33,'Input Data Tachometer'!B4,IF(ID!$B$51='Input Data Tachometer'!$V$34,'Input Data Tachometer'!B18,IF(ID!$B$51='Input Data Tachometer'!$V$35,'Input Data Tachometer'!B32,IF(ID!$B$51='Input Data Tachometer'!$V$36,'Input Data Tachometer'!B46,IF(ID!$B$51='Input Data Tachometer'!$V$37,'Input Data Tachometer'!B60,IF(ID!$B$51='Input Data Tachometer'!$V$38,'Input Data Tachometer'!B74,IF(ID!$B$51='Input Data Tachometer'!$V$39,'Input Data Tachometer'!B88,IF(ID!$B$51='Input Data Tachometer'!$V$40,'Input Data Tachometer'!B102,IF(ID!$B$51='Input Data Tachometer'!$V$41,'Input Data Tachometer'!B116,IF(ID!$B$51='Input Data Tachometer'!$V$42,'Input Data Tachometer'!B130))))))))))</f>
        <v>9.9999999999999995E-7</v>
      </c>
      <c r="X48" s="1134">
        <f>IF(ID!$B$51='Input Data Tachometer'!$V$33,'Input Data Tachometer'!C4,IF(ID!$B$51='Input Data Tachometer'!$V$34,'Input Data Tachometer'!C18,IF(ID!$B$51='Input Data Tachometer'!$V$35,'Input Data Tachometer'!C32,IF(ID!$B$51='Input Data Tachometer'!$V$36,'Input Data Tachometer'!C46,IF(ID!$B$51='Input Data Tachometer'!$V$37,'Input Data Tachometer'!C60,IF(ID!$B$51='Input Data Tachometer'!$V$38,'Input Data Tachometer'!C74,IF(ID!$B$51='Input Data Tachometer'!$V$39,'Input Data Tachometer'!C88,IF(ID!$B$51='Input Data Tachometer'!$V$40,'Input Data Tachometer'!C102,IF(ID!$B$51='Input Data Tachometer'!$V$41,'Input Data Tachometer'!C116,IF(ID!$B$51='Input Data Tachometer'!$V$42,'Input Data Tachometer'!C130))))))))))</f>
        <v>9.9999999999999995E-7</v>
      </c>
      <c r="Y48" s="1134">
        <f>IF(ID!$B$51='Input Data Tachometer'!$V$33,'Input Data Tachometer'!D4,IF(ID!$B$51='Input Data Tachometer'!$V$34,'Input Data Tachometer'!D18,IF(ID!$B$51='Input Data Tachometer'!$V$35,'Input Data Tachometer'!D32,IF(ID!$B$51='Input Data Tachometer'!$V$36,'Input Data Tachometer'!D46,IF(ID!$B$51='Input Data Tachometer'!$V$37,'Input Data Tachometer'!D60,IF(ID!$B$51='Input Data Tachometer'!$V$38,'Input Data Tachometer'!D74,IF(ID!$B$51='Input Data Tachometer'!$V$39,'Input Data Tachometer'!D88,IF(ID!$B$51='Input Data Tachometer'!$V$40,'Input Data Tachometer'!D102,IF(ID!$B$51='Input Data Tachometer'!$V$41,'Input Data Tachometer'!D116,IF(ID!$B$51='Input Data Tachometer'!$V$42,'Input Data Tachometer'!D130))))))))))</f>
        <v>0</v>
      </c>
      <c r="Z48" s="1141">
        <f>IF(ID!$B$51='Input Data Tachometer'!$V$33,'Input Data Tachometer'!E4,IF(ID!$B$51='Input Data Tachometer'!$V$34,'Input Data Tachometer'!E18,IF(ID!$B$51='Input Data Tachometer'!$V$35,'Input Data Tachometer'!E32,IF(ID!$B$51='Input Data Tachometer'!$V$36,'Input Data Tachometer'!E46,IF(ID!$B$51='Input Data Tachometer'!$V$37,'Input Data Tachometer'!E60,IF(ID!$B$51='Input Data Tachometer'!$V$38,'Input Data Tachometer'!E74,IF(ID!$B$51='Input Data Tachometer'!$V$39,'Input Data Tachometer'!E88,IF(ID!$B$51='Input Data Tachometer'!$V$40,'Input Data Tachometer'!E102,IF(ID!$B$51='Input Data Tachometer'!$V$41,'Input Data Tachometer'!E116,IF(ID!$B$51='Input Data Tachometer'!$V$42,'Input Data Tachometer'!E130))))))))))</f>
        <v>0</v>
      </c>
      <c r="AA48" s="634"/>
      <c r="AE48" s="1140">
        <f>IF(ID!$B$51='Input Data Tachometer'!$V$33,'Input Data Tachometer'!M4,IF(ID!$B$51='Input Data Tachometer'!$V$34,'Input Data Tachometer'!M18,IF(ID!$B$51='Input Data Tachometer'!$V$35,'Input Data Tachometer'!M32,IF(ID!$B$51='Input Data Tachometer'!$V$36,'Input Data Tachometer'!M46,IF(ID!$B$51='Input Data Tachometer'!$V$37,'Input Data Tachometer'!M60,IF(ID!$B$51='Input Data Tachometer'!$V$38,'Input Data Tachometer'!M74,IF(ID!$B$51='Input Data Tachometer'!$V$39,'Input Data Tachometer'!M88,IF(ID!$B$51='Input Data Tachometer'!$V$40,'Input Data Tachometer'!M102,IF(ID!$B$51='Input Data Tachometer'!$V$41,'Input Data Tachometer'!M116,'Input Data Tachometer'!M130)))))))))</f>
        <v>0</v>
      </c>
      <c r="AF48" s="178">
        <f>IF(ID!$B$51='Input Data Tachometer'!$V$33,'Input Data Tachometer'!N4,IF(ID!$B$51='Input Data Tachometer'!$V$34,'Input Data Tachometer'!N18,IF(ID!$B$51='Input Data Tachometer'!$V$35,'Input Data Tachometer'!N32,IF(ID!$B$51='Input Data Tachometer'!$V$36,'Input Data Tachometer'!N46,IF(ID!$B$51='Input Data Tachometer'!$V$37,'Input Data Tachometer'!N60,IF(ID!$B$51='Input Data Tachometer'!$V$38,'Input Data Tachometer'!N74,IF(ID!$B$51='Input Data Tachometer'!$V$39,'Input Data Tachometer'!N88,IF(ID!$B$51='Input Data Tachometer'!$V$40,'Input Data Tachometer'!N102,IF(ID!$B$51='Input Data Tachometer'!$V$41,'Input Data Tachometer'!N116,'Input Data Tachometer'!N130)))))))))</f>
        <v>9.9999999999999995E-7</v>
      </c>
      <c r="AG48" s="178">
        <f>IF(ID!$B$51='Input Data Tachometer'!$V$33,'Input Data Tachometer'!O4,IF(ID!$B$51='Input Data Tachometer'!$V$34,'Input Data Tachometer'!O18,IF(ID!$B$51='Input Data Tachometer'!$V$35,'Input Data Tachometer'!O32,IF(ID!$B$51='Input Data Tachometer'!$V$36,'Input Data Tachometer'!O46,IF(ID!$B$51='Input Data Tachometer'!$V$37,'Input Data Tachometer'!O60,IF(ID!$B$51='Input Data Tachometer'!$V$38,'Input Data Tachometer'!O74,IF(ID!$B$51='Input Data Tachometer'!$V$39,'Input Data Tachometer'!O88,IF(ID!$B$51='Input Data Tachometer'!$V$40,'Input Data Tachometer'!O102,IF(ID!$B$51='Input Data Tachometer'!$V$41,'Input Data Tachometer'!O116,'Input Data Tachometer'!O130)))))))))</f>
        <v>9.9999999999999995E-7</v>
      </c>
      <c r="AH48" s="178">
        <f>IF(ID!$B$51='Input Data Tachometer'!$V$33,'Input Data Tachometer'!P4,IF(ID!$B$51='Input Data Tachometer'!$V$34,'Input Data Tachometer'!P18,IF(ID!$B$51='Input Data Tachometer'!$V$35,'Input Data Tachometer'!P32,IF(ID!$B$51='Input Data Tachometer'!$V$36,'Input Data Tachometer'!P46,IF(ID!$B$51='Input Data Tachometer'!$V$37,'Input Data Tachometer'!P60,IF(ID!$B$51='Input Data Tachometer'!$V$38,'Input Data Tachometer'!P74,IF(ID!$B$51='Input Data Tachometer'!$V$39,'Input Data Tachometer'!P88,IF(ID!$B$51='Input Data Tachometer'!$V$40,'Input Data Tachometer'!P102,IF(ID!$B$51='Input Data Tachometer'!$V$41,'Input Data Tachometer'!P116,'Input Data Tachometer'!P130)))))))))</f>
        <v>0</v>
      </c>
      <c r="AI48" s="1145">
        <f>IF(ID!$B$51='Input Data Tachometer'!$V$33,'Input Data Tachometer'!Q4,IF(ID!$B$51='Input Data Tachometer'!$V$34,'Input Data Tachometer'!Q18,IF(ID!$B$51='Input Data Tachometer'!$V$35,'Input Data Tachometer'!Q32,IF(ID!$B$51='Input Data Tachometer'!$V$36,'Input Data Tachometer'!Q46,IF(ID!$B$51='Input Data Tachometer'!$V$37,'Input Data Tachometer'!Q60,IF(ID!$B$51='Input Data Tachometer'!$V$38,'Input Data Tachometer'!Q74,IF(ID!$B$51='Input Data Tachometer'!$V$39,'Input Data Tachometer'!Q88,IF(ID!$B$51='Input Data Tachometer'!$V$40,'Input Data Tachometer'!Q102,IF(ID!$B$51='Input Data Tachometer'!$V$41,'Input Data Tachometer'!Q116,'Input Data Tachometer'!Q130)))))))))</f>
        <v>0</v>
      </c>
    </row>
    <row r="49" spans="1:35" x14ac:dyDescent="0.25">
      <c r="A49" s="175">
        <v>2000</v>
      </c>
      <c r="B49" s="167">
        <v>1</v>
      </c>
      <c r="C49" s="167">
        <v>9.9999999999999995E-7</v>
      </c>
      <c r="D49" s="171">
        <v>0.5</v>
      </c>
      <c r="E49" s="167">
        <v>0.6</v>
      </c>
      <c r="H49" s="1378"/>
      <c r="I49" s="630"/>
      <c r="J49" s="1378"/>
      <c r="M49" s="175">
        <v>2000</v>
      </c>
      <c r="N49" s="167">
        <v>1</v>
      </c>
      <c r="O49" s="167">
        <v>9.9999999999999995E-7</v>
      </c>
      <c r="P49" s="171">
        <v>0.5</v>
      </c>
      <c r="Q49" s="167">
        <v>0.6</v>
      </c>
      <c r="S49" s="630"/>
      <c r="V49" s="1140">
        <f>IF(ID!$B$51='Input Data Tachometer'!$V$33,'Input Data Tachometer'!A5,IF(ID!$B$51='Input Data Tachometer'!$V$34,'Input Data Tachometer'!A19,IF(ID!$B$51='Input Data Tachometer'!$V$35,'Input Data Tachometer'!A33,IF(ID!$B$51='Input Data Tachometer'!$V$36,'Input Data Tachometer'!A47,IF(ID!$B$51='Input Data Tachometer'!$V$37,'Input Data Tachometer'!A61,IF(ID!$B$51='Input Data Tachometer'!$V$38,'Input Data Tachometer'!A75,IF(ID!$B$51='Input Data Tachometer'!$V$39,'Input Data Tachometer'!A89,IF(ID!$B$51='Input Data Tachometer'!$V$40,'Input Data Tachometer'!A103,IF(ID!$B$51='Input Data Tachometer'!$V$41,'Input Data Tachometer'!A117,IF(ID!$B$51='Input Data Tachometer'!$V$42,'Input Data Tachometer'!A131))))))))))</f>
        <v>200</v>
      </c>
      <c r="W49" s="1134">
        <f>IF(ID!$B$51='Input Data Tachometer'!$V$33,'Input Data Tachometer'!B5,IF(ID!$B$51='Input Data Tachometer'!$V$34,'Input Data Tachometer'!B19,IF(ID!$B$51='Input Data Tachometer'!$V$35,'Input Data Tachometer'!B33,IF(ID!$B$51='Input Data Tachometer'!$V$36,'Input Data Tachometer'!B47,IF(ID!$B$51='Input Data Tachometer'!$V$37,'Input Data Tachometer'!B61,IF(ID!$B$51='Input Data Tachometer'!$V$38,'Input Data Tachometer'!B75,IF(ID!$B$51='Input Data Tachometer'!$V$39,'Input Data Tachometer'!B89,IF(ID!$B$51='Input Data Tachometer'!$V$40,'Input Data Tachometer'!B103,IF(ID!$B$51='Input Data Tachometer'!$V$41,'Input Data Tachometer'!B117,IF(ID!$B$51='Input Data Tachometer'!$V$42,'Input Data Tachometer'!B131))))))))))</f>
        <v>9.9999999999999995E-7</v>
      </c>
      <c r="X49" s="1134">
        <f>IF(ID!$B$51='Input Data Tachometer'!$V$33,'Input Data Tachometer'!C5,IF(ID!$B$51='Input Data Tachometer'!$V$34,'Input Data Tachometer'!C19,IF(ID!$B$51='Input Data Tachometer'!$V$35,'Input Data Tachometer'!C33,IF(ID!$B$51='Input Data Tachometer'!$V$36,'Input Data Tachometer'!C47,IF(ID!$B$51='Input Data Tachometer'!$V$37,'Input Data Tachometer'!C61,IF(ID!$B$51='Input Data Tachometer'!$V$38,'Input Data Tachometer'!C75,IF(ID!$B$51='Input Data Tachometer'!$V$39,'Input Data Tachometer'!C89,IF(ID!$B$51='Input Data Tachometer'!$V$40,'Input Data Tachometer'!C103,IF(ID!$B$51='Input Data Tachometer'!$V$41,'Input Data Tachometer'!C117,IF(ID!$B$51='Input Data Tachometer'!$V$42,'Input Data Tachometer'!C131))))))))))</f>
        <v>9.9999999999999995E-7</v>
      </c>
      <c r="Y49" s="1134">
        <f>IF(ID!$B$51='Input Data Tachometer'!$V$33,'Input Data Tachometer'!D5,IF(ID!$B$51='Input Data Tachometer'!$V$34,'Input Data Tachometer'!D19,IF(ID!$B$51='Input Data Tachometer'!$V$35,'Input Data Tachometer'!D33,IF(ID!$B$51='Input Data Tachometer'!$V$36,'Input Data Tachometer'!D47,IF(ID!$B$51='Input Data Tachometer'!$V$37,'Input Data Tachometer'!D61,IF(ID!$B$51='Input Data Tachometer'!$V$38,'Input Data Tachometer'!D75,IF(ID!$B$51='Input Data Tachometer'!$V$39,'Input Data Tachometer'!D89,IF(ID!$B$51='Input Data Tachometer'!$V$40,'Input Data Tachometer'!D103,IF(ID!$B$51='Input Data Tachometer'!$V$41,'Input Data Tachometer'!D117,IF(ID!$B$51='Input Data Tachometer'!$V$42,'Input Data Tachometer'!D131))))))))))</f>
        <v>0</v>
      </c>
      <c r="Z49" s="1141">
        <f>IF(ID!$B$51='Input Data Tachometer'!$V$33,'Input Data Tachometer'!E5,IF(ID!$B$51='Input Data Tachometer'!$V$34,'Input Data Tachometer'!E19,IF(ID!$B$51='Input Data Tachometer'!$V$35,'Input Data Tachometer'!E33,IF(ID!$B$51='Input Data Tachometer'!$V$36,'Input Data Tachometer'!E47,IF(ID!$B$51='Input Data Tachometer'!$V$37,'Input Data Tachometer'!E61,IF(ID!$B$51='Input Data Tachometer'!$V$38,'Input Data Tachometer'!E75,IF(ID!$B$51='Input Data Tachometer'!$V$39,'Input Data Tachometer'!E89,IF(ID!$B$51='Input Data Tachometer'!$V$40,'Input Data Tachometer'!E103,IF(ID!$B$51='Input Data Tachometer'!$V$41,'Input Data Tachometer'!E117,IF(ID!$B$51='Input Data Tachometer'!$V$42,'Input Data Tachometer'!E131))))))))))</f>
        <v>0.1</v>
      </c>
      <c r="AA49" s="634"/>
      <c r="AE49" s="1140">
        <f>IF(ID!$B$51='Input Data Tachometer'!$V$33,'Input Data Tachometer'!M5,IF(ID!$B$51='Input Data Tachometer'!$V$34,'Input Data Tachometer'!M19,IF(ID!$B$51='Input Data Tachometer'!$V$35,'Input Data Tachometer'!M33,IF(ID!$B$51='Input Data Tachometer'!$V$36,'Input Data Tachometer'!M47,IF(ID!$B$51='Input Data Tachometer'!$V$37,'Input Data Tachometer'!M61,IF(ID!$B$51='Input Data Tachometer'!$V$38,'Input Data Tachometer'!M75,IF(ID!$B$51='Input Data Tachometer'!$V$39,'Input Data Tachometer'!M89,IF(ID!$B$51='Input Data Tachometer'!$V$40,'Input Data Tachometer'!M103,IF(ID!$B$51='Input Data Tachometer'!$V$41,'Input Data Tachometer'!M117,'Input Data Tachometer'!M131)))))))))</f>
        <v>200</v>
      </c>
      <c r="AF49" s="178">
        <f>IF(ID!$B$51='Input Data Tachometer'!$V$33,'Input Data Tachometer'!N5,IF(ID!$B$51='Input Data Tachometer'!$V$34,'Input Data Tachometer'!N19,IF(ID!$B$51='Input Data Tachometer'!$V$35,'Input Data Tachometer'!N33,IF(ID!$B$51='Input Data Tachometer'!$V$36,'Input Data Tachometer'!N47,IF(ID!$B$51='Input Data Tachometer'!$V$37,'Input Data Tachometer'!N61,IF(ID!$B$51='Input Data Tachometer'!$V$38,'Input Data Tachometer'!N75,IF(ID!$B$51='Input Data Tachometer'!$V$39,'Input Data Tachometer'!N89,IF(ID!$B$51='Input Data Tachometer'!$V$40,'Input Data Tachometer'!N103,IF(ID!$B$51='Input Data Tachometer'!$V$41,'Input Data Tachometer'!N117,'Input Data Tachometer'!N131)))))))))</f>
        <v>9.9999999999999995E-7</v>
      </c>
      <c r="AG49" s="178">
        <f>IF(ID!$B$51='Input Data Tachometer'!$V$33,'Input Data Tachometer'!O5,IF(ID!$B$51='Input Data Tachometer'!$V$34,'Input Data Tachometer'!O19,IF(ID!$B$51='Input Data Tachometer'!$V$35,'Input Data Tachometer'!O33,IF(ID!$B$51='Input Data Tachometer'!$V$36,'Input Data Tachometer'!O47,IF(ID!$B$51='Input Data Tachometer'!$V$37,'Input Data Tachometer'!O61,IF(ID!$B$51='Input Data Tachometer'!$V$38,'Input Data Tachometer'!O75,IF(ID!$B$51='Input Data Tachometer'!$V$39,'Input Data Tachometer'!O89,IF(ID!$B$51='Input Data Tachometer'!$V$40,'Input Data Tachometer'!O103,IF(ID!$B$51='Input Data Tachometer'!$V$41,'Input Data Tachometer'!O117,'Input Data Tachometer'!O131)))))))))</f>
        <v>9.9999999999999995E-7</v>
      </c>
      <c r="AH49" s="178">
        <f>IF(ID!$B$51='Input Data Tachometer'!$V$33,'Input Data Tachometer'!P5,IF(ID!$B$51='Input Data Tachometer'!$V$34,'Input Data Tachometer'!P19,IF(ID!$B$51='Input Data Tachometer'!$V$35,'Input Data Tachometer'!P33,IF(ID!$B$51='Input Data Tachometer'!$V$36,'Input Data Tachometer'!P47,IF(ID!$B$51='Input Data Tachometer'!$V$37,'Input Data Tachometer'!P61,IF(ID!$B$51='Input Data Tachometer'!$V$38,'Input Data Tachometer'!P75,IF(ID!$B$51='Input Data Tachometer'!$V$39,'Input Data Tachometer'!P89,IF(ID!$B$51='Input Data Tachometer'!$V$40,'Input Data Tachometer'!P103,IF(ID!$B$51='Input Data Tachometer'!$V$41,'Input Data Tachometer'!P117,'Input Data Tachometer'!P131)))))))))</f>
        <v>0</v>
      </c>
      <c r="AI49" s="1145">
        <f>IF(ID!$B$51='Input Data Tachometer'!$V$33,'Input Data Tachometer'!Q5,IF(ID!$B$51='Input Data Tachometer'!$V$34,'Input Data Tachometer'!Q19,IF(ID!$B$51='Input Data Tachometer'!$V$35,'Input Data Tachometer'!Q33,IF(ID!$B$51='Input Data Tachometer'!$V$36,'Input Data Tachometer'!Q47,IF(ID!$B$51='Input Data Tachometer'!$V$37,'Input Data Tachometer'!Q61,IF(ID!$B$51='Input Data Tachometer'!$V$38,'Input Data Tachometer'!Q75,IF(ID!$B$51='Input Data Tachometer'!$V$39,'Input Data Tachometer'!Q89,IF(ID!$B$51='Input Data Tachometer'!$V$40,'Input Data Tachometer'!Q103,IF(ID!$B$51='Input Data Tachometer'!$V$41,'Input Data Tachometer'!Q117,'Input Data Tachometer'!Q131)))))))))</f>
        <v>0.1</v>
      </c>
    </row>
    <row r="50" spans="1:35" x14ac:dyDescent="0.25">
      <c r="A50" s="175">
        <v>3000</v>
      </c>
      <c r="B50" s="589">
        <v>1</v>
      </c>
      <c r="C50" s="589">
        <v>1</v>
      </c>
      <c r="D50" s="171">
        <f t="shared" ref="D50:D51" si="20">0.5*(MAX(B50:C50)-MIN(B50:C50))</f>
        <v>0</v>
      </c>
      <c r="E50" s="167">
        <v>0.9</v>
      </c>
      <c r="H50" s="1378"/>
      <c r="I50" s="630"/>
      <c r="J50" s="1378"/>
      <c r="M50" s="175">
        <v>3000</v>
      </c>
      <c r="N50" s="589">
        <v>1</v>
      </c>
      <c r="O50" s="589">
        <v>1</v>
      </c>
      <c r="P50" s="171">
        <f t="shared" ref="P50:P51" si="21">0.5*(MAX(N50:O50)-MIN(N50:O50))</f>
        <v>0</v>
      </c>
      <c r="Q50" s="167">
        <v>0.9</v>
      </c>
      <c r="S50" s="630"/>
      <c r="V50" s="1140">
        <f>IF(ID!$B$51='Input Data Tachometer'!$V$33,'Input Data Tachometer'!A6,IF(ID!$B$51='Input Data Tachometer'!$V$34,'Input Data Tachometer'!A20,IF(ID!$B$51='Input Data Tachometer'!$V$35,'Input Data Tachometer'!A34,IF(ID!$B$51='Input Data Tachometer'!$V$36,'Input Data Tachometer'!A48,IF(ID!$B$51='Input Data Tachometer'!$V$37,'Input Data Tachometer'!A62,IF(ID!$B$51='Input Data Tachometer'!$V$38,'Input Data Tachometer'!A76,IF(ID!$B$51='Input Data Tachometer'!$V$39,'Input Data Tachometer'!A90,IF(ID!$B$51='Input Data Tachometer'!$V$40,'Input Data Tachometer'!A104,IF(ID!$B$51='Input Data Tachometer'!$V$41,'Input Data Tachometer'!A118,IF(ID!$B$51='Input Data Tachometer'!$V$42,'Input Data Tachometer'!A132))))))))))</f>
        <v>1000</v>
      </c>
      <c r="W50" s="1134">
        <f>IF(ID!$B$51='Input Data Tachometer'!$V$33,'Input Data Tachometer'!B6,IF(ID!$B$51='Input Data Tachometer'!$V$34,'Input Data Tachometer'!B20,IF(ID!$B$51='Input Data Tachometer'!$V$35,'Input Data Tachometer'!B34,IF(ID!$B$51='Input Data Tachometer'!$V$36,'Input Data Tachometer'!B48,IF(ID!$B$51='Input Data Tachometer'!$V$37,'Input Data Tachometer'!B62,IF(ID!$B$51='Input Data Tachometer'!$V$38,'Input Data Tachometer'!B76,IF(ID!$B$51='Input Data Tachometer'!$V$39,'Input Data Tachometer'!B90,IF(ID!$B$51='Input Data Tachometer'!$V$40,'Input Data Tachometer'!B104,IF(ID!$B$51='Input Data Tachometer'!$V$41,'Input Data Tachometer'!B118,IF(ID!$B$51='Input Data Tachometer'!$V$42,'Input Data Tachometer'!B132))))))))))</f>
        <v>-0.1</v>
      </c>
      <c r="X50" s="1134">
        <f>IF(ID!$B$51='Input Data Tachometer'!$V$33,'Input Data Tachometer'!C6,IF(ID!$B$51='Input Data Tachometer'!$V$34,'Input Data Tachometer'!C20,IF(ID!$B$51='Input Data Tachometer'!$V$35,'Input Data Tachometer'!C34,IF(ID!$B$51='Input Data Tachometer'!$V$36,'Input Data Tachometer'!C48,IF(ID!$B$51='Input Data Tachometer'!$V$37,'Input Data Tachometer'!C62,IF(ID!$B$51='Input Data Tachometer'!$V$38,'Input Data Tachometer'!C76,IF(ID!$B$51='Input Data Tachometer'!$V$39,'Input Data Tachometer'!C90,IF(ID!$B$51='Input Data Tachometer'!$V$40,'Input Data Tachometer'!C104,IF(ID!$B$51='Input Data Tachometer'!$V$41,'Input Data Tachometer'!C118,IF(ID!$B$51='Input Data Tachometer'!$V$42,'Input Data Tachometer'!C132))))))))))</f>
        <v>9.9999999999999995E-7</v>
      </c>
      <c r="Y50" s="1134">
        <f>IF(ID!$B$51='Input Data Tachometer'!$V$33,'Input Data Tachometer'!D6,IF(ID!$B$51='Input Data Tachometer'!$V$34,'Input Data Tachometer'!D20,IF(ID!$B$51='Input Data Tachometer'!$V$35,'Input Data Tachometer'!D34,IF(ID!$B$51='Input Data Tachometer'!$V$36,'Input Data Tachometer'!D48,IF(ID!$B$51='Input Data Tachometer'!$V$37,'Input Data Tachometer'!D62,IF(ID!$B$51='Input Data Tachometer'!$V$38,'Input Data Tachometer'!D76,IF(ID!$B$51='Input Data Tachometer'!$V$39,'Input Data Tachometer'!D90,IF(ID!$B$51='Input Data Tachometer'!$V$40,'Input Data Tachometer'!D104,IF(ID!$B$51='Input Data Tachometer'!$V$41,'Input Data Tachometer'!D118,IF(ID!$B$51='Input Data Tachometer'!$V$42,'Input Data Tachometer'!D132))))))))))</f>
        <v>5.0000500000000003E-2</v>
      </c>
      <c r="Z50" s="1141">
        <f>IF(ID!$B$51='Input Data Tachometer'!$V$33,'Input Data Tachometer'!E6,IF(ID!$B$51='Input Data Tachometer'!$V$34,'Input Data Tachometer'!E20,IF(ID!$B$51='Input Data Tachometer'!$V$35,'Input Data Tachometer'!E34,IF(ID!$B$51='Input Data Tachometer'!$V$36,'Input Data Tachometer'!E48,IF(ID!$B$51='Input Data Tachometer'!$V$37,'Input Data Tachometer'!E62,IF(ID!$B$51='Input Data Tachometer'!$V$38,'Input Data Tachometer'!E76,IF(ID!$B$51='Input Data Tachometer'!$V$39,'Input Data Tachometer'!E90,IF(ID!$B$51='Input Data Tachometer'!$V$40,'Input Data Tachometer'!E104,IF(ID!$B$51='Input Data Tachometer'!$V$41,'Input Data Tachometer'!E118,IF(ID!$B$51='Input Data Tachometer'!$V$42,'Input Data Tachometer'!E132))))))))))</f>
        <v>0.1</v>
      </c>
      <c r="AA50" s="634"/>
      <c r="AE50" s="1140">
        <f>IF(ID!$B$51='Input Data Tachometer'!$V$33,'Input Data Tachometer'!M6,IF(ID!$B$51='Input Data Tachometer'!$V$34,'Input Data Tachometer'!M20,IF(ID!$B$51='Input Data Tachometer'!$V$35,'Input Data Tachometer'!M34,IF(ID!$B$51='Input Data Tachometer'!$V$36,'Input Data Tachometer'!M48,IF(ID!$B$51='Input Data Tachometer'!$V$37,'Input Data Tachometer'!M62,IF(ID!$B$51='Input Data Tachometer'!$V$38,'Input Data Tachometer'!M76,IF(ID!$B$51='Input Data Tachometer'!$V$39,'Input Data Tachometer'!M90,IF(ID!$B$51='Input Data Tachometer'!$V$40,'Input Data Tachometer'!M104,IF(ID!$B$51='Input Data Tachometer'!$V$41,'Input Data Tachometer'!M118,'Input Data Tachometer'!M132)))))))))</f>
        <v>1000</v>
      </c>
      <c r="AF50" s="178">
        <f>IF(ID!$B$51='Input Data Tachometer'!$V$33,'Input Data Tachometer'!N6,IF(ID!$B$51='Input Data Tachometer'!$V$34,'Input Data Tachometer'!N20,IF(ID!$B$51='Input Data Tachometer'!$V$35,'Input Data Tachometer'!N34,IF(ID!$B$51='Input Data Tachometer'!$V$36,'Input Data Tachometer'!N48,IF(ID!$B$51='Input Data Tachometer'!$V$37,'Input Data Tachometer'!N62,IF(ID!$B$51='Input Data Tachometer'!$V$38,'Input Data Tachometer'!N76,IF(ID!$B$51='Input Data Tachometer'!$V$39,'Input Data Tachometer'!N90,IF(ID!$B$51='Input Data Tachometer'!$V$40,'Input Data Tachometer'!N104,IF(ID!$B$51='Input Data Tachometer'!$V$41,'Input Data Tachometer'!N118,'Input Data Tachometer'!N132)))))))))</f>
        <v>-0.1</v>
      </c>
      <c r="AG50" s="178">
        <f>IF(ID!$B$51='Input Data Tachometer'!$V$33,'Input Data Tachometer'!O6,IF(ID!$B$51='Input Data Tachometer'!$V$34,'Input Data Tachometer'!O20,IF(ID!$B$51='Input Data Tachometer'!$V$35,'Input Data Tachometer'!O34,IF(ID!$B$51='Input Data Tachometer'!$V$36,'Input Data Tachometer'!O48,IF(ID!$B$51='Input Data Tachometer'!$V$37,'Input Data Tachometer'!O62,IF(ID!$B$51='Input Data Tachometer'!$V$38,'Input Data Tachometer'!O76,IF(ID!$B$51='Input Data Tachometer'!$V$39,'Input Data Tachometer'!O90,IF(ID!$B$51='Input Data Tachometer'!$V$40,'Input Data Tachometer'!O104,IF(ID!$B$51='Input Data Tachometer'!$V$41,'Input Data Tachometer'!O118,'Input Data Tachometer'!O132)))))))))</f>
        <v>9.9999999999999995E-7</v>
      </c>
      <c r="AH50" s="178">
        <f>IF(ID!$B$51='Input Data Tachometer'!$V$33,'Input Data Tachometer'!P6,IF(ID!$B$51='Input Data Tachometer'!$V$34,'Input Data Tachometer'!P20,IF(ID!$B$51='Input Data Tachometer'!$V$35,'Input Data Tachometer'!P34,IF(ID!$B$51='Input Data Tachometer'!$V$36,'Input Data Tachometer'!P48,IF(ID!$B$51='Input Data Tachometer'!$V$37,'Input Data Tachometer'!P62,IF(ID!$B$51='Input Data Tachometer'!$V$38,'Input Data Tachometer'!P76,IF(ID!$B$51='Input Data Tachometer'!$V$39,'Input Data Tachometer'!P90,IF(ID!$B$51='Input Data Tachometer'!$V$40,'Input Data Tachometer'!P104,IF(ID!$B$51='Input Data Tachometer'!$V$41,'Input Data Tachometer'!P118,'Input Data Tachometer'!P132)))))))))</f>
        <v>5.0000500000000003E-2</v>
      </c>
      <c r="AI50" s="1145">
        <f>IF(ID!$B$51='Input Data Tachometer'!$V$33,'Input Data Tachometer'!Q6,IF(ID!$B$51='Input Data Tachometer'!$V$34,'Input Data Tachometer'!Q20,IF(ID!$B$51='Input Data Tachometer'!$V$35,'Input Data Tachometer'!Q34,IF(ID!$B$51='Input Data Tachometer'!$V$36,'Input Data Tachometer'!Q48,IF(ID!$B$51='Input Data Tachometer'!$V$37,'Input Data Tachometer'!Q62,IF(ID!$B$51='Input Data Tachometer'!$V$38,'Input Data Tachometer'!Q76,IF(ID!$B$51='Input Data Tachometer'!$V$39,'Input Data Tachometer'!Q90,IF(ID!$B$51='Input Data Tachometer'!$V$40,'Input Data Tachometer'!Q104,IF(ID!$B$51='Input Data Tachometer'!$V$41,'Input Data Tachometer'!Q118,'Input Data Tachometer'!Q132)))))))))</f>
        <v>0.1</v>
      </c>
    </row>
    <row r="51" spans="1:35" x14ac:dyDescent="0.25">
      <c r="A51" s="175">
        <v>4000</v>
      </c>
      <c r="B51" s="589">
        <v>1</v>
      </c>
      <c r="C51" s="589">
        <v>1</v>
      </c>
      <c r="D51" s="171">
        <f t="shared" si="20"/>
        <v>0</v>
      </c>
      <c r="E51" s="167">
        <v>1.2</v>
      </c>
      <c r="H51" s="1378"/>
      <c r="I51" s="630"/>
      <c r="J51" s="1378"/>
      <c r="M51" s="175">
        <v>4000</v>
      </c>
      <c r="N51" s="589">
        <v>1</v>
      </c>
      <c r="O51" s="589">
        <v>1</v>
      </c>
      <c r="P51" s="171">
        <f t="shared" si="21"/>
        <v>0</v>
      </c>
      <c r="Q51" s="167">
        <v>1.2</v>
      </c>
      <c r="S51" s="630"/>
      <c r="V51" s="1140">
        <f>IF(ID!$B$51='Input Data Tachometer'!$V$33,'Input Data Tachometer'!A7,IF(ID!$B$51='Input Data Tachometer'!$V$34,'Input Data Tachometer'!A21,IF(ID!$B$51='Input Data Tachometer'!$V$35,'Input Data Tachometer'!A35,IF(ID!$B$51='Input Data Tachometer'!$V$36,'Input Data Tachometer'!A49,IF(ID!$B$51='Input Data Tachometer'!$V$37,'Input Data Tachometer'!A63,IF(ID!$B$51='Input Data Tachometer'!$V$38,'Input Data Tachometer'!A77,IF(ID!$B$51='Input Data Tachometer'!$V$39,'Input Data Tachometer'!A91,IF(ID!$B$51='Input Data Tachometer'!$V$40,'Input Data Tachometer'!A105,IF(ID!$B$51='Input Data Tachometer'!$V$41,'Input Data Tachometer'!A119,IF(ID!$B$51='Input Data Tachometer'!$V$42,'Input Data Tachometer'!A133))))))))))</f>
        <v>2000</v>
      </c>
      <c r="W51" s="1134">
        <f>IF(ID!$B$51='Input Data Tachometer'!$V$33,'Input Data Tachometer'!B7,IF(ID!$B$51='Input Data Tachometer'!$V$34,'Input Data Tachometer'!B21,IF(ID!$B$51='Input Data Tachometer'!$V$35,'Input Data Tachometer'!B35,IF(ID!$B$51='Input Data Tachometer'!$V$36,'Input Data Tachometer'!B49,IF(ID!$B$51='Input Data Tachometer'!$V$37,'Input Data Tachometer'!B63,IF(ID!$B$51='Input Data Tachometer'!$V$38,'Input Data Tachometer'!B77,IF(ID!$B$51='Input Data Tachometer'!$V$39,'Input Data Tachometer'!B91,IF(ID!$B$51='Input Data Tachometer'!$V$40,'Input Data Tachometer'!B105,IF(ID!$B$51='Input Data Tachometer'!$V$41,'Input Data Tachometer'!B119,IF(ID!$B$51='Input Data Tachometer'!$V$42,'Input Data Tachometer'!B133))))))))))</f>
        <v>-0.1</v>
      </c>
      <c r="X51" s="1134">
        <f>IF(ID!$B$51='Input Data Tachometer'!$V$33,'Input Data Tachometer'!C7,IF(ID!$B$51='Input Data Tachometer'!$V$34,'Input Data Tachometer'!C21,IF(ID!$B$51='Input Data Tachometer'!$V$35,'Input Data Tachometer'!C35,IF(ID!$B$51='Input Data Tachometer'!$V$36,'Input Data Tachometer'!C49,IF(ID!$B$51='Input Data Tachometer'!$V$37,'Input Data Tachometer'!C63,IF(ID!$B$51='Input Data Tachometer'!$V$38,'Input Data Tachometer'!C77,IF(ID!$B$51='Input Data Tachometer'!$V$39,'Input Data Tachometer'!C91,IF(ID!$B$51='Input Data Tachometer'!$V$40,'Input Data Tachometer'!C105,IF(ID!$B$51='Input Data Tachometer'!$V$41,'Input Data Tachometer'!C119,IF(ID!$B$51='Input Data Tachometer'!$V$42,'Input Data Tachometer'!C133))))))))))</f>
        <v>0.1</v>
      </c>
      <c r="Y51" s="1134">
        <f>IF(ID!$B$51='Input Data Tachometer'!$V$33,'Input Data Tachometer'!D7,IF(ID!$B$51='Input Data Tachometer'!$V$34,'Input Data Tachometer'!D21,IF(ID!$B$51='Input Data Tachometer'!$V$35,'Input Data Tachometer'!D35,IF(ID!$B$51='Input Data Tachometer'!$V$36,'Input Data Tachometer'!D49,IF(ID!$B$51='Input Data Tachometer'!$V$37,'Input Data Tachometer'!D63,IF(ID!$B$51='Input Data Tachometer'!$V$38,'Input Data Tachometer'!D77,IF(ID!$B$51='Input Data Tachometer'!$V$39,'Input Data Tachometer'!D91,IF(ID!$B$51='Input Data Tachometer'!$V$40,'Input Data Tachometer'!D105,IF(ID!$B$51='Input Data Tachometer'!$V$41,'Input Data Tachometer'!D119,IF(ID!$B$51='Input Data Tachometer'!$V$42,'Input Data Tachometer'!D133))))))))))</f>
        <v>0.1</v>
      </c>
      <c r="Z51" s="1141">
        <f>IF(ID!$B$51='Input Data Tachometer'!$V$33,'Input Data Tachometer'!E7,IF(ID!$B$51='Input Data Tachometer'!$V$34,'Input Data Tachometer'!E21,IF(ID!$B$51='Input Data Tachometer'!$V$35,'Input Data Tachometer'!E35,IF(ID!$B$51='Input Data Tachometer'!$V$36,'Input Data Tachometer'!E49,IF(ID!$B$51='Input Data Tachometer'!$V$37,'Input Data Tachometer'!E63,IF(ID!$B$51='Input Data Tachometer'!$V$38,'Input Data Tachometer'!E77,IF(ID!$B$51='Input Data Tachometer'!$V$39,'Input Data Tachometer'!E91,IF(ID!$B$51='Input Data Tachometer'!$V$40,'Input Data Tachometer'!E105,IF(ID!$B$51='Input Data Tachometer'!$V$41,'Input Data Tachometer'!E119,IF(ID!$B$51='Input Data Tachometer'!$V$42,'Input Data Tachometer'!E133))))))))))</f>
        <v>0.1</v>
      </c>
      <c r="AA51" s="634"/>
      <c r="AE51" s="1140">
        <f>IF(ID!$B$51='Input Data Tachometer'!$V$33,'Input Data Tachometer'!M7,IF(ID!$B$51='Input Data Tachometer'!$V$34,'Input Data Tachometer'!M21,IF(ID!$B$51='Input Data Tachometer'!$V$35,'Input Data Tachometer'!M35,IF(ID!$B$51='Input Data Tachometer'!$V$36,'Input Data Tachometer'!M49,IF(ID!$B$51='Input Data Tachometer'!$V$37,'Input Data Tachometer'!M63,IF(ID!$B$51='Input Data Tachometer'!$V$38,'Input Data Tachometer'!M77,IF(ID!$B$51='Input Data Tachometer'!$V$39,'Input Data Tachometer'!M91,IF(ID!$B$51='Input Data Tachometer'!$V$40,'Input Data Tachometer'!M105,IF(ID!$B$51='Input Data Tachometer'!$V$41,'Input Data Tachometer'!M119,'Input Data Tachometer'!M133)))))))))</f>
        <v>2000</v>
      </c>
      <c r="AF51" s="178">
        <f>IF(ID!$B$51='Input Data Tachometer'!$V$33,'Input Data Tachometer'!N7,IF(ID!$B$51='Input Data Tachometer'!$V$34,'Input Data Tachometer'!N21,IF(ID!$B$51='Input Data Tachometer'!$V$35,'Input Data Tachometer'!N35,IF(ID!$B$51='Input Data Tachometer'!$V$36,'Input Data Tachometer'!N49,IF(ID!$B$51='Input Data Tachometer'!$V$37,'Input Data Tachometer'!N63,IF(ID!$B$51='Input Data Tachometer'!$V$38,'Input Data Tachometer'!N77,IF(ID!$B$51='Input Data Tachometer'!$V$39,'Input Data Tachometer'!N91,IF(ID!$B$51='Input Data Tachometer'!$V$40,'Input Data Tachometer'!N105,IF(ID!$B$51='Input Data Tachometer'!$V$41,'Input Data Tachometer'!N119,'Input Data Tachometer'!N133)))))))))</f>
        <v>-0.1</v>
      </c>
      <c r="AG51" s="178">
        <f>IF(ID!$B$51='Input Data Tachometer'!$V$33,'Input Data Tachometer'!O7,IF(ID!$B$51='Input Data Tachometer'!$V$34,'Input Data Tachometer'!O21,IF(ID!$B$51='Input Data Tachometer'!$V$35,'Input Data Tachometer'!O35,IF(ID!$B$51='Input Data Tachometer'!$V$36,'Input Data Tachometer'!O49,IF(ID!$B$51='Input Data Tachometer'!$V$37,'Input Data Tachometer'!O63,IF(ID!$B$51='Input Data Tachometer'!$V$38,'Input Data Tachometer'!O77,IF(ID!$B$51='Input Data Tachometer'!$V$39,'Input Data Tachometer'!O91,IF(ID!$B$51='Input Data Tachometer'!$V$40,'Input Data Tachometer'!O105,IF(ID!$B$51='Input Data Tachometer'!$V$41,'Input Data Tachometer'!O119,'Input Data Tachometer'!O133)))))))))</f>
        <v>0.1</v>
      </c>
      <c r="AH51" s="178">
        <f>IF(ID!$B$51='Input Data Tachometer'!$V$33,'Input Data Tachometer'!P7,IF(ID!$B$51='Input Data Tachometer'!$V$34,'Input Data Tachometer'!P21,IF(ID!$B$51='Input Data Tachometer'!$V$35,'Input Data Tachometer'!P35,IF(ID!$B$51='Input Data Tachometer'!$V$36,'Input Data Tachometer'!P49,IF(ID!$B$51='Input Data Tachometer'!$V$37,'Input Data Tachometer'!P63,IF(ID!$B$51='Input Data Tachometer'!$V$38,'Input Data Tachometer'!P77,IF(ID!$B$51='Input Data Tachometer'!$V$39,'Input Data Tachometer'!P91,IF(ID!$B$51='Input Data Tachometer'!$V$40,'Input Data Tachometer'!P105,IF(ID!$B$51='Input Data Tachometer'!$V$41,'Input Data Tachometer'!P119,'Input Data Tachometer'!P133)))))))))</f>
        <v>0.1</v>
      </c>
      <c r="AI51" s="1145">
        <f>IF(ID!$B$51='Input Data Tachometer'!$V$33,'Input Data Tachometer'!Q7,IF(ID!$B$51='Input Data Tachometer'!$V$34,'Input Data Tachometer'!Q21,IF(ID!$B$51='Input Data Tachometer'!$V$35,'Input Data Tachometer'!Q35,IF(ID!$B$51='Input Data Tachometer'!$V$36,'Input Data Tachometer'!Q49,IF(ID!$B$51='Input Data Tachometer'!$V$37,'Input Data Tachometer'!Q63,IF(ID!$B$51='Input Data Tachometer'!$V$38,'Input Data Tachometer'!Q77,IF(ID!$B$51='Input Data Tachometer'!$V$39,'Input Data Tachometer'!Q91,IF(ID!$B$51='Input Data Tachometer'!$V$40,'Input Data Tachometer'!Q105,IF(ID!$B$51='Input Data Tachometer'!$V$41,'Input Data Tachometer'!Q119,'Input Data Tachometer'!Q133)))))))))</f>
        <v>0.1</v>
      </c>
    </row>
    <row r="52" spans="1:35" x14ac:dyDescent="0.25">
      <c r="A52" s="175">
        <v>5000</v>
      </c>
      <c r="B52" s="589">
        <v>1</v>
      </c>
      <c r="C52" s="589">
        <v>1</v>
      </c>
      <c r="D52" s="171">
        <f>0.5*(MAX(B52:C52)-MIN(B52:C52))</f>
        <v>0</v>
      </c>
      <c r="E52" s="167">
        <v>1.5</v>
      </c>
      <c r="H52" s="1378"/>
      <c r="I52" s="630"/>
      <c r="J52" s="1378"/>
      <c r="M52" s="175">
        <v>5000</v>
      </c>
      <c r="N52" s="589">
        <v>1</v>
      </c>
      <c r="O52" s="589">
        <v>1</v>
      </c>
      <c r="P52" s="171">
        <f>0.5*(MAX(N52:O52)-MIN(N52:O52))</f>
        <v>0</v>
      </c>
      <c r="Q52" s="167">
        <v>1.5</v>
      </c>
      <c r="S52" s="630"/>
      <c r="V52" s="1140">
        <f>IF(ID!$B$51='Input Data Tachometer'!$V$33,'Input Data Tachometer'!A8,IF(ID!$B$51='Input Data Tachometer'!$V$34,'Input Data Tachometer'!A22,IF(ID!$B$51='Input Data Tachometer'!$V$35,'Input Data Tachometer'!A36,IF(ID!$B$51='Input Data Tachometer'!$V$36,'Input Data Tachometer'!A50,IF(ID!$B$51='Input Data Tachometer'!$V$37,'Input Data Tachometer'!A64,IF(ID!$B$51='Input Data Tachometer'!$V$38,'Input Data Tachometer'!A78,IF(ID!$B$51='Input Data Tachometer'!$V$39,'Input Data Tachometer'!A92,IF(ID!$B$51='Input Data Tachometer'!$V$40,'Input Data Tachometer'!A106,IF(ID!$B$51='Input Data Tachometer'!$V$41,'Input Data Tachometer'!A120,IF(ID!$B$51='Input Data Tachometer'!$V$42,'Input Data Tachometer'!A134))))))))))</f>
        <v>3000</v>
      </c>
      <c r="W52" s="1134">
        <f>IF(ID!$B$51='Input Data Tachometer'!$V$33,'Input Data Tachometer'!B8,IF(ID!$B$51='Input Data Tachometer'!$V$34,'Input Data Tachometer'!B22,IF(ID!$B$51='Input Data Tachometer'!$V$35,'Input Data Tachometer'!B36,IF(ID!$B$51='Input Data Tachometer'!$V$36,'Input Data Tachometer'!B50,IF(ID!$B$51='Input Data Tachometer'!$V$37,'Input Data Tachometer'!B64,IF(ID!$B$51='Input Data Tachometer'!$V$38,'Input Data Tachometer'!B78,IF(ID!$B$51='Input Data Tachometer'!$V$39,'Input Data Tachometer'!B92,IF(ID!$B$51='Input Data Tachometer'!$V$40,'Input Data Tachometer'!B106,IF(ID!$B$51='Input Data Tachometer'!$V$41,'Input Data Tachometer'!B120,IF(ID!$B$51='Input Data Tachometer'!$V$42,'Input Data Tachometer'!B134))))))))))</f>
        <v>-0.1</v>
      </c>
      <c r="X52" s="1134">
        <f>IF(ID!$B$51='Input Data Tachometer'!$V$33,'Input Data Tachometer'!C8,IF(ID!$B$51='Input Data Tachometer'!$V$34,'Input Data Tachometer'!C22,IF(ID!$B$51='Input Data Tachometer'!$V$35,'Input Data Tachometer'!C36,IF(ID!$B$51='Input Data Tachometer'!$V$36,'Input Data Tachometer'!C50,IF(ID!$B$51='Input Data Tachometer'!$V$37,'Input Data Tachometer'!C64,IF(ID!$B$51='Input Data Tachometer'!$V$38,'Input Data Tachometer'!C78,IF(ID!$B$51='Input Data Tachometer'!$V$39,'Input Data Tachometer'!C92,IF(ID!$B$51='Input Data Tachometer'!$V$40,'Input Data Tachometer'!C106,IF(ID!$B$51='Input Data Tachometer'!$V$41,'Input Data Tachometer'!C120,IF(ID!$B$51='Input Data Tachometer'!$V$42,'Input Data Tachometer'!C134))))))))))</f>
        <v>0.2</v>
      </c>
      <c r="Y52" s="1134">
        <f>IF(ID!$B$51='Input Data Tachometer'!$V$33,'Input Data Tachometer'!D8,IF(ID!$B$51='Input Data Tachometer'!$V$34,'Input Data Tachometer'!D22,IF(ID!$B$51='Input Data Tachometer'!$V$35,'Input Data Tachometer'!D36,IF(ID!$B$51='Input Data Tachometer'!$V$36,'Input Data Tachometer'!D50,IF(ID!$B$51='Input Data Tachometer'!$V$37,'Input Data Tachometer'!D64,IF(ID!$B$51='Input Data Tachometer'!$V$38,'Input Data Tachometer'!D78,IF(ID!$B$51='Input Data Tachometer'!$V$39,'Input Data Tachometer'!D92,IF(ID!$B$51='Input Data Tachometer'!$V$40,'Input Data Tachometer'!D106,IF(ID!$B$51='Input Data Tachometer'!$V$41,'Input Data Tachometer'!D120,IF(ID!$B$51='Input Data Tachometer'!$V$42,'Input Data Tachometer'!D134))))))))))</f>
        <v>0.15000000000000002</v>
      </c>
      <c r="Z52" s="1141">
        <f>IF(ID!$B$51='Input Data Tachometer'!$V$33,'Input Data Tachometer'!E8,IF(ID!$B$51='Input Data Tachometer'!$V$34,'Input Data Tachometer'!E22,IF(ID!$B$51='Input Data Tachometer'!$V$35,'Input Data Tachometer'!E36,IF(ID!$B$51='Input Data Tachometer'!$V$36,'Input Data Tachometer'!E50,IF(ID!$B$51='Input Data Tachometer'!$V$37,'Input Data Tachometer'!E64,IF(ID!$B$51='Input Data Tachometer'!$V$38,'Input Data Tachometer'!E78,IF(ID!$B$51='Input Data Tachometer'!$V$39,'Input Data Tachometer'!E92,IF(ID!$B$51='Input Data Tachometer'!$V$40,'Input Data Tachometer'!E106,IF(ID!$B$51='Input Data Tachometer'!$V$41,'Input Data Tachometer'!E120,IF(ID!$B$51='Input Data Tachometer'!$V$42,'Input Data Tachometer'!E134))))))))))</f>
        <v>0.1</v>
      </c>
      <c r="AA52" s="634"/>
      <c r="AE52" s="1140">
        <f>IF(ID!$B$51='Input Data Tachometer'!$V$33,'Input Data Tachometer'!M8,IF(ID!$B$51='Input Data Tachometer'!$V$34,'Input Data Tachometer'!M22,IF(ID!$B$51='Input Data Tachometer'!$V$35,'Input Data Tachometer'!M36,IF(ID!$B$51='Input Data Tachometer'!$V$36,'Input Data Tachometer'!M50,IF(ID!$B$51='Input Data Tachometer'!$V$37,'Input Data Tachometer'!M64,IF(ID!$B$51='Input Data Tachometer'!$V$38,'Input Data Tachometer'!M78,IF(ID!$B$51='Input Data Tachometer'!$V$39,'Input Data Tachometer'!M92,IF(ID!$B$51='Input Data Tachometer'!$V$40,'Input Data Tachometer'!M106,IF(ID!$B$51='Input Data Tachometer'!$V$41,'Input Data Tachometer'!M120,'Input Data Tachometer'!M134)))))))))</f>
        <v>3000</v>
      </c>
      <c r="AF52" s="178">
        <f>IF(ID!$B$51='Input Data Tachometer'!$V$33,'Input Data Tachometer'!N8,IF(ID!$B$51='Input Data Tachometer'!$V$34,'Input Data Tachometer'!N22,IF(ID!$B$51='Input Data Tachometer'!$V$35,'Input Data Tachometer'!N36,IF(ID!$B$51='Input Data Tachometer'!$V$36,'Input Data Tachometer'!N50,IF(ID!$B$51='Input Data Tachometer'!$V$37,'Input Data Tachometer'!N64,IF(ID!$B$51='Input Data Tachometer'!$V$38,'Input Data Tachometer'!N78,IF(ID!$B$51='Input Data Tachometer'!$V$39,'Input Data Tachometer'!N92,IF(ID!$B$51='Input Data Tachometer'!$V$40,'Input Data Tachometer'!N106,IF(ID!$B$51='Input Data Tachometer'!$V$41,'Input Data Tachometer'!N120,'Input Data Tachometer'!N134)))))))))</f>
        <v>-0.1</v>
      </c>
      <c r="AG52" s="178">
        <f>IF(ID!$B$51='Input Data Tachometer'!$V$33,'Input Data Tachometer'!O8,IF(ID!$B$51='Input Data Tachometer'!$V$34,'Input Data Tachometer'!O22,IF(ID!$B$51='Input Data Tachometer'!$V$35,'Input Data Tachometer'!O36,IF(ID!$B$51='Input Data Tachometer'!$V$36,'Input Data Tachometer'!O50,IF(ID!$B$51='Input Data Tachometer'!$V$37,'Input Data Tachometer'!O64,IF(ID!$B$51='Input Data Tachometer'!$V$38,'Input Data Tachometer'!O78,IF(ID!$B$51='Input Data Tachometer'!$V$39,'Input Data Tachometer'!O92,IF(ID!$B$51='Input Data Tachometer'!$V$40,'Input Data Tachometer'!O106,IF(ID!$B$51='Input Data Tachometer'!$V$41,'Input Data Tachometer'!O120,'Input Data Tachometer'!O134)))))))))</f>
        <v>0.2</v>
      </c>
      <c r="AH52" s="178">
        <f>IF(ID!$B$51='Input Data Tachometer'!$V$33,'Input Data Tachometer'!P8,IF(ID!$B$51='Input Data Tachometer'!$V$34,'Input Data Tachometer'!P22,IF(ID!$B$51='Input Data Tachometer'!$V$35,'Input Data Tachometer'!P36,IF(ID!$B$51='Input Data Tachometer'!$V$36,'Input Data Tachometer'!P50,IF(ID!$B$51='Input Data Tachometer'!$V$37,'Input Data Tachometer'!P64,IF(ID!$B$51='Input Data Tachometer'!$V$38,'Input Data Tachometer'!P78,IF(ID!$B$51='Input Data Tachometer'!$V$39,'Input Data Tachometer'!P92,IF(ID!$B$51='Input Data Tachometer'!$V$40,'Input Data Tachometer'!P106,IF(ID!$B$51='Input Data Tachometer'!$V$41,'Input Data Tachometer'!P120,'Input Data Tachometer'!P134)))))))))</f>
        <v>0.15000000000000002</v>
      </c>
      <c r="AI52" s="1145">
        <f>IF(ID!$B$51='Input Data Tachometer'!$V$33,'Input Data Tachometer'!Q8,IF(ID!$B$51='Input Data Tachometer'!$V$34,'Input Data Tachometer'!Q22,IF(ID!$B$51='Input Data Tachometer'!$V$35,'Input Data Tachometer'!Q36,IF(ID!$B$51='Input Data Tachometer'!$V$36,'Input Data Tachometer'!Q50,IF(ID!$B$51='Input Data Tachometer'!$V$37,'Input Data Tachometer'!Q64,IF(ID!$B$51='Input Data Tachometer'!$V$38,'Input Data Tachometer'!Q78,IF(ID!$B$51='Input Data Tachometer'!$V$39,'Input Data Tachometer'!Q92,IF(ID!$B$51='Input Data Tachometer'!$V$40,'Input Data Tachometer'!Q106,IF(ID!$B$51='Input Data Tachometer'!$V$41,'Input Data Tachometer'!Q120,'Input Data Tachometer'!Q134)))))))))</f>
        <v>0.1</v>
      </c>
    </row>
    <row r="53" spans="1:35" x14ac:dyDescent="0.25">
      <c r="A53" s="175">
        <v>10000</v>
      </c>
      <c r="B53" s="589">
        <v>1</v>
      </c>
      <c r="C53" s="589">
        <v>1</v>
      </c>
      <c r="D53" s="169">
        <f>0.5*(MAX(B53:C53)-MIN(B53:C53))</f>
        <v>0</v>
      </c>
      <c r="E53" s="167">
        <v>3</v>
      </c>
      <c r="H53" s="1378"/>
      <c r="I53" s="630"/>
      <c r="J53" s="1378"/>
      <c r="M53" s="175">
        <v>10000</v>
      </c>
      <c r="N53" s="589">
        <v>1</v>
      </c>
      <c r="O53" s="589">
        <v>1</v>
      </c>
      <c r="P53" s="169">
        <f>0.5*(MAX(N53:O53)-MIN(N53:O53))</f>
        <v>0</v>
      </c>
      <c r="Q53" s="167">
        <v>3</v>
      </c>
      <c r="S53" s="630"/>
      <c r="V53" s="1140">
        <f>IF(ID!$B$51='Input Data Tachometer'!$V$33,'Input Data Tachometer'!A9,IF(ID!$B$51='Input Data Tachometer'!$V$34,'Input Data Tachometer'!A23,IF(ID!$B$51='Input Data Tachometer'!$V$35,'Input Data Tachometer'!A37,IF(ID!$B$51='Input Data Tachometer'!$V$36,'Input Data Tachometer'!A51,IF(ID!$B$51='Input Data Tachometer'!$V$37,'Input Data Tachometer'!A65,IF(ID!$B$51='Input Data Tachometer'!$V$38,'Input Data Tachometer'!A79,IF(ID!$B$51='Input Data Tachometer'!$V$39,'Input Data Tachometer'!A93,IF(ID!$B$51='Input Data Tachometer'!$V$40,'Input Data Tachometer'!A107,IF(ID!$B$51='Input Data Tachometer'!$V$41,'Input Data Tachometer'!A121,IF(ID!$B$51='Input Data Tachometer'!$V$42,'Input Data Tachometer'!A135))))))))))</f>
        <v>4000</v>
      </c>
      <c r="W53" s="1134">
        <f>IF(ID!$B$51='Input Data Tachometer'!$V$33,'Input Data Tachometer'!B9,IF(ID!$B$51='Input Data Tachometer'!$V$34,'Input Data Tachometer'!B23,IF(ID!$B$51='Input Data Tachometer'!$V$35,'Input Data Tachometer'!B37,IF(ID!$B$51='Input Data Tachometer'!$V$36,'Input Data Tachometer'!B51,IF(ID!$B$51='Input Data Tachometer'!$V$37,'Input Data Tachometer'!B65,IF(ID!$B$51='Input Data Tachometer'!$V$38,'Input Data Tachometer'!B79,IF(ID!$B$51='Input Data Tachometer'!$V$39,'Input Data Tachometer'!B93,IF(ID!$B$51='Input Data Tachometer'!$V$40,'Input Data Tachometer'!B107,IF(ID!$B$51='Input Data Tachometer'!$V$41,'Input Data Tachometer'!B121,IF(ID!$B$51='Input Data Tachometer'!$V$42,'Input Data Tachometer'!B135))))))))))</f>
        <v>-0.2</v>
      </c>
      <c r="X53" s="1134">
        <f>IF(ID!$B$51='Input Data Tachometer'!$V$33,'Input Data Tachometer'!C9,IF(ID!$B$51='Input Data Tachometer'!$V$34,'Input Data Tachometer'!C23,IF(ID!$B$51='Input Data Tachometer'!$V$35,'Input Data Tachometer'!C37,IF(ID!$B$51='Input Data Tachometer'!$V$36,'Input Data Tachometer'!C51,IF(ID!$B$51='Input Data Tachometer'!$V$37,'Input Data Tachometer'!C65,IF(ID!$B$51='Input Data Tachometer'!$V$38,'Input Data Tachometer'!C79,IF(ID!$B$51='Input Data Tachometer'!$V$39,'Input Data Tachometer'!C93,IF(ID!$B$51='Input Data Tachometer'!$V$40,'Input Data Tachometer'!C107,IF(ID!$B$51='Input Data Tachometer'!$V$41,'Input Data Tachometer'!C121,IF(ID!$B$51='Input Data Tachometer'!$V$42,'Input Data Tachometer'!C135))))))))))</f>
        <v>0.2</v>
      </c>
      <c r="Y53" s="1134">
        <f>IF(ID!$B$51='Input Data Tachometer'!$V$33,'Input Data Tachometer'!D9,IF(ID!$B$51='Input Data Tachometer'!$V$34,'Input Data Tachometer'!D23,IF(ID!$B$51='Input Data Tachometer'!$V$35,'Input Data Tachometer'!D37,IF(ID!$B$51='Input Data Tachometer'!$V$36,'Input Data Tachometer'!D51,IF(ID!$B$51='Input Data Tachometer'!$V$37,'Input Data Tachometer'!D65,IF(ID!$B$51='Input Data Tachometer'!$V$38,'Input Data Tachometer'!D79,IF(ID!$B$51='Input Data Tachometer'!$V$39,'Input Data Tachometer'!D93,IF(ID!$B$51='Input Data Tachometer'!$V$40,'Input Data Tachometer'!D107,IF(ID!$B$51='Input Data Tachometer'!$V$41,'Input Data Tachometer'!D121,IF(ID!$B$51='Input Data Tachometer'!$V$42,'Input Data Tachometer'!D135))))))))))</f>
        <v>0.2</v>
      </c>
      <c r="Z53" s="1141">
        <f>IF(ID!$B$51='Input Data Tachometer'!$V$33,'Input Data Tachometer'!E9,IF(ID!$B$51='Input Data Tachometer'!$V$34,'Input Data Tachometer'!E23,IF(ID!$B$51='Input Data Tachometer'!$V$35,'Input Data Tachometer'!E37,IF(ID!$B$51='Input Data Tachometer'!$V$36,'Input Data Tachometer'!E51,IF(ID!$B$51='Input Data Tachometer'!$V$37,'Input Data Tachometer'!E65,IF(ID!$B$51='Input Data Tachometer'!$V$38,'Input Data Tachometer'!E79,IF(ID!$B$51='Input Data Tachometer'!$V$39,'Input Data Tachometer'!E93,IF(ID!$B$51='Input Data Tachometer'!$V$40,'Input Data Tachometer'!E107,IF(ID!$B$51='Input Data Tachometer'!$V$41,'Input Data Tachometer'!E121,IF(ID!$B$51='Input Data Tachometer'!$V$42,'Input Data Tachometer'!E135))))))))))</f>
        <v>0.1</v>
      </c>
      <c r="AA53" s="634"/>
      <c r="AE53" s="1140">
        <f>IF(ID!$B$51='Input Data Tachometer'!$V$33,'Input Data Tachometer'!M9,IF(ID!$B$51='Input Data Tachometer'!$V$34,'Input Data Tachometer'!M23,IF(ID!$B$51='Input Data Tachometer'!$V$35,'Input Data Tachometer'!M37,IF(ID!$B$51='Input Data Tachometer'!$V$36,'Input Data Tachometer'!M51,IF(ID!$B$51='Input Data Tachometer'!$V$37,'Input Data Tachometer'!M65,IF(ID!$B$51='Input Data Tachometer'!$V$38,'Input Data Tachometer'!M79,IF(ID!$B$51='Input Data Tachometer'!$V$39,'Input Data Tachometer'!M93,IF(ID!$B$51='Input Data Tachometer'!$V$40,'Input Data Tachometer'!M107,IF(ID!$B$51='Input Data Tachometer'!$V$41,'Input Data Tachometer'!M121,'Input Data Tachometer'!M135)))))))))</f>
        <v>4000</v>
      </c>
      <c r="AF53" s="178">
        <f>IF(ID!$B$51='Input Data Tachometer'!$V$33,'Input Data Tachometer'!N9,IF(ID!$B$51='Input Data Tachometer'!$V$34,'Input Data Tachometer'!N23,IF(ID!$B$51='Input Data Tachometer'!$V$35,'Input Data Tachometer'!N37,IF(ID!$B$51='Input Data Tachometer'!$V$36,'Input Data Tachometer'!N51,IF(ID!$B$51='Input Data Tachometer'!$V$37,'Input Data Tachometer'!N65,IF(ID!$B$51='Input Data Tachometer'!$V$38,'Input Data Tachometer'!N79,IF(ID!$B$51='Input Data Tachometer'!$V$39,'Input Data Tachometer'!N93,IF(ID!$B$51='Input Data Tachometer'!$V$40,'Input Data Tachometer'!N107,IF(ID!$B$51='Input Data Tachometer'!$V$41,'Input Data Tachometer'!N121,'Input Data Tachometer'!N135)))))))))</f>
        <v>-0.2</v>
      </c>
      <c r="AG53" s="178">
        <f>IF(ID!$B$51='Input Data Tachometer'!$V$33,'Input Data Tachometer'!O9,IF(ID!$B$51='Input Data Tachometer'!$V$34,'Input Data Tachometer'!O23,IF(ID!$B$51='Input Data Tachometer'!$V$35,'Input Data Tachometer'!O37,IF(ID!$B$51='Input Data Tachometer'!$V$36,'Input Data Tachometer'!O51,IF(ID!$B$51='Input Data Tachometer'!$V$37,'Input Data Tachometer'!O65,IF(ID!$B$51='Input Data Tachometer'!$V$38,'Input Data Tachometer'!O79,IF(ID!$B$51='Input Data Tachometer'!$V$39,'Input Data Tachometer'!O93,IF(ID!$B$51='Input Data Tachometer'!$V$40,'Input Data Tachometer'!O107,IF(ID!$B$51='Input Data Tachometer'!$V$41,'Input Data Tachometer'!O121,'Input Data Tachometer'!O135)))))))))</f>
        <v>0.2</v>
      </c>
      <c r="AH53" s="178">
        <f>IF(ID!$B$51='Input Data Tachometer'!$V$33,'Input Data Tachometer'!P9,IF(ID!$B$51='Input Data Tachometer'!$V$34,'Input Data Tachometer'!P23,IF(ID!$B$51='Input Data Tachometer'!$V$35,'Input Data Tachometer'!P37,IF(ID!$B$51='Input Data Tachometer'!$V$36,'Input Data Tachometer'!P51,IF(ID!$B$51='Input Data Tachometer'!$V$37,'Input Data Tachometer'!P65,IF(ID!$B$51='Input Data Tachometer'!$V$38,'Input Data Tachometer'!P79,IF(ID!$B$51='Input Data Tachometer'!$V$39,'Input Data Tachometer'!P93,IF(ID!$B$51='Input Data Tachometer'!$V$40,'Input Data Tachometer'!P107,IF(ID!$B$51='Input Data Tachometer'!$V$41,'Input Data Tachometer'!P121,'Input Data Tachometer'!P135)))))))))</f>
        <v>0.2</v>
      </c>
      <c r="AI53" s="1145">
        <f>IF(ID!$B$51='Input Data Tachometer'!$V$33,'Input Data Tachometer'!Q9,IF(ID!$B$51='Input Data Tachometer'!$V$34,'Input Data Tachometer'!Q23,IF(ID!$B$51='Input Data Tachometer'!$V$35,'Input Data Tachometer'!Q37,IF(ID!$B$51='Input Data Tachometer'!$V$36,'Input Data Tachometer'!Q51,IF(ID!$B$51='Input Data Tachometer'!$V$37,'Input Data Tachometer'!Q65,IF(ID!$B$51='Input Data Tachometer'!$V$38,'Input Data Tachometer'!Q79,IF(ID!$B$51='Input Data Tachometer'!$V$39,'Input Data Tachometer'!Q93,IF(ID!$B$51='Input Data Tachometer'!$V$40,'Input Data Tachometer'!Q107,IF(ID!$B$51='Input Data Tachometer'!$V$41,'Input Data Tachometer'!Q121,'Input Data Tachometer'!Q135)))))))))</f>
        <v>0.1</v>
      </c>
    </row>
    <row r="54" spans="1:35" x14ac:dyDescent="0.25">
      <c r="A54" s="175">
        <v>50000</v>
      </c>
      <c r="B54" s="589">
        <v>1</v>
      </c>
      <c r="C54" s="589">
        <v>1</v>
      </c>
      <c r="D54" s="169">
        <f>0.5*(MAX(B54:C54)-MIN(B54:C54))</f>
        <v>0</v>
      </c>
      <c r="E54" s="167">
        <v>15</v>
      </c>
      <c r="H54" s="1378"/>
      <c r="I54" s="630"/>
      <c r="J54" s="1378"/>
      <c r="M54" s="175">
        <v>50000</v>
      </c>
      <c r="N54" s="589">
        <v>1</v>
      </c>
      <c r="O54" s="589">
        <v>1</v>
      </c>
      <c r="P54" s="169">
        <f>0.5*(MAX(N54:O54)-MIN(N54:O54))</f>
        <v>0</v>
      </c>
      <c r="Q54" s="167">
        <v>15</v>
      </c>
      <c r="S54" s="630"/>
      <c r="V54" s="1140">
        <f>IF(ID!$B$51='Input Data Tachometer'!$V$33,'Input Data Tachometer'!A10,IF(ID!$B$51='Input Data Tachometer'!$V$34,'Input Data Tachometer'!A24,IF(ID!$B$51='Input Data Tachometer'!$V$35,'Input Data Tachometer'!A38,IF(ID!$B$51='Input Data Tachometer'!$V$36,'Input Data Tachometer'!A52,IF(ID!$B$51='Input Data Tachometer'!$V$37,'Input Data Tachometer'!A66,IF(ID!$B$51='Input Data Tachometer'!$V$38,'Input Data Tachometer'!A80,IF(ID!$B$51='Input Data Tachometer'!$V$39,'Input Data Tachometer'!A94,IF(ID!$B$51='Input Data Tachometer'!$V$40,'Input Data Tachometer'!A108,IF(ID!$B$51='Input Data Tachometer'!$V$41,'Input Data Tachometer'!A122,IF(ID!$B$51='Input Data Tachometer'!$V$42,'Input Data Tachometer'!A136))))))))))</f>
        <v>5000</v>
      </c>
      <c r="W54" s="1134">
        <f>IF(ID!$B$51='Input Data Tachometer'!$V$33,'Input Data Tachometer'!B10,IF(ID!$B$51='Input Data Tachometer'!$V$34,'Input Data Tachometer'!B24,IF(ID!$B$51='Input Data Tachometer'!$V$35,'Input Data Tachometer'!B38,IF(ID!$B$51='Input Data Tachometer'!$V$36,'Input Data Tachometer'!B52,IF(ID!$B$51='Input Data Tachometer'!$V$37,'Input Data Tachometer'!B66,IF(ID!$B$51='Input Data Tachometer'!$V$38,'Input Data Tachometer'!B80,IF(ID!$B$51='Input Data Tachometer'!$V$39,'Input Data Tachometer'!B94,IF(ID!$B$51='Input Data Tachometer'!$V$40,'Input Data Tachometer'!B108,IF(ID!$B$51='Input Data Tachometer'!$V$41,'Input Data Tachometer'!B122,IF(ID!$B$51='Input Data Tachometer'!$V$42,'Input Data Tachometer'!B136))))))))))</f>
        <v>-0.3</v>
      </c>
      <c r="X54" s="1134">
        <f>IF(ID!$B$51='Input Data Tachometer'!$V$33,'Input Data Tachometer'!C10,IF(ID!$B$51='Input Data Tachometer'!$V$34,'Input Data Tachometer'!C24,IF(ID!$B$51='Input Data Tachometer'!$V$35,'Input Data Tachometer'!C38,IF(ID!$B$51='Input Data Tachometer'!$V$36,'Input Data Tachometer'!C52,IF(ID!$B$51='Input Data Tachometer'!$V$37,'Input Data Tachometer'!C66,IF(ID!$B$51='Input Data Tachometer'!$V$38,'Input Data Tachometer'!C80,IF(ID!$B$51='Input Data Tachometer'!$V$39,'Input Data Tachometer'!C94,IF(ID!$B$51='Input Data Tachometer'!$V$40,'Input Data Tachometer'!C108,IF(ID!$B$51='Input Data Tachometer'!$V$41,'Input Data Tachometer'!C122,IF(ID!$B$51='Input Data Tachometer'!$V$42,'Input Data Tachometer'!C136))))))))))</f>
        <v>0.3</v>
      </c>
      <c r="Y54" s="1134">
        <f>IF(ID!$B$51='Input Data Tachometer'!$V$33,'Input Data Tachometer'!D10,IF(ID!$B$51='Input Data Tachometer'!$V$34,'Input Data Tachometer'!D24,IF(ID!$B$51='Input Data Tachometer'!$V$35,'Input Data Tachometer'!D38,IF(ID!$B$51='Input Data Tachometer'!$V$36,'Input Data Tachometer'!D52,IF(ID!$B$51='Input Data Tachometer'!$V$37,'Input Data Tachometer'!D66,IF(ID!$B$51='Input Data Tachometer'!$V$38,'Input Data Tachometer'!D80,IF(ID!$B$51='Input Data Tachometer'!$V$39,'Input Data Tachometer'!D94,IF(ID!$B$51='Input Data Tachometer'!$V$40,'Input Data Tachometer'!D108,IF(ID!$B$51='Input Data Tachometer'!$V$41,'Input Data Tachometer'!D122,IF(ID!$B$51='Input Data Tachometer'!$V$42,'Input Data Tachometer'!D136))))))))))</f>
        <v>0.3</v>
      </c>
      <c r="Z54" s="1141">
        <f>IF(ID!$B$51='Input Data Tachometer'!$V$33,'Input Data Tachometer'!E10,IF(ID!$B$51='Input Data Tachometer'!$V$34,'Input Data Tachometer'!E24,IF(ID!$B$51='Input Data Tachometer'!$V$35,'Input Data Tachometer'!E38,IF(ID!$B$51='Input Data Tachometer'!$V$36,'Input Data Tachometer'!E52,IF(ID!$B$51='Input Data Tachometer'!$V$37,'Input Data Tachometer'!E66,IF(ID!$B$51='Input Data Tachometer'!$V$38,'Input Data Tachometer'!E80,IF(ID!$B$51='Input Data Tachometer'!$V$39,'Input Data Tachometer'!E94,IF(ID!$B$51='Input Data Tachometer'!$V$40,'Input Data Tachometer'!E108,IF(ID!$B$51='Input Data Tachometer'!$V$41,'Input Data Tachometer'!E122,IF(ID!$B$51='Input Data Tachometer'!$V$42,'Input Data Tachometer'!E136))))))))))</f>
        <v>0.1</v>
      </c>
      <c r="AA54" s="634"/>
      <c r="AE54" s="1140">
        <f>IF(ID!$B$51='Input Data Tachometer'!$V$33,'Input Data Tachometer'!M10,IF(ID!$B$51='Input Data Tachometer'!$V$34,'Input Data Tachometer'!M24,IF(ID!$B$51='Input Data Tachometer'!$V$35,'Input Data Tachometer'!M38,IF(ID!$B$51='Input Data Tachometer'!$V$36,'Input Data Tachometer'!M52,IF(ID!$B$51='Input Data Tachometer'!$V$37,'Input Data Tachometer'!M66,IF(ID!$B$51='Input Data Tachometer'!$V$38,'Input Data Tachometer'!M80,IF(ID!$B$51='Input Data Tachometer'!$V$39,'Input Data Tachometer'!M94,IF(ID!$B$51='Input Data Tachometer'!$V$40,'Input Data Tachometer'!M108,IF(ID!$B$51='Input Data Tachometer'!$V$41,'Input Data Tachometer'!M122,'Input Data Tachometer'!M136)))))))))</f>
        <v>5000</v>
      </c>
      <c r="AF54" s="178">
        <f>IF(ID!$B$51='Input Data Tachometer'!$V$33,'Input Data Tachometer'!N10,IF(ID!$B$51='Input Data Tachometer'!$V$34,'Input Data Tachometer'!N24,IF(ID!$B$51='Input Data Tachometer'!$V$35,'Input Data Tachometer'!N38,IF(ID!$B$51='Input Data Tachometer'!$V$36,'Input Data Tachometer'!N52,IF(ID!$B$51='Input Data Tachometer'!$V$37,'Input Data Tachometer'!N66,IF(ID!$B$51='Input Data Tachometer'!$V$38,'Input Data Tachometer'!N80,IF(ID!$B$51='Input Data Tachometer'!$V$39,'Input Data Tachometer'!N94,IF(ID!$B$51='Input Data Tachometer'!$V$40,'Input Data Tachometer'!N108,IF(ID!$B$51='Input Data Tachometer'!$V$41,'Input Data Tachometer'!N122,'Input Data Tachometer'!N136)))))))))</f>
        <v>-0.3</v>
      </c>
      <c r="AG54" s="178">
        <f>IF(ID!$B$51='Input Data Tachometer'!$V$33,'Input Data Tachometer'!O10,IF(ID!$B$51='Input Data Tachometer'!$V$34,'Input Data Tachometer'!O24,IF(ID!$B$51='Input Data Tachometer'!$V$35,'Input Data Tachometer'!O38,IF(ID!$B$51='Input Data Tachometer'!$V$36,'Input Data Tachometer'!O52,IF(ID!$B$51='Input Data Tachometer'!$V$37,'Input Data Tachometer'!O66,IF(ID!$B$51='Input Data Tachometer'!$V$38,'Input Data Tachometer'!O80,IF(ID!$B$51='Input Data Tachometer'!$V$39,'Input Data Tachometer'!O94,IF(ID!$B$51='Input Data Tachometer'!$V$40,'Input Data Tachometer'!O108,IF(ID!$B$51='Input Data Tachometer'!$V$41,'Input Data Tachometer'!O122,'Input Data Tachometer'!O136)))))))))</f>
        <v>0.3</v>
      </c>
      <c r="AH54" s="178">
        <f>IF(ID!$B$51='Input Data Tachometer'!$V$33,'Input Data Tachometer'!P10,IF(ID!$B$51='Input Data Tachometer'!$V$34,'Input Data Tachometer'!P24,IF(ID!$B$51='Input Data Tachometer'!$V$35,'Input Data Tachometer'!P38,IF(ID!$B$51='Input Data Tachometer'!$V$36,'Input Data Tachometer'!P52,IF(ID!$B$51='Input Data Tachometer'!$V$37,'Input Data Tachometer'!P66,IF(ID!$B$51='Input Data Tachometer'!$V$38,'Input Data Tachometer'!P80,IF(ID!$B$51='Input Data Tachometer'!$V$39,'Input Data Tachometer'!P94,IF(ID!$B$51='Input Data Tachometer'!$V$40,'Input Data Tachometer'!P108,IF(ID!$B$51='Input Data Tachometer'!$V$41,'Input Data Tachometer'!P122,'Input Data Tachometer'!P136)))))))))</f>
        <v>0.3</v>
      </c>
      <c r="AI54" s="1145">
        <f>IF(ID!$B$51='Input Data Tachometer'!$V$33,'Input Data Tachometer'!Q10,IF(ID!$B$51='Input Data Tachometer'!$V$34,'Input Data Tachometer'!Q24,IF(ID!$B$51='Input Data Tachometer'!$V$35,'Input Data Tachometer'!Q38,IF(ID!$B$51='Input Data Tachometer'!$V$36,'Input Data Tachometer'!Q52,IF(ID!$B$51='Input Data Tachometer'!$V$37,'Input Data Tachometer'!Q66,IF(ID!$B$51='Input Data Tachometer'!$V$38,'Input Data Tachometer'!Q80,IF(ID!$B$51='Input Data Tachometer'!$V$39,'Input Data Tachometer'!Q94,IF(ID!$B$51='Input Data Tachometer'!$V$40,'Input Data Tachometer'!Q108,IF(ID!$B$51='Input Data Tachometer'!$V$41,'Input Data Tachometer'!Q122,'Input Data Tachometer'!Q136)))))))))</f>
        <v>0.1</v>
      </c>
    </row>
    <row r="55" spans="1:35" x14ac:dyDescent="0.25">
      <c r="A55" s="175">
        <v>95000</v>
      </c>
      <c r="B55" s="589">
        <v>1</v>
      </c>
      <c r="C55" s="589">
        <v>1</v>
      </c>
      <c r="D55" s="169">
        <f>0.5*(MAX(B55:C55)-MIN(B55:C55))</f>
        <v>0</v>
      </c>
      <c r="E55" s="167">
        <v>28.5</v>
      </c>
      <c r="H55" s="1378"/>
      <c r="I55" s="630"/>
      <c r="J55" s="1378"/>
      <c r="M55" s="175">
        <v>95000</v>
      </c>
      <c r="N55" s="589">
        <v>1</v>
      </c>
      <c r="O55" s="589">
        <v>1</v>
      </c>
      <c r="P55" s="169">
        <f>0.5*(MAX(N55:O55)-MIN(N55:O55))</f>
        <v>0</v>
      </c>
      <c r="Q55" s="167">
        <v>28.5</v>
      </c>
      <c r="S55" s="630"/>
      <c r="V55" s="1140">
        <f>IF(ID!$B$51='Input Data Tachometer'!$V$33,'Input Data Tachometer'!A11,IF(ID!$B$51='Input Data Tachometer'!$V$34,'Input Data Tachometer'!A25,IF(ID!$B$51='Input Data Tachometer'!$V$35,'Input Data Tachometer'!A39,IF(ID!$B$51='Input Data Tachometer'!$V$36,'Input Data Tachometer'!A53,IF(ID!$B$51='Input Data Tachometer'!$V$37,'Input Data Tachometer'!A67,IF(ID!$B$51='Input Data Tachometer'!$V$38,'Input Data Tachometer'!A81,IF(ID!$B$51='Input Data Tachometer'!$V$39,'Input Data Tachometer'!A95,IF(ID!$B$51='Input Data Tachometer'!$V$40,'Input Data Tachometer'!A109,IF(ID!$B$51='Input Data Tachometer'!$V$41,'Input Data Tachometer'!A123,IF(ID!$B$51='Input Data Tachometer'!$V$42,'Input Data Tachometer'!A137))))))))))</f>
        <v>10000</v>
      </c>
      <c r="W55" s="1134">
        <f>IF(ID!$B$51='Input Data Tachometer'!$V$33,'Input Data Tachometer'!B11,IF(ID!$B$51='Input Data Tachometer'!$V$34,'Input Data Tachometer'!B25,IF(ID!$B$51='Input Data Tachometer'!$V$35,'Input Data Tachometer'!B39,IF(ID!$B$51='Input Data Tachometer'!$V$36,'Input Data Tachometer'!B53,IF(ID!$B$51='Input Data Tachometer'!$V$37,'Input Data Tachometer'!B67,IF(ID!$B$51='Input Data Tachometer'!$V$38,'Input Data Tachometer'!B81,IF(ID!$B$51='Input Data Tachometer'!$V$39,'Input Data Tachometer'!B95,IF(ID!$B$51='Input Data Tachometer'!$V$40,'Input Data Tachometer'!B109,IF(ID!$B$51='Input Data Tachometer'!$V$41,'Input Data Tachometer'!B123,IF(ID!$B$51='Input Data Tachometer'!$V$42,'Input Data Tachometer'!B137))))))))))</f>
        <v>9.9999999999999995E-7</v>
      </c>
      <c r="X55" s="1134">
        <f>IF(ID!$B$51='Input Data Tachometer'!$V$33,'Input Data Tachometer'!C11,IF(ID!$B$51='Input Data Tachometer'!$V$34,'Input Data Tachometer'!C25,IF(ID!$B$51='Input Data Tachometer'!$V$35,'Input Data Tachometer'!C39,IF(ID!$B$51='Input Data Tachometer'!$V$36,'Input Data Tachometer'!C53,IF(ID!$B$51='Input Data Tachometer'!$V$37,'Input Data Tachometer'!C67,IF(ID!$B$51='Input Data Tachometer'!$V$38,'Input Data Tachometer'!C81,IF(ID!$B$51='Input Data Tachometer'!$V$39,'Input Data Tachometer'!C95,IF(ID!$B$51='Input Data Tachometer'!$V$40,'Input Data Tachometer'!C109,IF(ID!$B$51='Input Data Tachometer'!$V$41,'Input Data Tachometer'!C123,IF(ID!$B$51='Input Data Tachometer'!$V$42,'Input Data Tachometer'!C137))))))))))</f>
        <v>9.9999999999999995E-7</v>
      </c>
      <c r="Y55" s="1134">
        <f>IF(ID!$B$51='Input Data Tachometer'!$V$33,'Input Data Tachometer'!D11,IF(ID!$B$51='Input Data Tachometer'!$V$34,'Input Data Tachometer'!D25,IF(ID!$B$51='Input Data Tachometer'!$V$35,'Input Data Tachometer'!D39,IF(ID!$B$51='Input Data Tachometer'!$V$36,'Input Data Tachometer'!D53,IF(ID!$B$51='Input Data Tachometer'!$V$37,'Input Data Tachometer'!D67,IF(ID!$B$51='Input Data Tachometer'!$V$38,'Input Data Tachometer'!D81,IF(ID!$B$51='Input Data Tachometer'!$V$39,'Input Data Tachometer'!D95,IF(ID!$B$51='Input Data Tachometer'!$V$40,'Input Data Tachometer'!D109,IF(ID!$B$51='Input Data Tachometer'!$V$41,'Input Data Tachometer'!D123,IF(ID!$B$51='Input Data Tachometer'!$V$42,'Input Data Tachometer'!D137))))))))))</f>
        <v>0</v>
      </c>
      <c r="Z55" s="1141">
        <f>IF(ID!$B$51='Input Data Tachometer'!$V$33,'Input Data Tachometer'!E11,IF(ID!$B$51='Input Data Tachometer'!$V$34,'Input Data Tachometer'!E25,IF(ID!$B$51='Input Data Tachometer'!$V$35,'Input Data Tachometer'!E39,IF(ID!$B$51='Input Data Tachometer'!$V$36,'Input Data Tachometer'!E53,IF(ID!$B$51='Input Data Tachometer'!$V$37,'Input Data Tachometer'!E67,IF(ID!$B$51='Input Data Tachometer'!$V$38,'Input Data Tachometer'!E81,IF(ID!$B$51='Input Data Tachometer'!$V$39,'Input Data Tachometer'!E95,IF(ID!$B$51='Input Data Tachometer'!$V$40,'Input Data Tachometer'!E109,IF(ID!$B$51='Input Data Tachometer'!$V$41,'Input Data Tachometer'!E123,IF(ID!$B$51='Input Data Tachometer'!$V$42,'Input Data Tachometer'!E137))))))))))</f>
        <v>1</v>
      </c>
      <c r="AA55" s="634"/>
      <c r="AE55" s="1140">
        <f>IF(ID!$B$51='Input Data Tachometer'!$V$33,'Input Data Tachometer'!M11,IF(ID!$B$51='Input Data Tachometer'!$V$34,'Input Data Tachometer'!M25,IF(ID!$B$51='Input Data Tachometer'!$V$35,'Input Data Tachometer'!M39,IF(ID!$B$51='Input Data Tachometer'!$V$36,'Input Data Tachometer'!M53,IF(ID!$B$51='Input Data Tachometer'!$V$37,'Input Data Tachometer'!M67,IF(ID!$B$51='Input Data Tachometer'!$V$38,'Input Data Tachometer'!M81,IF(ID!$B$51='Input Data Tachometer'!$V$39,'Input Data Tachometer'!M95,IF(ID!$B$51='Input Data Tachometer'!$V$40,'Input Data Tachometer'!M109,IF(ID!$B$51='Input Data Tachometer'!$V$41,'Input Data Tachometer'!M123,'Input Data Tachometer'!M137)))))))))</f>
        <v>10000</v>
      </c>
      <c r="AF55" s="178">
        <f>IF(ID!$B$51='Input Data Tachometer'!$V$33,'Input Data Tachometer'!N11,IF(ID!$B$51='Input Data Tachometer'!$V$34,'Input Data Tachometer'!N25,IF(ID!$B$51='Input Data Tachometer'!$V$35,'Input Data Tachometer'!N39,IF(ID!$B$51='Input Data Tachometer'!$V$36,'Input Data Tachometer'!N53,IF(ID!$B$51='Input Data Tachometer'!$V$37,'Input Data Tachometer'!N67,IF(ID!$B$51='Input Data Tachometer'!$V$38,'Input Data Tachometer'!N81,IF(ID!$B$51='Input Data Tachometer'!$V$39,'Input Data Tachometer'!N95,IF(ID!$B$51='Input Data Tachometer'!$V$40,'Input Data Tachometer'!N109,IF(ID!$B$51='Input Data Tachometer'!$V$41,'Input Data Tachometer'!N123,'Input Data Tachometer'!N137)))))))))</f>
        <v>9.9999999999999995E-7</v>
      </c>
      <c r="AG55" s="178">
        <f>IF(ID!$B$51='Input Data Tachometer'!$V$33,'Input Data Tachometer'!O11,IF(ID!$B$51='Input Data Tachometer'!$V$34,'Input Data Tachometer'!O25,IF(ID!$B$51='Input Data Tachometer'!$V$35,'Input Data Tachometer'!O39,IF(ID!$B$51='Input Data Tachometer'!$V$36,'Input Data Tachometer'!O53,IF(ID!$B$51='Input Data Tachometer'!$V$37,'Input Data Tachometer'!O67,IF(ID!$B$51='Input Data Tachometer'!$V$38,'Input Data Tachometer'!O81,IF(ID!$B$51='Input Data Tachometer'!$V$39,'Input Data Tachometer'!O95,IF(ID!$B$51='Input Data Tachometer'!$V$40,'Input Data Tachometer'!O109,IF(ID!$B$51='Input Data Tachometer'!$V$41,'Input Data Tachometer'!O123,'Input Data Tachometer'!O137)))))))))</f>
        <v>0</v>
      </c>
      <c r="AH55" s="178">
        <f>IF(ID!$B$51='Input Data Tachometer'!$V$33,'Input Data Tachometer'!P11,IF(ID!$B$51='Input Data Tachometer'!$V$34,'Input Data Tachometer'!P25,IF(ID!$B$51='Input Data Tachometer'!$V$35,'Input Data Tachometer'!P39,IF(ID!$B$51='Input Data Tachometer'!$V$36,'Input Data Tachometer'!P53,IF(ID!$B$51='Input Data Tachometer'!$V$37,'Input Data Tachometer'!P67,IF(ID!$B$51='Input Data Tachometer'!$V$38,'Input Data Tachometer'!P81,IF(ID!$B$51='Input Data Tachometer'!$V$39,'Input Data Tachometer'!P95,IF(ID!$B$51='Input Data Tachometer'!$V$40,'Input Data Tachometer'!P109,IF(ID!$B$51='Input Data Tachometer'!$V$41,'Input Data Tachometer'!P123,'Input Data Tachometer'!P137)))))))))</f>
        <v>4.9999999999999998E-7</v>
      </c>
      <c r="AI55" s="1145">
        <f>IF(ID!$B$51='Input Data Tachometer'!$V$33,'Input Data Tachometer'!Q11,IF(ID!$B$51='Input Data Tachometer'!$V$34,'Input Data Tachometer'!Q25,IF(ID!$B$51='Input Data Tachometer'!$V$35,'Input Data Tachometer'!Q39,IF(ID!$B$51='Input Data Tachometer'!$V$36,'Input Data Tachometer'!Q53,IF(ID!$B$51='Input Data Tachometer'!$V$37,'Input Data Tachometer'!Q67,IF(ID!$B$51='Input Data Tachometer'!$V$38,'Input Data Tachometer'!Q81,IF(ID!$B$51='Input Data Tachometer'!$V$39,'Input Data Tachometer'!Q95,IF(ID!$B$51='Input Data Tachometer'!$V$40,'Input Data Tachometer'!Q109,IF(ID!$B$51='Input Data Tachometer'!$V$41,'Input Data Tachometer'!Q123,'Input Data Tachometer'!Q137)))))))))</f>
        <v>1</v>
      </c>
    </row>
    <row r="56" spans="1:35" x14ac:dyDescent="0.25">
      <c r="H56" s="1378"/>
      <c r="I56" s="630"/>
      <c r="J56" s="1378"/>
      <c r="S56" s="630"/>
      <c r="V56" s="1140">
        <f>IF(ID!$B$51='Input Data Tachometer'!$V$33,'Input Data Tachometer'!A12,IF(ID!$B$51='Input Data Tachometer'!$V$34,'Input Data Tachometer'!A26,IF(ID!$B$51='Input Data Tachometer'!$V$35,'Input Data Tachometer'!A40,IF(ID!$B$51='Input Data Tachometer'!$V$36,'Input Data Tachometer'!A54,IF(ID!$B$51='Input Data Tachometer'!$V$37,'Input Data Tachometer'!A68,IF(ID!$B$51='Input Data Tachometer'!$V$38,'Input Data Tachometer'!A82,IF(ID!$B$51='Input Data Tachometer'!$V$39,'Input Data Tachometer'!A96,IF(ID!$B$51='Input Data Tachometer'!$V$40,'Input Data Tachometer'!A110,IF(ID!$B$51='Input Data Tachometer'!$V$41,'Input Data Tachometer'!A124,IF(ID!$B$51='Input Data Tachometer'!$V$42,'Input Data Tachometer'!A138))))))))))</f>
        <v>50000</v>
      </c>
      <c r="W56" s="1134">
        <f>IF(ID!$B$51='Input Data Tachometer'!$V$33,'Input Data Tachometer'!B12,IF(ID!$B$51='Input Data Tachometer'!$V$34,'Input Data Tachometer'!B26,IF(ID!$B$51='Input Data Tachometer'!$V$35,'Input Data Tachometer'!B40,IF(ID!$B$51='Input Data Tachometer'!$V$36,'Input Data Tachometer'!B54,IF(ID!$B$51='Input Data Tachometer'!$V$37,'Input Data Tachometer'!B68,IF(ID!$B$51='Input Data Tachometer'!$V$38,'Input Data Tachometer'!B82,IF(ID!$B$51='Input Data Tachometer'!$V$39,'Input Data Tachometer'!B96,IF(ID!$B$51='Input Data Tachometer'!$V$40,'Input Data Tachometer'!B110,IF(ID!$B$51='Input Data Tachometer'!$V$41,'Input Data Tachometer'!B124,IF(ID!$B$51='Input Data Tachometer'!$V$42,'Input Data Tachometer'!B138))))))))))</f>
        <v>-2</v>
      </c>
      <c r="X56" s="1134">
        <f>IF(ID!$B$51='Input Data Tachometer'!$V$33,'Input Data Tachometer'!C12,IF(ID!$B$51='Input Data Tachometer'!$V$34,'Input Data Tachometer'!C26,IF(ID!$B$51='Input Data Tachometer'!$V$35,'Input Data Tachometer'!C40,IF(ID!$B$51='Input Data Tachometer'!$V$36,'Input Data Tachometer'!C54,IF(ID!$B$51='Input Data Tachometer'!$V$37,'Input Data Tachometer'!C68,IF(ID!$B$51='Input Data Tachometer'!$V$38,'Input Data Tachometer'!C82,IF(ID!$B$51='Input Data Tachometer'!$V$39,'Input Data Tachometer'!C96,IF(ID!$B$51='Input Data Tachometer'!$V$40,'Input Data Tachometer'!C110,IF(ID!$B$51='Input Data Tachometer'!$V$41,'Input Data Tachometer'!C124,IF(ID!$B$51='Input Data Tachometer'!$V$42,'Input Data Tachometer'!C138))))))))))</f>
        <v>2</v>
      </c>
      <c r="Y56" s="1134">
        <f>IF(ID!$B$51='Input Data Tachometer'!$V$33,'Input Data Tachometer'!D12,IF(ID!$B$51='Input Data Tachometer'!$V$34,'Input Data Tachometer'!D26,IF(ID!$B$51='Input Data Tachometer'!$V$35,'Input Data Tachometer'!D40,IF(ID!$B$51='Input Data Tachometer'!$V$36,'Input Data Tachometer'!D54,IF(ID!$B$51='Input Data Tachometer'!$V$37,'Input Data Tachometer'!D68,IF(ID!$B$51='Input Data Tachometer'!$V$38,'Input Data Tachometer'!D82,IF(ID!$B$51='Input Data Tachometer'!$V$39,'Input Data Tachometer'!D96,IF(ID!$B$51='Input Data Tachometer'!$V$40,'Input Data Tachometer'!D110,IF(ID!$B$51='Input Data Tachometer'!$V$41,'Input Data Tachometer'!D124,IF(ID!$B$51='Input Data Tachometer'!$V$42,'Input Data Tachometer'!D138))))))))))</f>
        <v>2</v>
      </c>
      <c r="Z56" s="1141">
        <f>IF(ID!$B$51='Input Data Tachometer'!$V$33,'Input Data Tachometer'!E12,IF(ID!$B$51='Input Data Tachometer'!$V$34,'Input Data Tachometer'!E26,IF(ID!$B$51='Input Data Tachometer'!$V$35,'Input Data Tachometer'!E40,IF(ID!$B$51='Input Data Tachometer'!$V$36,'Input Data Tachometer'!E54,IF(ID!$B$51='Input Data Tachometer'!$V$37,'Input Data Tachometer'!E68,IF(ID!$B$51='Input Data Tachometer'!$V$38,'Input Data Tachometer'!E82,IF(ID!$B$51='Input Data Tachometer'!$V$39,'Input Data Tachometer'!E96,IF(ID!$B$51='Input Data Tachometer'!$V$40,'Input Data Tachometer'!E110,IF(ID!$B$51='Input Data Tachometer'!$V$41,'Input Data Tachometer'!E124,IF(ID!$B$51='Input Data Tachometer'!$V$42,'Input Data Tachometer'!E138))))))))))</f>
        <v>1</v>
      </c>
      <c r="AA56" s="634"/>
      <c r="AE56" s="1140">
        <f>IF(ID!$B$51='Input Data Tachometer'!$V$33,'Input Data Tachometer'!M12,IF(ID!$B$51='Input Data Tachometer'!$V$34,'Input Data Tachometer'!M26,IF(ID!$B$51='Input Data Tachometer'!$V$35,'Input Data Tachometer'!M40,IF(ID!$B$51='Input Data Tachometer'!$V$36,'Input Data Tachometer'!M54,IF(ID!$B$51='Input Data Tachometer'!$V$37,'Input Data Tachometer'!M68,IF(ID!$B$51='Input Data Tachometer'!$V$38,'Input Data Tachometer'!M82,IF(ID!$B$51='Input Data Tachometer'!$V$39,'Input Data Tachometer'!M96,IF(ID!$B$51='Input Data Tachometer'!$V$40,'Input Data Tachometer'!M110,IF(ID!$B$51='Input Data Tachometer'!$V$41,'Input Data Tachometer'!M124,'Input Data Tachometer'!M138)))))))))</f>
        <v>50000</v>
      </c>
      <c r="AF56" s="178">
        <f>IF(ID!$B$51='Input Data Tachometer'!$V$33,'Input Data Tachometer'!N12,IF(ID!$B$51='Input Data Tachometer'!$V$34,'Input Data Tachometer'!N26,IF(ID!$B$51='Input Data Tachometer'!$V$35,'Input Data Tachometer'!N40,IF(ID!$B$51='Input Data Tachometer'!$V$36,'Input Data Tachometer'!N54,IF(ID!$B$51='Input Data Tachometer'!$V$37,'Input Data Tachometer'!N68,IF(ID!$B$51='Input Data Tachometer'!$V$38,'Input Data Tachometer'!N82,IF(ID!$B$51='Input Data Tachometer'!$V$39,'Input Data Tachometer'!N96,IF(ID!$B$51='Input Data Tachometer'!$V$40,'Input Data Tachometer'!N110,IF(ID!$B$51='Input Data Tachometer'!$V$41,'Input Data Tachometer'!N124,'Input Data Tachometer'!N138)))))))))</f>
        <v>-2</v>
      </c>
      <c r="AG56" s="178">
        <f>IF(ID!$B$51='Input Data Tachometer'!$V$33,'Input Data Tachometer'!O12,IF(ID!$B$51='Input Data Tachometer'!$V$34,'Input Data Tachometer'!O26,IF(ID!$B$51='Input Data Tachometer'!$V$35,'Input Data Tachometer'!O40,IF(ID!$B$51='Input Data Tachometer'!$V$36,'Input Data Tachometer'!O54,IF(ID!$B$51='Input Data Tachometer'!$V$37,'Input Data Tachometer'!O68,IF(ID!$B$51='Input Data Tachometer'!$V$38,'Input Data Tachometer'!O82,IF(ID!$B$51='Input Data Tachometer'!$V$39,'Input Data Tachometer'!O96,IF(ID!$B$51='Input Data Tachometer'!$V$40,'Input Data Tachometer'!O110,IF(ID!$B$51='Input Data Tachometer'!$V$41,'Input Data Tachometer'!O124,'Input Data Tachometer'!O138)))))))))</f>
        <v>2</v>
      </c>
      <c r="AH56" s="178">
        <f>IF(ID!$B$51='Input Data Tachometer'!$V$33,'Input Data Tachometer'!P12,IF(ID!$B$51='Input Data Tachometer'!$V$34,'Input Data Tachometer'!P26,IF(ID!$B$51='Input Data Tachometer'!$V$35,'Input Data Tachometer'!P40,IF(ID!$B$51='Input Data Tachometer'!$V$36,'Input Data Tachometer'!P54,IF(ID!$B$51='Input Data Tachometer'!$V$37,'Input Data Tachometer'!P68,IF(ID!$B$51='Input Data Tachometer'!$V$38,'Input Data Tachometer'!P82,IF(ID!$B$51='Input Data Tachometer'!$V$39,'Input Data Tachometer'!P96,IF(ID!$B$51='Input Data Tachometer'!$V$40,'Input Data Tachometer'!P110,IF(ID!$B$51='Input Data Tachometer'!$V$41,'Input Data Tachometer'!P124,'Input Data Tachometer'!P138)))))))))</f>
        <v>2</v>
      </c>
      <c r="AI56" s="1145">
        <f>IF(ID!$B$51='Input Data Tachometer'!$V$33,'Input Data Tachometer'!Q12,IF(ID!$B$51='Input Data Tachometer'!$V$34,'Input Data Tachometer'!Q26,IF(ID!$B$51='Input Data Tachometer'!$V$35,'Input Data Tachometer'!Q40,IF(ID!$B$51='Input Data Tachometer'!$V$36,'Input Data Tachometer'!Q54,IF(ID!$B$51='Input Data Tachometer'!$V$37,'Input Data Tachometer'!Q68,IF(ID!$B$51='Input Data Tachometer'!$V$38,'Input Data Tachometer'!Q82,IF(ID!$B$51='Input Data Tachometer'!$V$39,'Input Data Tachometer'!Q96,IF(ID!$B$51='Input Data Tachometer'!$V$40,'Input Data Tachometer'!Q110,IF(ID!$B$51='Input Data Tachometer'!$V$41,'Input Data Tachometer'!Q124,'Input Data Tachometer'!Q138)))))))))</f>
        <v>1</v>
      </c>
    </row>
    <row r="57" spans="1:35" ht="14.4" thickBot="1" x14ac:dyDescent="0.3">
      <c r="A57" s="1373" t="s">
        <v>190</v>
      </c>
      <c r="B57" s="1374"/>
      <c r="C57" s="1375"/>
      <c r="D57" s="1323" t="s">
        <v>123</v>
      </c>
      <c r="E57" s="1322" t="s">
        <v>124</v>
      </c>
      <c r="H57" s="1378"/>
      <c r="I57" s="630"/>
      <c r="J57" s="1378"/>
      <c r="M57" s="1373" t="s">
        <v>190</v>
      </c>
      <c r="N57" s="1374"/>
      <c r="O57" s="1375"/>
      <c r="P57" s="1323" t="s">
        <v>123</v>
      </c>
      <c r="Q57" s="1322" t="s">
        <v>124</v>
      </c>
      <c r="S57" s="630"/>
      <c r="V57" s="1142">
        <f>IF(ID!$B$51='Input Data Tachometer'!$V$33,'Input Data Tachometer'!A13,IF(ID!$B$51='Input Data Tachometer'!$V$34,'Input Data Tachometer'!A27,IF(ID!$B$51='Input Data Tachometer'!$V$35,'Input Data Tachometer'!A41,IF(ID!$B$51='Input Data Tachometer'!$V$36,'Input Data Tachometer'!A55,IF(ID!$B$51='Input Data Tachometer'!$V$37,'Input Data Tachometer'!A69,IF(ID!$B$51='Input Data Tachometer'!$V$38,'Input Data Tachometer'!A83,IF(ID!$B$51='Input Data Tachometer'!$V$39,'Input Data Tachometer'!A97,IF(ID!$B$51='Input Data Tachometer'!$V$40,'Input Data Tachometer'!A111,IF(ID!$B$51='Input Data Tachometer'!$V$41,'Input Data Tachometer'!A125,IF(ID!$B$51='Input Data Tachometer'!$V$42,'Input Data Tachometer'!A139))))))))))</f>
        <v>99000</v>
      </c>
      <c r="W57" s="1143">
        <f>IF(ID!$B$51='Input Data Tachometer'!$V$33,'Input Data Tachometer'!B13,IF(ID!$B$51='Input Data Tachometer'!$V$34,'Input Data Tachometer'!B27,IF(ID!$B$51='Input Data Tachometer'!$V$35,'Input Data Tachometer'!B41,IF(ID!$B$51='Input Data Tachometer'!$V$36,'Input Data Tachometer'!B55,IF(ID!$B$51='Input Data Tachometer'!$V$37,'Input Data Tachometer'!B69,IF(ID!$B$51='Input Data Tachometer'!$V$38,'Input Data Tachometer'!B83,IF(ID!$B$51='Input Data Tachometer'!$V$39,'Input Data Tachometer'!B97,IF(ID!$B$51='Input Data Tachometer'!$V$40,'Input Data Tachometer'!B111,IF(ID!$B$51='Input Data Tachometer'!$V$41,'Input Data Tachometer'!B125,IF(ID!$B$51='Input Data Tachometer'!$V$42,'Input Data Tachometer'!B139))))))))))</f>
        <v>-3</v>
      </c>
      <c r="X57" s="1143" t="str">
        <f>IF(ID!$B$51='Input Data Tachometer'!$V$33,'Input Data Tachometer'!C13,IF(ID!$B$51='Input Data Tachometer'!$V$34,'Input Data Tachometer'!C27,IF(ID!$B$51='Input Data Tachometer'!$V$35,'Input Data Tachometer'!C41,IF(ID!$B$51='Input Data Tachometer'!$V$36,'Input Data Tachometer'!C55,IF(ID!$B$51='Input Data Tachometer'!$V$37,'Input Data Tachometer'!C69,IF(ID!$B$51='Input Data Tachometer'!$V$38,'Input Data Tachometer'!C83,IF(ID!$B$51='Input Data Tachometer'!$V$39,'Input Data Tachometer'!C97,IF(ID!$B$51='Input Data Tachometer'!$V$40,'Input Data Tachometer'!C111,IF(ID!$B$51='Input Data Tachometer'!$V$41,'Input Data Tachometer'!C125,IF(ID!$B$51='Input Data Tachometer'!$V$42,'Input Data Tachometer'!C139))))))))))</f>
        <v>-</v>
      </c>
      <c r="Y57" s="1143">
        <f>IF(ID!$B$51='Input Data Tachometer'!$V$33,'Input Data Tachometer'!D13,IF(ID!$B$51='Input Data Tachometer'!$V$34,'Input Data Tachometer'!D27,IF(ID!$B$51='Input Data Tachometer'!$V$35,'Input Data Tachometer'!D41,IF(ID!$B$51='Input Data Tachometer'!$V$36,'Input Data Tachometer'!D55,IF(ID!$B$51='Input Data Tachometer'!$V$37,'Input Data Tachometer'!D69,IF(ID!$B$51='Input Data Tachometer'!$V$38,'Input Data Tachometer'!D83,IF(ID!$B$51='Input Data Tachometer'!$V$39,'Input Data Tachometer'!D97,IF(ID!$B$51='Input Data Tachometer'!$V$40,'Input Data Tachometer'!D111,IF(ID!$B$51='Input Data Tachometer'!$V$41,'Input Data Tachometer'!D125,IF(ID!$B$51='Input Data Tachometer'!$V$42,'Input Data Tachometer'!D139))))))))))</f>
        <v>0</v>
      </c>
      <c r="Z57" s="1144">
        <f>IF(ID!$B$51='Input Data Tachometer'!$V$33,'Input Data Tachometer'!E13,IF(ID!$B$51='Input Data Tachometer'!$V$34,'Input Data Tachometer'!E27,IF(ID!$B$51='Input Data Tachometer'!$V$35,'Input Data Tachometer'!E41,IF(ID!$B$51='Input Data Tachometer'!$V$36,'Input Data Tachometer'!E55,IF(ID!$B$51='Input Data Tachometer'!$V$37,'Input Data Tachometer'!E69,IF(ID!$B$51='Input Data Tachometer'!$V$38,'Input Data Tachometer'!E83,IF(ID!$B$51='Input Data Tachometer'!$V$39,'Input Data Tachometer'!E97,IF(ID!$B$51='Input Data Tachometer'!$V$40,'Input Data Tachometer'!E111,IF(ID!$B$51='Input Data Tachometer'!$V$41,'Input Data Tachometer'!E125,IF(ID!$B$51='Input Data Tachometer'!$V$42,'Input Data Tachometer'!E139))))))))))</f>
        <v>1</v>
      </c>
      <c r="AA57" s="634"/>
      <c r="AE57" s="1142">
        <f>IF(ID!$B$51='Input Data Tachometer'!$V$33,'Input Data Tachometer'!M13,IF(ID!$B$51='Input Data Tachometer'!$V$34,'Input Data Tachometer'!M27,IF(ID!$B$51='Input Data Tachometer'!$V$35,'Input Data Tachometer'!M41,IF(ID!$B$51='Input Data Tachometer'!$V$36,'Input Data Tachometer'!M55,IF(ID!$B$51='Input Data Tachometer'!$V$37,'Input Data Tachometer'!M69,IF(ID!$B$51='Input Data Tachometer'!$V$38,'Input Data Tachometer'!M83,IF(ID!$B$51='Input Data Tachometer'!$V$39,'Input Data Tachometer'!M97,IF(ID!$B$51='Input Data Tachometer'!$V$40,'Input Data Tachometer'!M111,IF(ID!$B$51='Input Data Tachometer'!$V$41,'Input Data Tachometer'!M125,'Input Data Tachometer'!M139)))))))))</f>
        <v>99000</v>
      </c>
      <c r="AF57" s="1146">
        <f>IF(ID!$B$51='Input Data Tachometer'!$V$33,'Input Data Tachometer'!N13,IF(ID!$B$51='Input Data Tachometer'!$V$34,'Input Data Tachometer'!N27,IF(ID!$B$51='Input Data Tachometer'!$V$35,'Input Data Tachometer'!N41,IF(ID!$B$51='Input Data Tachometer'!$V$36,'Input Data Tachometer'!N55,IF(ID!$B$51='Input Data Tachometer'!$V$37,'Input Data Tachometer'!N69,IF(ID!$B$51='Input Data Tachometer'!$V$38,'Input Data Tachometer'!N83,IF(ID!$B$51='Input Data Tachometer'!$V$39,'Input Data Tachometer'!N97,IF(ID!$B$51='Input Data Tachometer'!$V$40,'Input Data Tachometer'!N111,IF(ID!$B$51='Input Data Tachometer'!$V$41,'Input Data Tachometer'!N125,'Input Data Tachometer'!N139)))))))))</f>
        <v>-3</v>
      </c>
      <c r="AG57" s="1146" t="str">
        <f>IF(ID!$B$51='Input Data Tachometer'!$V$33,'Input Data Tachometer'!O13,IF(ID!$B$51='Input Data Tachometer'!$V$34,'Input Data Tachometer'!O27,IF(ID!$B$51='Input Data Tachometer'!$V$35,'Input Data Tachometer'!O41,IF(ID!$B$51='Input Data Tachometer'!$V$36,'Input Data Tachometer'!O55,IF(ID!$B$51='Input Data Tachometer'!$V$37,'Input Data Tachometer'!O69,IF(ID!$B$51='Input Data Tachometer'!$V$38,'Input Data Tachometer'!O83,IF(ID!$B$51='Input Data Tachometer'!$V$39,'Input Data Tachometer'!O97,IF(ID!$B$51='Input Data Tachometer'!$V$40,'Input Data Tachometer'!O111,IF(ID!$B$51='Input Data Tachometer'!$V$41,'Input Data Tachometer'!O125,'Input Data Tachometer'!O139)))))))))</f>
        <v>-</v>
      </c>
      <c r="AH57" s="1146">
        <f>IF(ID!$B$51='Input Data Tachometer'!$V$33,'Input Data Tachometer'!P13,IF(ID!$B$51='Input Data Tachometer'!$V$34,'Input Data Tachometer'!P27,IF(ID!$B$51='Input Data Tachometer'!$V$35,'Input Data Tachometer'!P41,IF(ID!$B$51='Input Data Tachometer'!$V$36,'Input Data Tachometer'!P55,IF(ID!$B$51='Input Data Tachometer'!$V$37,'Input Data Tachometer'!P69,IF(ID!$B$51='Input Data Tachometer'!$V$38,'Input Data Tachometer'!P83,IF(ID!$B$51='Input Data Tachometer'!$V$39,'Input Data Tachometer'!P97,IF(ID!$B$51='Input Data Tachometer'!$V$40,'Input Data Tachometer'!P111,IF(ID!$B$51='Input Data Tachometer'!$V$41,'Input Data Tachometer'!P125,'Input Data Tachometer'!P139)))))))))</f>
        <v>0</v>
      </c>
      <c r="AI57" s="1147">
        <f>IF(ID!$B$51='Input Data Tachometer'!$V$33,'Input Data Tachometer'!Q13,IF(ID!$B$51='Input Data Tachometer'!$V$34,'Input Data Tachometer'!Q27,IF(ID!$B$51='Input Data Tachometer'!$V$35,'Input Data Tachometer'!Q41,IF(ID!$B$51='Input Data Tachometer'!$V$36,'Input Data Tachometer'!Q55,IF(ID!$B$51='Input Data Tachometer'!$V$37,'Input Data Tachometer'!Q69,IF(ID!$B$51='Input Data Tachometer'!$V$38,'Input Data Tachometer'!Q83,IF(ID!$B$51='Input Data Tachometer'!$V$39,'Input Data Tachometer'!Q97,IF(ID!$B$51='Input Data Tachometer'!$V$40,'Input Data Tachometer'!Q111,IF(ID!$B$51='Input Data Tachometer'!$V$41,'Input Data Tachometer'!Q125,'Input Data Tachometer'!Q139)))))))))</f>
        <v>1</v>
      </c>
    </row>
    <row r="58" spans="1:35" x14ac:dyDescent="0.25">
      <c r="A58" s="626" t="s">
        <v>166</v>
      </c>
      <c r="B58" s="1372" t="s">
        <v>127</v>
      </c>
      <c r="C58" s="1372"/>
      <c r="D58" s="1323"/>
      <c r="E58" s="1322"/>
      <c r="H58" s="1378"/>
      <c r="I58" s="630"/>
      <c r="J58" s="1378"/>
      <c r="M58" s="626" t="s">
        <v>166</v>
      </c>
      <c r="N58" s="1372" t="s">
        <v>127</v>
      </c>
      <c r="O58" s="1372"/>
      <c r="P58" s="1323"/>
      <c r="Q58" s="1322"/>
      <c r="S58" s="630"/>
    </row>
    <row r="59" spans="1:35" ht="14.4" x14ac:dyDescent="0.25">
      <c r="A59" s="627" t="s">
        <v>167</v>
      </c>
      <c r="B59" s="628">
        <v>2021</v>
      </c>
      <c r="C59" s="628">
        <v>2019</v>
      </c>
      <c r="D59" s="1323"/>
      <c r="E59" s="1322"/>
      <c r="H59" s="1378"/>
      <c r="I59" s="630"/>
      <c r="J59" s="1378"/>
      <c r="M59" s="627" t="s">
        <v>167</v>
      </c>
      <c r="N59" s="628">
        <v>2021</v>
      </c>
      <c r="O59" s="628">
        <v>2019</v>
      </c>
      <c r="P59" s="1323"/>
      <c r="Q59" s="1322"/>
      <c r="S59" s="630"/>
    </row>
    <row r="60" spans="1:35" x14ac:dyDescent="0.25">
      <c r="A60" s="588">
        <v>0</v>
      </c>
      <c r="B60" s="167">
        <v>9.9999999999999995E-7</v>
      </c>
      <c r="C60" s="167">
        <v>9.9999999999999995E-7</v>
      </c>
      <c r="D60" s="171">
        <f>0.5*(MAX(B60:C60)-MIN(B60:C60))</f>
        <v>0</v>
      </c>
      <c r="E60" s="167">
        <v>0</v>
      </c>
      <c r="H60" s="1378"/>
      <c r="I60" s="630"/>
      <c r="J60" s="1378"/>
      <c r="M60" s="588">
        <v>0</v>
      </c>
      <c r="N60" s="167">
        <v>9.9999999999999995E-7</v>
      </c>
      <c r="O60" s="167">
        <v>9.9999999999999995E-7</v>
      </c>
      <c r="P60" s="171">
        <f>0.5*(MAX(N60:O60)-MIN(N60:O60))</f>
        <v>0</v>
      </c>
      <c r="Q60" s="167">
        <v>9.9999999999999995E-7</v>
      </c>
      <c r="S60" s="630"/>
    </row>
    <row r="61" spans="1:35" x14ac:dyDescent="0.25">
      <c r="A61" s="175">
        <v>200</v>
      </c>
      <c r="B61" s="167">
        <v>9.9999999999999995E-7</v>
      </c>
      <c r="C61" s="167">
        <v>9.9999999999999995E-7</v>
      </c>
      <c r="D61" s="171">
        <f>0.5*(MAX(B61:C61)-MIN(B61:C61))</f>
        <v>0</v>
      </c>
      <c r="E61" s="167">
        <v>0.1</v>
      </c>
      <c r="H61" s="1378"/>
      <c r="I61" s="630"/>
      <c r="J61" s="1378"/>
      <c r="M61" s="175">
        <v>200</v>
      </c>
      <c r="N61" s="167">
        <v>9.9999999999999995E-7</v>
      </c>
      <c r="O61" s="167">
        <v>9.9999999999999995E-7</v>
      </c>
      <c r="P61" s="171">
        <f>0.5*(MAX(N61:O61)-MIN(N61:O61))</f>
        <v>0</v>
      </c>
      <c r="Q61" s="167">
        <v>0.1</v>
      </c>
      <c r="S61" s="630"/>
    </row>
    <row r="62" spans="1:35" x14ac:dyDescent="0.25">
      <c r="A62" s="175">
        <v>1000</v>
      </c>
      <c r="B62" s="167">
        <v>0.1</v>
      </c>
      <c r="C62" s="167">
        <v>0.1</v>
      </c>
      <c r="D62" s="171">
        <f>0.5*(MAX(B62:C62)-MIN(B62:C62))</f>
        <v>0</v>
      </c>
      <c r="E62" s="167">
        <v>0.1</v>
      </c>
      <c r="H62" s="1378"/>
      <c r="I62" s="630"/>
      <c r="J62" s="1378"/>
      <c r="M62" s="175">
        <v>1000</v>
      </c>
      <c r="N62" s="167">
        <v>0.1</v>
      </c>
      <c r="O62" s="167">
        <v>9.9999999999999995E-7</v>
      </c>
      <c r="P62" s="171">
        <f>0.5*(MAX(N62:O62)-MIN(N62:O62))</f>
        <v>4.9999500000000002E-2</v>
      </c>
      <c r="Q62" s="167">
        <v>0.1</v>
      </c>
      <c r="S62" s="630"/>
    </row>
    <row r="63" spans="1:35" x14ac:dyDescent="0.25">
      <c r="A63" s="175">
        <v>2000</v>
      </c>
      <c r="B63" s="167">
        <v>-0.1</v>
      </c>
      <c r="C63" s="167">
        <v>0.1</v>
      </c>
      <c r="D63" s="171">
        <f t="shared" ref="D63:D65" si="22">0.5*(MAX(B63:C63)-MIN(B63:C63))</f>
        <v>0.1</v>
      </c>
      <c r="E63" s="167">
        <v>0.1</v>
      </c>
      <c r="H63" s="1378"/>
      <c r="I63" s="630"/>
      <c r="J63" s="1378"/>
      <c r="M63" s="175">
        <v>2000</v>
      </c>
      <c r="N63" s="167">
        <v>-0.1</v>
      </c>
      <c r="O63" s="167">
        <v>0.1</v>
      </c>
      <c r="P63" s="171">
        <f t="shared" ref="P63:P65" si="23">0.5*(MAX(N63:O63)-MIN(N63:O63))</f>
        <v>0.1</v>
      </c>
      <c r="Q63" s="167">
        <v>0.1</v>
      </c>
      <c r="S63" s="630"/>
    </row>
    <row r="64" spans="1:35" x14ac:dyDescent="0.25">
      <c r="A64" s="175">
        <v>3000</v>
      </c>
      <c r="B64" s="167">
        <v>-0.1</v>
      </c>
      <c r="C64" s="167">
        <v>0.1</v>
      </c>
      <c r="D64" s="171">
        <f t="shared" si="22"/>
        <v>0.1</v>
      </c>
      <c r="E64" s="167">
        <v>0.1</v>
      </c>
      <c r="H64" s="1378"/>
      <c r="I64" s="630"/>
      <c r="J64" s="1378"/>
      <c r="M64" s="175">
        <v>3000</v>
      </c>
      <c r="N64" s="167">
        <v>-0.1</v>
      </c>
      <c r="O64" s="167">
        <v>0.1</v>
      </c>
      <c r="P64" s="171">
        <f t="shared" si="23"/>
        <v>0.1</v>
      </c>
      <c r="Q64" s="167">
        <v>0.1</v>
      </c>
      <c r="S64" s="630"/>
    </row>
    <row r="65" spans="1:19" x14ac:dyDescent="0.25">
      <c r="A65" s="175">
        <v>4000</v>
      </c>
      <c r="B65" s="167">
        <v>-0.2</v>
      </c>
      <c r="C65" s="167">
        <v>0.2</v>
      </c>
      <c r="D65" s="171">
        <f t="shared" si="22"/>
        <v>0.2</v>
      </c>
      <c r="E65" s="167">
        <v>0.1</v>
      </c>
      <c r="H65" s="1378"/>
      <c r="I65" s="630"/>
      <c r="J65" s="1378"/>
      <c r="M65" s="175">
        <v>4000</v>
      </c>
      <c r="N65" s="167">
        <v>-0.2</v>
      </c>
      <c r="O65" s="167">
        <v>0.2</v>
      </c>
      <c r="P65" s="171">
        <f t="shared" si="23"/>
        <v>0.2</v>
      </c>
      <c r="Q65" s="167">
        <v>0.1</v>
      </c>
      <c r="S65" s="630"/>
    </row>
    <row r="66" spans="1:19" x14ac:dyDescent="0.25">
      <c r="A66" s="175">
        <v>5000</v>
      </c>
      <c r="B66" s="167">
        <v>-0.3</v>
      </c>
      <c r="C66" s="167">
        <v>0.2</v>
      </c>
      <c r="D66" s="171">
        <f>0.5*(MAX(B66:C66)-MIN(B66:C66))</f>
        <v>0.25</v>
      </c>
      <c r="E66" s="167">
        <v>0.1</v>
      </c>
      <c r="H66" s="1378"/>
      <c r="I66" s="630"/>
      <c r="J66" s="1378"/>
      <c r="M66" s="175">
        <v>5000</v>
      </c>
      <c r="N66" s="167">
        <v>-0.3</v>
      </c>
      <c r="O66" s="167">
        <v>0.2</v>
      </c>
      <c r="P66" s="171">
        <f>0.5*(MAX(N66:O66)-MIN(N66:O66))</f>
        <v>0.25</v>
      </c>
      <c r="Q66" s="167">
        <v>0.1</v>
      </c>
      <c r="S66" s="630"/>
    </row>
    <row r="67" spans="1:19" x14ac:dyDescent="0.25">
      <c r="A67" s="175">
        <v>10000</v>
      </c>
      <c r="B67" s="167">
        <v>9.9999999999999995E-7</v>
      </c>
      <c r="C67" s="167">
        <v>9.9999999999999995E-7</v>
      </c>
      <c r="D67" s="169">
        <f>0.5*(MAX(B67:C67)-MIN(B67:C67))</f>
        <v>0</v>
      </c>
      <c r="E67" s="167">
        <v>1</v>
      </c>
      <c r="H67" s="1378"/>
      <c r="I67" s="630"/>
      <c r="J67" s="1378"/>
      <c r="M67" s="175">
        <v>10000</v>
      </c>
      <c r="N67" s="167">
        <v>9.9999999999999995E-7</v>
      </c>
      <c r="O67" s="167">
        <v>9.9999999999999995E-7</v>
      </c>
      <c r="P67" s="169">
        <f>0.5*(MAX(N67:O67)-MIN(N67:O67))</f>
        <v>0</v>
      </c>
      <c r="Q67" s="167">
        <v>1</v>
      </c>
      <c r="S67" s="630"/>
    </row>
    <row r="68" spans="1:19" x14ac:dyDescent="0.25">
      <c r="A68" s="175">
        <v>50000</v>
      </c>
      <c r="B68" s="167">
        <v>-0.2</v>
      </c>
      <c r="C68" s="167">
        <v>2</v>
      </c>
      <c r="D68" s="169">
        <f>0.5*(MAX(B68:C68)-MIN(B68:C68))</f>
        <v>1.1000000000000001</v>
      </c>
      <c r="E68" s="167">
        <v>1</v>
      </c>
      <c r="H68" s="1378"/>
      <c r="I68" s="630"/>
      <c r="J68" s="1378"/>
      <c r="M68" s="175">
        <v>50000</v>
      </c>
      <c r="N68" s="167">
        <v>-0.2</v>
      </c>
      <c r="O68" s="167">
        <v>2</v>
      </c>
      <c r="P68" s="169">
        <f>0.5*(MAX(N68:O68)-MIN(N68:O68))</f>
        <v>1.1000000000000001</v>
      </c>
      <c r="Q68" s="167">
        <v>1</v>
      </c>
      <c r="S68" s="630"/>
    </row>
    <row r="69" spans="1:19" x14ac:dyDescent="0.25">
      <c r="A69" s="175">
        <v>99000</v>
      </c>
      <c r="B69" s="167">
        <v>-4</v>
      </c>
      <c r="C69" s="167">
        <v>4</v>
      </c>
      <c r="D69" s="169">
        <f>0.5*(MAX(B69:C69)-MIN(B69:C69))</f>
        <v>4</v>
      </c>
      <c r="E69" s="167">
        <v>1</v>
      </c>
      <c r="H69" s="1378"/>
      <c r="I69" s="630"/>
      <c r="J69" s="1378"/>
      <c r="M69" s="175">
        <v>99000</v>
      </c>
      <c r="N69" s="167">
        <v>-4</v>
      </c>
      <c r="O69" s="167">
        <v>4</v>
      </c>
      <c r="P69" s="169">
        <f>0.5*(MAX(N69:O69)-MIN(N69:O69))</f>
        <v>4</v>
      </c>
      <c r="Q69" s="167">
        <v>1</v>
      </c>
      <c r="S69" s="630"/>
    </row>
    <row r="70" spans="1:19" x14ac:dyDescent="0.25">
      <c r="H70" s="1378"/>
      <c r="I70" s="630"/>
      <c r="J70" s="1378"/>
      <c r="S70" s="630"/>
    </row>
    <row r="71" spans="1:19" ht="13.8" x14ac:dyDescent="0.25">
      <c r="A71" s="1373" t="s">
        <v>191</v>
      </c>
      <c r="B71" s="1374"/>
      <c r="C71" s="1375"/>
      <c r="D71" s="1323" t="s">
        <v>123</v>
      </c>
      <c r="E71" s="1322" t="s">
        <v>124</v>
      </c>
      <c r="H71" s="1378"/>
      <c r="I71" s="630"/>
      <c r="J71" s="1378"/>
      <c r="M71" s="1373" t="s">
        <v>191</v>
      </c>
      <c r="N71" s="1374"/>
      <c r="O71" s="1375"/>
      <c r="P71" s="1323" t="s">
        <v>123</v>
      </c>
      <c r="Q71" s="1322" t="s">
        <v>124</v>
      </c>
      <c r="S71" s="630"/>
    </row>
    <row r="72" spans="1:19" x14ac:dyDescent="0.25">
      <c r="A72" s="626" t="s">
        <v>166</v>
      </c>
      <c r="B72" s="1372" t="s">
        <v>127</v>
      </c>
      <c r="C72" s="1372"/>
      <c r="D72" s="1323"/>
      <c r="E72" s="1322"/>
      <c r="H72" s="1378"/>
      <c r="I72" s="630"/>
      <c r="J72" s="1378"/>
      <c r="M72" s="626" t="s">
        <v>166</v>
      </c>
      <c r="N72" s="1372" t="s">
        <v>127</v>
      </c>
      <c r="O72" s="1372"/>
      <c r="P72" s="1323"/>
      <c r="Q72" s="1322"/>
      <c r="S72" s="630"/>
    </row>
    <row r="73" spans="1:19" ht="14.4" x14ac:dyDescent="0.25">
      <c r="A73" s="627" t="s">
        <v>167</v>
      </c>
      <c r="B73" s="628">
        <v>2021</v>
      </c>
      <c r="C73" s="628">
        <v>2019</v>
      </c>
      <c r="D73" s="1323"/>
      <c r="E73" s="1322"/>
      <c r="H73" s="1378"/>
      <c r="I73" s="630"/>
      <c r="J73" s="1378"/>
      <c r="M73" s="627" t="s">
        <v>167</v>
      </c>
      <c r="N73" s="628">
        <v>2021</v>
      </c>
      <c r="O73" s="628">
        <v>2019</v>
      </c>
      <c r="P73" s="1323"/>
      <c r="Q73" s="1322"/>
      <c r="S73" s="630"/>
    </row>
    <row r="74" spans="1:19" x14ac:dyDescent="0.25">
      <c r="A74" s="588">
        <v>0</v>
      </c>
      <c r="B74" s="169">
        <v>9.9999999999999995E-7</v>
      </c>
      <c r="C74" s="169">
        <v>9.9999999999999995E-7</v>
      </c>
      <c r="D74" s="167">
        <f t="shared" ref="D74:D79" si="24">0.5*(MAX(B74:C74)-MIN(B74:C74))</f>
        <v>0</v>
      </c>
      <c r="E74" s="168">
        <v>0</v>
      </c>
      <c r="H74" s="1378"/>
      <c r="I74" s="630"/>
      <c r="J74" s="1378"/>
      <c r="M74" s="588">
        <v>0</v>
      </c>
      <c r="N74" s="169">
        <v>9.9999999999999995E-7</v>
      </c>
      <c r="O74" s="169">
        <v>9.9999999999999995E-7</v>
      </c>
      <c r="P74" s="167">
        <f t="shared" ref="P74:P79" si="25">0.5*(MAX(N74:O74)-MIN(N74:O74))</f>
        <v>0</v>
      </c>
      <c r="Q74" s="168">
        <v>0</v>
      </c>
      <c r="S74" s="630"/>
    </row>
    <row r="75" spans="1:19" x14ac:dyDescent="0.25">
      <c r="A75" s="175">
        <v>200</v>
      </c>
      <c r="B75" s="169">
        <v>9.9999999999999995E-7</v>
      </c>
      <c r="C75" s="169">
        <v>9.9999999999999995E-7</v>
      </c>
      <c r="D75" s="167">
        <f t="shared" si="24"/>
        <v>0</v>
      </c>
      <c r="E75" s="168">
        <v>0.1</v>
      </c>
      <c r="H75" s="1378"/>
      <c r="I75" s="630"/>
      <c r="J75" s="1378"/>
      <c r="M75" s="175">
        <v>200</v>
      </c>
      <c r="N75" s="169">
        <v>9.9999999999999995E-7</v>
      </c>
      <c r="O75" s="169">
        <v>9.9999999999999995E-7</v>
      </c>
      <c r="P75" s="167">
        <f t="shared" si="25"/>
        <v>0</v>
      </c>
      <c r="Q75" s="168">
        <v>0.1</v>
      </c>
      <c r="S75" s="630"/>
    </row>
    <row r="76" spans="1:19" x14ac:dyDescent="0.25">
      <c r="A76" s="175">
        <v>1000</v>
      </c>
      <c r="B76" s="169">
        <v>-0.1</v>
      </c>
      <c r="C76" s="169">
        <v>9.9999999999999995E-7</v>
      </c>
      <c r="D76" s="167">
        <f t="shared" si="24"/>
        <v>5.0000500000000003E-2</v>
      </c>
      <c r="E76" s="168">
        <v>0.1</v>
      </c>
      <c r="H76" s="1378"/>
      <c r="I76" s="630"/>
      <c r="J76" s="1378"/>
      <c r="M76" s="175">
        <v>1000</v>
      </c>
      <c r="N76" s="169">
        <v>-0.1</v>
      </c>
      <c r="O76" s="169">
        <v>9.9999999999999995E-7</v>
      </c>
      <c r="P76" s="167">
        <f t="shared" si="25"/>
        <v>5.0000500000000003E-2</v>
      </c>
      <c r="Q76" s="168">
        <v>0.1</v>
      </c>
      <c r="S76" s="630"/>
    </row>
    <row r="77" spans="1:19" x14ac:dyDescent="0.25">
      <c r="A77" s="175">
        <v>2000</v>
      </c>
      <c r="B77" s="169">
        <v>-0.1</v>
      </c>
      <c r="C77" s="169">
        <v>0.1</v>
      </c>
      <c r="D77" s="167">
        <f t="shared" si="24"/>
        <v>0.1</v>
      </c>
      <c r="E77" s="168">
        <v>0.1</v>
      </c>
      <c r="H77" s="1378"/>
      <c r="I77" s="630"/>
      <c r="J77" s="1378"/>
      <c r="M77" s="175">
        <v>2000</v>
      </c>
      <c r="N77" s="169">
        <v>-0.1</v>
      </c>
      <c r="O77" s="169">
        <v>0.1</v>
      </c>
      <c r="P77" s="167">
        <f t="shared" si="25"/>
        <v>0.1</v>
      </c>
      <c r="Q77" s="168">
        <v>0.1</v>
      </c>
      <c r="S77" s="630"/>
    </row>
    <row r="78" spans="1:19" x14ac:dyDescent="0.25">
      <c r="A78" s="175">
        <v>3000</v>
      </c>
      <c r="B78" s="589">
        <v>-0.1</v>
      </c>
      <c r="C78" s="589">
        <v>0.2</v>
      </c>
      <c r="D78" s="167">
        <f t="shared" si="24"/>
        <v>0.15000000000000002</v>
      </c>
      <c r="E78" s="168">
        <v>0.1</v>
      </c>
      <c r="H78" s="1378"/>
      <c r="I78" s="630"/>
      <c r="J78" s="1378"/>
      <c r="M78" s="175">
        <v>3000</v>
      </c>
      <c r="N78" s="589">
        <v>-0.1</v>
      </c>
      <c r="O78" s="589">
        <v>0.2</v>
      </c>
      <c r="P78" s="167">
        <f t="shared" si="25"/>
        <v>0.15000000000000002</v>
      </c>
      <c r="Q78" s="168">
        <v>0.1</v>
      </c>
      <c r="S78" s="630"/>
    </row>
    <row r="79" spans="1:19" x14ac:dyDescent="0.25">
      <c r="A79" s="175">
        <v>4000</v>
      </c>
      <c r="B79" s="589">
        <v>-0.2</v>
      </c>
      <c r="C79" s="589">
        <v>0.2</v>
      </c>
      <c r="D79" s="167">
        <f t="shared" si="24"/>
        <v>0.2</v>
      </c>
      <c r="E79" s="168">
        <v>0.1</v>
      </c>
      <c r="H79" s="1378"/>
      <c r="I79" s="630"/>
      <c r="J79" s="1378"/>
      <c r="M79" s="175">
        <v>4000</v>
      </c>
      <c r="N79" s="589">
        <v>-0.2</v>
      </c>
      <c r="O79" s="589">
        <v>0.2</v>
      </c>
      <c r="P79" s="167">
        <f t="shared" si="25"/>
        <v>0.2</v>
      </c>
      <c r="Q79" s="168">
        <v>0.1</v>
      </c>
      <c r="S79" s="630"/>
    </row>
    <row r="80" spans="1:19" x14ac:dyDescent="0.25">
      <c r="A80" s="175">
        <v>5000</v>
      </c>
      <c r="B80" s="589">
        <v>-0.3</v>
      </c>
      <c r="C80" s="589">
        <v>0.3</v>
      </c>
      <c r="D80" s="167">
        <f>0.5*(MAX(B80:C80)-MIN(B80:C80))</f>
        <v>0.3</v>
      </c>
      <c r="E80" s="168">
        <v>0.1</v>
      </c>
      <c r="H80" s="1378"/>
      <c r="I80" s="630"/>
      <c r="J80" s="1378"/>
      <c r="M80" s="175">
        <v>5000</v>
      </c>
      <c r="N80" s="589">
        <v>-0.3</v>
      </c>
      <c r="O80" s="589">
        <v>0.3</v>
      </c>
      <c r="P80" s="167">
        <f>0.5*(MAX(N80:O80)-MIN(N80:O80))</f>
        <v>0.3</v>
      </c>
      <c r="Q80" s="168">
        <v>0.1</v>
      </c>
      <c r="S80" s="630"/>
    </row>
    <row r="81" spans="1:19" x14ac:dyDescent="0.25">
      <c r="A81" s="175">
        <v>10000</v>
      </c>
      <c r="B81" s="589">
        <v>9.9999999999999995E-7</v>
      </c>
      <c r="C81" s="589">
        <v>9.9999999999999995E-7</v>
      </c>
      <c r="D81" s="167">
        <f>0.5*(MAX(B81:C81)-MIN(B81:C81))</f>
        <v>0</v>
      </c>
      <c r="E81" s="168">
        <v>1</v>
      </c>
      <c r="H81" s="1378"/>
      <c r="I81" s="630"/>
      <c r="J81" s="1378"/>
      <c r="M81" s="175">
        <v>10000</v>
      </c>
      <c r="N81" s="589">
        <v>9.9999999999999995E-7</v>
      </c>
      <c r="O81" s="589">
        <v>0</v>
      </c>
      <c r="P81" s="167">
        <f>0.5*(MAX(N81:O81)-MIN(N81:O81))</f>
        <v>4.9999999999999998E-7</v>
      </c>
      <c r="Q81" s="168">
        <v>1</v>
      </c>
      <c r="S81" s="630"/>
    </row>
    <row r="82" spans="1:19" x14ac:dyDescent="0.25">
      <c r="A82" s="175">
        <v>50000</v>
      </c>
      <c r="B82" s="589">
        <v>-2</v>
      </c>
      <c r="C82" s="589">
        <v>2</v>
      </c>
      <c r="D82" s="167">
        <f>0.5*(MAX(B82:C82)-MIN(B82:C82))</f>
        <v>2</v>
      </c>
      <c r="E82" s="168">
        <v>1</v>
      </c>
      <c r="H82" s="1378"/>
      <c r="I82" s="630"/>
      <c r="J82" s="1378"/>
      <c r="M82" s="175">
        <v>50000</v>
      </c>
      <c r="N82" s="589">
        <v>-2</v>
      </c>
      <c r="O82" s="589">
        <v>2</v>
      </c>
      <c r="P82" s="167">
        <f>0.5*(MAX(N82:O82)-MIN(N82:O82))</f>
        <v>2</v>
      </c>
      <c r="Q82" s="168">
        <v>1</v>
      </c>
      <c r="S82" s="630"/>
    </row>
    <row r="83" spans="1:19" x14ac:dyDescent="0.25">
      <c r="A83" s="175">
        <v>99000</v>
      </c>
      <c r="B83" s="167">
        <v>-3</v>
      </c>
      <c r="C83" s="167" t="s">
        <v>129</v>
      </c>
      <c r="D83" s="169">
        <f>0.5*(MAX(B83:C83)-MIN(B83:C83))</f>
        <v>0</v>
      </c>
      <c r="E83" s="167">
        <v>1</v>
      </c>
      <c r="H83" s="1378"/>
      <c r="I83" s="630"/>
      <c r="J83" s="1378"/>
      <c r="M83" s="175">
        <v>99000</v>
      </c>
      <c r="N83" s="167">
        <v>-3</v>
      </c>
      <c r="O83" s="167" t="s">
        <v>129</v>
      </c>
      <c r="P83" s="169">
        <f>0.5*(MAX(N83:O83)-MIN(N83:O83))</f>
        <v>0</v>
      </c>
      <c r="Q83" s="167">
        <v>1</v>
      </c>
      <c r="S83" s="630"/>
    </row>
    <row r="84" spans="1:19" x14ac:dyDescent="0.25">
      <c r="H84" s="1378"/>
      <c r="I84" s="630"/>
      <c r="J84" s="1378"/>
      <c r="S84" s="630"/>
    </row>
    <row r="85" spans="1:19" ht="13.8" x14ac:dyDescent="0.25">
      <c r="A85" s="1373" t="s">
        <v>192</v>
      </c>
      <c r="B85" s="1374"/>
      <c r="C85" s="1375"/>
      <c r="D85" s="1323" t="s">
        <v>123</v>
      </c>
      <c r="E85" s="1322" t="str">
        <f>E71</f>
        <v>U95 STD</v>
      </c>
      <c r="H85" s="1378"/>
      <c r="I85" s="630"/>
      <c r="J85" s="1378"/>
      <c r="M85" s="1373" t="s">
        <v>192</v>
      </c>
      <c r="N85" s="1374"/>
      <c r="O85" s="1375"/>
      <c r="P85" s="1323" t="s">
        <v>123</v>
      </c>
      <c r="Q85" s="1322" t="str">
        <f>Q71</f>
        <v>U95 STD</v>
      </c>
      <c r="S85" s="630"/>
    </row>
    <row r="86" spans="1:19" x14ac:dyDescent="0.25">
      <c r="A86" s="626" t="s">
        <v>166</v>
      </c>
      <c r="B86" s="1372" t="s">
        <v>127</v>
      </c>
      <c r="C86" s="1372"/>
      <c r="D86" s="1323"/>
      <c r="E86" s="1322"/>
      <c r="H86" s="1378"/>
      <c r="I86" s="630"/>
      <c r="J86" s="1378"/>
      <c r="M86" s="626" t="s">
        <v>166</v>
      </c>
      <c r="N86" s="1372" t="s">
        <v>127</v>
      </c>
      <c r="O86" s="1372"/>
      <c r="P86" s="1323"/>
      <c r="Q86" s="1322"/>
      <c r="S86" s="630"/>
    </row>
    <row r="87" spans="1:19" ht="14.4" x14ac:dyDescent="0.25">
      <c r="A87" s="627" t="s">
        <v>167</v>
      </c>
      <c r="B87" s="628">
        <v>2021</v>
      </c>
      <c r="C87" s="628">
        <v>2019</v>
      </c>
      <c r="D87" s="1323"/>
      <c r="E87" s="1322"/>
      <c r="H87" s="1378"/>
      <c r="I87" s="630"/>
      <c r="J87" s="1378"/>
      <c r="M87" s="627" t="s">
        <v>167</v>
      </c>
      <c r="N87" s="628">
        <v>2021</v>
      </c>
      <c r="O87" s="628">
        <v>2019</v>
      </c>
      <c r="P87" s="1323"/>
      <c r="Q87" s="1322"/>
      <c r="S87" s="630"/>
    </row>
    <row r="88" spans="1:19" x14ac:dyDescent="0.25">
      <c r="A88" s="588">
        <v>0</v>
      </c>
      <c r="B88" s="169">
        <v>9.9999999999999995E-7</v>
      </c>
      <c r="C88" s="169">
        <v>9.9999999999999995E-7</v>
      </c>
      <c r="D88" s="171">
        <f t="shared" ref="D88:D93" si="26">0.5*(MAX(B88:C88)-MIN(B88:C88))</f>
        <v>0</v>
      </c>
      <c r="E88" s="167">
        <v>0</v>
      </c>
      <c r="H88" s="1378"/>
      <c r="I88" s="630"/>
      <c r="J88" s="1378"/>
      <c r="M88" s="588">
        <v>0</v>
      </c>
      <c r="N88" s="169">
        <v>9.9999999999999995E-7</v>
      </c>
      <c r="O88" s="169">
        <v>9.9999999999999995E-7</v>
      </c>
      <c r="P88" s="171">
        <f t="shared" ref="P88:P93" si="27">0.5*(MAX(N88:O88)-MIN(N88:O88))</f>
        <v>0</v>
      </c>
      <c r="Q88" s="167">
        <v>0</v>
      </c>
      <c r="S88" s="630"/>
    </row>
    <row r="89" spans="1:19" x14ac:dyDescent="0.25">
      <c r="A89" s="175">
        <v>200</v>
      </c>
      <c r="B89" s="169">
        <v>9.9999999999999995E-7</v>
      </c>
      <c r="C89" s="169">
        <v>9.9999999999999995E-7</v>
      </c>
      <c r="D89" s="171">
        <f t="shared" si="26"/>
        <v>0</v>
      </c>
      <c r="E89" s="167">
        <v>0.1</v>
      </c>
      <c r="H89" s="1378"/>
      <c r="I89" s="630"/>
      <c r="J89" s="1378"/>
      <c r="M89" s="175">
        <v>200</v>
      </c>
      <c r="N89" s="169">
        <v>9.9999999999999995E-7</v>
      </c>
      <c r="O89" s="169">
        <v>9.9999999999999995E-7</v>
      </c>
      <c r="P89" s="171">
        <f t="shared" si="27"/>
        <v>0</v>
      </c>
      <c r="Q89" s="167">
        <v>0.1</v>
      </c>
      <c r="S89" s="630"/>
    </row>
    <row r="90" spans="1:19" x14ac:dyDescent="0.25">
      <c r="A90" s="175">
        <v>1000</v>
      </c>
      <c r="B90" s="169">
        <v>-0.1</v>
      </c>
      <c r="C90" s="169">
        <v>0.1</v>
      </c>
      <c r="D90" s="171">
        <f t="shared" si="26"/>
        <v>0.1</v>
      </c>
      <c r="E90" s="167">
        <v>0.1</v>
      </c>
      <c r="H90" s="1378"/>
      <c r="I90" s="630"/>
      <c r="J90" s="1378"/>
      <c r="M90" s="175">
        <v>1000</v>
      </c>
      <c r="N90" s="169">
        <v>-0.1</v>
      </c>
      <c r="O90" s="169">
        <v>0.1</v>
      </c>
      <c r="P90" s="171">
        <f t="shared" si="27"/>
        <v>0.1</v>
      </c>
      <c r="Q90" s="167">
        <v>0.1</v>
      </c>
      <c r="S90" s="630"/>
    </row>
    <row r="91" spans="1:19" x14ac:dyDescent="0.25">
      <c r="A91" s="175">
        <v>2000</v>
      </c>
      <c r="B91" s="169">
        <v>-0.1</v>
      </c>
      <c r="C91" s="169">
        <v>0.1</v>
      </c>
      <c r="D91" s="171">
        <f t="shared" si="26"/>
        <v>0.1</v>
      </c>
      <c r="E91" s="167">
        <v>0.1</v>
      </c>
      <c r="H91" s="1378"/>
      <c r="I91" s="630"/>
      <c r="J91" s="1378"/>
      <c r="M91" s="175">
        <v>2000</v>
      </c>
      <c r="N91" s="169">
        <v>-0.1</v>
      </c>
      <c r="O91" s="169">
        <v>0.1</v>
      </c>
      <c r="P91" s="171">
        <f t="shared" si="27"/>
        <v>0.1</v>
      </c>
      <c r="Q91" s="167">
        <v>0.1</v>
      </c>
      <c r="S91" s="630"/>
    </row>
    <row r="92" spans="1:19" x14ac:dyDescent="0.25">
      <c r="A92" s="175">
        <v>3000</v>
      </c>
      <c r="B92" s="169">
        <v>-0.2</v>
      </c>
      <c r="C92" s="169">
        <v>0.2</v>
      </c>
      <c r="D92" s="171">
        <f t="shared" si="26"/>
        <v>0.2</v>
      </c>
      <c r="E92" s="167">
        <v>0.1</v>
      </c>
      <c r="H92" s="1378"/>
      <c r="I92" s="630"/>
      <c r="J92" s="1378"/>
      <c r="M92" s="175">
        <v>3000</v>
      </c>
      <c r="N92" s="169">
        <v>-0.2</v>
      </c>
      <c r="O92" s="169">
        <v>0.2</v>
      </c>
      <c r="P92" s="171">
        <f t="shared" si="27"/>
        <v>0.2</v>
      </c>
      <c r="Q92" s="167">
        <v>0.1</v>
      </c>
      <c r="S92" s="630"/>
    </row>
    <row r="93" spans="1:19" x14ac:dyDescent="0.25">
      <c r="A93" s="175">
        <v>4000</v>
      </c>
      <c r="B93" s="169">
        <v>-0.3</v>
      </c>
      <c r="C93" s="169">
        <v>0.3</v>
      </c>
      <c r="D93" s="171">
        <f t="shared" si="26"/>
        <v>0.3</v>
      </c>
      <c r="E93" s="167">
        <v>0.1</v>
      </c>
      <c r="H93" s="1378"/>
      <c r="I93" s="630"/>
      <c r="J93" s="1378"/>
      <c r="M93" s="175">
        <v>4000</v>
      </c>
      <c r="N93" s="169">
        <v>-0.3</v>
      </c>
      <c r="O93" s="169">
        <v>0.3</v>
      </c>
      <c r="P93" s="171">
        <f t="shared" si="27"/>
        <v>0.3</v>
      </c>
      <c r="Q93" s="167">
        <v>0.1</v>
      </c>
      <c r="S93" s="630"/>
    </row>
    <row r="94" spans="1:19" x14ac:dyDescent="0.25">
      <c r="A94" s="175">
        <v>5000</v>
      </c>
      <c r="B94" s="169">
        <v>-0.3</v>
      </c>
      <c r="C94" s="169">
        <v>0.3</v>
      </c>
      <c r="D94" s="171">
        <f>0.5*(MAX(B94:C94)-MIN(B94:C94))</f>
        <v>0.3</v>
      </c>
      <c r="E94" s="167">
        <v>0.1</v>
      </c>
      <c r="H94" s="1378"/>
      <c r="I94" s="630"/>
      <c r="J94" s="1378"/>
      <c r="M94" s="175">
        <v>5000</v>
      </c>
      <c r="N94" s="169">
        <v>-0.3</v>
      </c>
      <c r="O94" s="169">
        <v>0.3</v>
      </c>
      <c r="P94" s="171">
        <f>0.5*(MAX(N94:O94)-MIN(N94:O94))</f>
        <v>0.3</v>
      </c>
      <c r="Q94" s="167">
        <v>0.1</v>
      </c>
      <c r="S94" s="630"/>
    </row>
    <row r="95" spans="1:19" x14ac:dyDescent="0.25">
      <c r="A95" s="175">
        <v>10000</v>
      </c>
      <c r="B95" s="169">
        <v>9.9999999999999995E-7</v>
      </c>
      <c r="C95" s="169">
        <v>9.9999999999999995E-7</v>
      </c>
      <c r="D95" s="171">
        <f>0.5*(MAX(B95:C95)-MIN(B95:C95))</f>
        <v>0</v>
      </c>
      <c r="E95" s="167">
        <v>1</v>
      </c>
      <c r="H95" s="1378"/>
      <c r="I95" s="630"/>
      <c r="J95" s="1378"/>
      <c r="M95" s="175">
        <v>10000</v>
      </c>
      <c r="N95" s="169">
        <v>9.9999999999999995E-7</v>
      </c>
      <c r="O95" s="169">
        <v>9.9999999999999995E-7</v>
      </c>
      <c r="P95" s="171">
        <f>0.5*(MAX(N95:O95)-MIN(N95:O95))</f>
        <v>0</v>
      </c>
      <c r="Q95" s="167">
        <v>1</v>
      </c>
      <c r="S95" s="630"/>
    </row>
    <row r="96" spans="1:19" x14ac:dyDescent="0.25">
      <c r="A96" s="175">
        <v>50000</v>
      </c>
      <c r="B96" s="169">
        <v>-0.3</v>
      </c>
      <c r="C96" s="169">
        <v>3</v>
      </c>
      <c r="D96" s="171">
        <f>0.5*(MAX(B96:C96)-MIN(B96:C96))</f>
        <v>1.65</v>
      </c>
      <c r="E96" s="167">
        <v>1</v>
      </c>
      <c r="H96" s="1378"/>
      <c r="I96" s="630"/>
      <c r="J96" s="1378"/>
      <c r="M96" s="175">
        <v>50000</v>
      </c>
      <c r="N96" s="169">
        <v>-0.3</v>
      </c>
      <c r="O96" s="169">
        <v>3</v>
      </c>
      <c r="P96" s="171">
        <f>0.5*(MAX(N96:O96)-MIN(N96:O96))</f>
        <v>1.65</v>
      </c>
      <c r="Q96" s="167">
        <v>1</v>
      </c>
      <c r="S96" s="630"/>
    </row>
    <row r="97" spans="1:19" x14ac:dyDescent="0.25">
      <c r="A97" s="175">
        <v>99000</v>
      </c>
      <c r="B97" s="167">
        <v>-0.6</v>
      </c>
      <c r="C97" s="167">
        <v>6</v>
      </c>
      <c r="D97" s="169">
        <f>0.5*(MAX(B97:C97)-MIN(B97:C97))</f>
        <v>3.3</v>
      </c>
      <c r="E97" s="167">
        <v>1</v>
      </c>
      <c r="I97" s="630"/>
      <c r="M97" s="175">
        <v>99000</v>
      </c>
      <c r="N97" s="167">
        <v>-0.6</v>
      </c>
      <c r="O97" s="167">
        <v>6</v>
      </c>
      <c r="P97" s="169">
        <f>0.5*(MAX(N97:O97)-MIN(N97:O97))</f>
        <v>3.3</v>
      </c>
      <c r="Q97" s="167">
        <v>1</v>
      </c>
      <c r="S97" s="630"/>
    </row>
    <row r="98" spans="1:19" x14ac:dyDescent="0.25">
      <c r="I98" s="630"/>
      <c r="S98" s="630"/>
    </row>
    <row r="99" spans="1:19" ht="13.8" x14ac:dyDescent="0.25">
      <c r="A99" s="1373" t="s">
        <v>193</v>
      </c>
      <c r="B99" s="1374"/>
      <c r="C99" s="1375"/>
      <c r="D99" s="1323" t="s">
        <v>123</v>
      </c>
      <c r="E99" s="1322" t="str">
        <f>E85</f>
        <v>U95 STD</v>
      </c>
      <c r="I99" s="630"/>
      <c r="M99" s="1373" t="s">
        <v>193</v>
      </c>
      <c r="N99" s="1374"/>
      <c r="O99" s="1375"/>
      <c r="P99" s="1323" t="s">
        <v>123</v>
      </c>
      <c r="Q99" s="1322" t="str">
        <f>Q85</f>
        <v>U95 STD</v>
      </c>
      <c r="S99" s="630"/>
    </row>
    <row r="100" spans="1:19" x14ac:dyDescent="0.25">
      <c r="A100" s="626" t="s">
        <v>166</v>
      </c>
      <c r="B100" s="1372" t="s">
        <v>127</v>
      </c>
      <c r="C100" s="1372"/>
      <c r="D100" s="1323"/>
      <c r="E100" s="1322"/>
      <c r="I100" s="630"/>
      <c r="M100" s="626" t="s">
        <v>166</v>
      </c>
      <c r="N100" s="1372" t="s">
        <v>127</v>
      </c>
      <c r="O100" s="1372"/>
      <c r="P100" s="1323"/>
      <c r="Q100" s="1322"/>
      <c r="S100" s="630"/>
    </row>
    <row r="101" spans="1:19" ht="14.4" x14ac:dyDescent="0.25">
      <c r="A101" s="627" t="s">
        <v>167</v>
      </c>
      <c r="B101" s="628">
        <v>2019</v>
      </c>
      <c r="C101" s="629" t="s">
        <v>129</v>
      </c>
      <c r="D101" s="1323"/>
      <c r="E101" s="1322"/>
      <c r="I101" s="630"/>
      <c r="M101" s="627" t="s">
        <v>167</v>
      </c>
      <c r="N101" s="628">
        <v>2019</v>
      </c>
      <c r="O101" s="629" t="s">
        <v>129</v>
      </c>
      <c r="P101" s="1323"/>
      <c r="Q101" s="1322"/>
      <c r="S101" s="630"/>
    </row>
    <row r="102" spans="1:19" x14ac:dyDescent="0.25">
      <c r="A102" s="588">
        <v>0</v>
      </c>
      <c r="B102" s="169">
        <v>9.9999999999999995E-7</v>
      </c>
      <c r="C102" s="590" t="s">
        <v>129</v>
      </c>
      <c r="D102" s="171">
        <f t="shared" ref="D102:D107" si="28">0.5*(MAX(B102:C102)-MIN(B102:C102))</f>
        <v>0</v>
      </c>
      <c r="E102" s="167">
        <v>0</v>
      </c>
      <c r="I102" s="630"/>
      <c r="M102" s="588">
        <v>0</v>
      </c>
      <c r="N102" s="169">
        <v>9.9999999999999995E-7</v>
      </c>
      <c r="O102" s="590" t="s">
        <v>129</v>
      </c>
      <c r="P102" s="171">
        <f t="shared" ref="P102:P107" si="29">0.5*(MAX(N102:O102)-MIN(N102:O102))</f>
        <v>0</v>
      </c>
      <c r="Q102" s="167">
        <v>0</v>
      </c>
      <c r="S102" s="630"/>
    </row>
    <row r="103" spans="1:19" x14ac:dyDescent="0.25">
      <c r="A103" s="175">
        <v>200</v>
      </c>
      <c r="B103" s="169">
        <v>9.9999999999999995E-7</v>
      </c>
      <c r="C103" s="587" t="s">
        <v>129</v>
      </c>
      <c r="D103" s="171">
        <f t="shared" si="28"/>
        <v>0</v>
      </c>
      <c r="E103" s="167">
        <v>0.1</v>
      </c>
      <c r="I103" s="630"/>
      <c r="M103" s="175">
        <v>200</v>
      </c>
      <c r="N103" s="169">
        <v>9.9999999999999995E-7</v>
      </c>
      <c r="O103" s="587" t="s">
        <v>129</v>
      </c>
      <c r="P103" s="171">
        <f t="shared" si="29"/>
        <v>0</v>
      </c>
      <c r="Q103" s="167">
        <v>0.1</v>
      </c>
      <c r="S103" s="630"/>
    </row>
    <row r="104" spans="1:19" x14ac:dyDescent="0.25">
      <c r="A104" s="175">
        <v>1000</v>
      </c>
      <c r="B104" s="169">
        <v>9.9999999999999995E-7</v>
      </c>
      <c r="C104" s="587" t="s">
        <v>129</v>
      </c>
      <c r="D104" s="171">
        <f t="shared" si="28"/>
        <v>0</v>
      </c>
      <c r="E104" s="167">
        <v>0.1</v>
      </c>
      <c r="I104" s="630"/>
      <c r="M104" s="175">
        <v>1000</v>
      </c>
      <c r="N104" s="169">
        <v>9.9999999999999995E-7</v>
      </c>
      <c r="O104" s="587" t="s">
        <v>129</v>
      </c>
      <c r="P104" s="171">
        <f t="shared" si="29"/>
        <v>0</v>
      </c>
      <c r="Q104" s="167">
        <v>0.1</v>
      </c>
      <c r="S104" s="630"/>
    </row>
    <row r="105" spans="1:19" x14ac:dyDescent="0.25">
      <c r="A105" s="175">
        <v>2000</v>
      </c>
      <c r="B105" s="169">
        <v>9.9999999999999995E-7</v>
      </c>
      <c r="C105" s="590" t="s">
        <v>129</v>
      </c>
      <c r="D105" s="171">
        <f t="shared" si="28"/>
        <v>0</v>
      </c>
      <c r="E105" s="167">
        <v>0.1</v>
      </c>
      <c r="I105" s="630"/>
      <c r="M105" s="175">
        <v>2000</v>
      </c>
      <c r="N105" s="169">
        <v>9.9999999999999995E-7</v>
      </c>
      <c r="O105" s="590" t="s">
        <v>129</v>
      </c>
      <c r="P105" s="171">
        <f t="shared" si="29"/>
        <v>0</v>
      </c>
      <c r="Q105" s="167">
        <v>0.1</v>
      </c>
      <c r="S105" s="630"/>
    </row>
    <row r="106" spans="1:19" x14ac:dyDescent="0.25">
      <c r="A106" s="175">
        <v>3000</v>
      </c>
      <c r="B106" s="169">
        <v>9.9999999999999995E-7</v>
      </c>
      <c r="C106" s="590" t="s">
        <v>129</v>
      </c>
      <c r="D106" s="171">
        <f t="shared" si="28"/>
        <v>0</v>
      </c>
      <c r="E106" s="167">
        <v>0.1</v>
      </c>
      <c r="I106" s="630"/>
      <c r="M106" s="175">
        <v>3000</v>
      </c>
      <c r="N106" s="169">
        <v>9.9999999999999995E-7</v>
      </c>
      <c r="O106" s="590" t="s">
        <v>129</v>
      </c>
      <c r="P106" s="171">
        <f t="shared" si="29"/>
        <v>0</v>
      </c>
      <c r="Q106" s="167">
        <v>0.1</v>
      </c>
      <c r="S106" s="630"/>
    </row>
    <row r="107" spans="1:19" x14ac:dyDescent="0.25">
      <c r="A107" s="175">
        <v>4000</v>
      </c>
      <c r="B107" s="169">
        <v>9.9999999999999995E-7</v>
      </c>
      <c r="C107" s="590" t="s">
        <v>129</v>
      </c>
      <c r="D107" s="171">
        <f t="shared" si="28"/>
        <v>0</v>
      </c>
      <c r="E107" s="167">
        <v>0.1</v>
      </c>
      <c r="I107" s="630"/>
      <c r="M107" s="175">
        <v>4000</v>
      </c>
      <c r="N107" s="169">
        <v>9.9999999999999995E-7</v>
      </c>
      <c r="O107" s="590" t="s">
        <v>129</v>
      </c>
      <c r="P107" s="171">
        <f t="shared" si="29"/>
        <v>0</v>
      </c>
      <c r="Q107" s="167">
        <v>0.1</v>
      </c>
      <c r="S107" s="630"/>
    </row>
    <row r="108" spans="1:19" x14ac:dyDescent="0.25">
      <c r="A108" s="175">
        <v>5000</v>
      </c>
      <c r="B108" s="169">
        <v>9.9999999999999995E-7</v>
      </c>
      <c r="C108" s="590" t="s">
        <v>129</v>
      </c>
      <c r="D108" s="171">
        <f>0.5*(MAX(B108:C108)-MIN(B108:C108))</f>
        <v>0</v>
      </c>
      <c r="E108" s="167">
        <v>0.1</v>
      </c>
      <c r="I108" s="630"/>
      <c r="M108" s="175">
        <v>5000</v>
      </c>
      <c r="N108" s="169">
        <v>9.9999999999999995E-7</v>
      </c>
      <c r="O108" s="590" t="s">
        <v>129</v>
      </c>
      <c r="P108" s="171">
        <f>0.5*(MAX(N108:O108)-MIN(N108:O108))</f>
        <v>0</v>
      </c>
      <c r="Q108" s="167">
        <v>0.1</v>
      </c>
      <c r="S108" s="630"/>
    </row>
    <row r="109" spans="1:19" x14ac:dyDescent="0.25">
      <c r="A109" s="175">
        <v>10000</v>
      </c>
      <c r="B109" s="169">
        <v>9.9999999999999995E-7</v>
      </c>
      <c r="C109" s="590" t="s">
        <v>129</v>
      </c>
      <c r="D109" s="171">
        <f>0.5*(MAX(B109:C109)-MIN(B109:C109))</f>
        <v>0</v>
      </c>
      <c r="E109" s="167">
        <v>1</v>
      </c>
      <c r="I109" s="630"/>
      <c r="M109" s="175">
        <v>10000</v>
      </c>
      <c r="N109" s="169">
        <v>9.9999999999999995E-7</v>
      </c>
      <c r="O109" s="590" t="s">
        <v>129</v>
      </c>
      <c r="P109" s="171">
        <f>0.5*(MAX(N109:O109)-MIN(N109:O109))</f>
        <v>0</v>
      </c>
      <c r="Q109" s="167">
        <v>1</v>
      </c>
      <c r="S109" s="630"/>
    </row>
    <row r="110" spans="1:19" x14ac:dyDescent="0.25">
      <c r="A110" s="175">
        <v>50000</v>
      </c>
      <c r="B110" s="169">
        <v>9.9999999999999995E-7</v>
      </c>
      <c r="C110" s="590" t="s">
        <v>129</v>
      </c>
      <c r="D110" s="171">
        <f>0.5*(MAX(B110:C110)-MIN(B110:C110))</f>
        <v>0</v>
      </c>
      <c r="E110" s="167">
        <v>1</v>
      </c>
      <c r="I110" s="630"/>
      <c r="M110" s="175">
        <v>50000</v>
      </c>
      <c r="N110" s="169">
        <v>9.9999999999999995E-7</v>
      </c>
      <c r="O110" s="590" t="s">
        <v>129</v>
      </c>
      <c r="P110" s="171">
        <f>0.5*(MAX(N110:O110)-MIN(N110:O110))</f>
        <v>0</v>
      </c>
      <c r="Q110" s="167">
        <v>1</v>
      </c>
      <c r="S110" s="630"/>
    </row>
    <row r="111" spans="1:19" x14ac:dyDescent="0.25">
      <c r="I111" s="630"/>
      <c r="S111" s="630"/>
    </row>
    <row r="112" spans="1:19" x14ac:dyDescent="0.25">
      <c r="I112" s="630"/>
      <c r="S112" s="630"/>
    </row>
    <row r="113" spans="1:19" ht="13.8" x14ac:dyDescent="0.25">
      <c r="A113" s="1373" t="s">
        <v>194</v>
      </c>
      <c r="B113" s="1374"/>
      <c r="C113" s="1375"/>
      <c r="D113" s="1323" t="s">
        <v>123</v>
      </c>
      <c r="E113" s="1322" t="str">
        <f>E99</f>
        <v>U95 STD</v>
      </c>
      <c r="I113" s="630"/>
      <c r="M113" s="1373" t="s">
        <v>194</v>
      </c>
      <c r="N113" s="1374"/>
      <c r="O113" s="1375"/>
      <c r="P113" s="1323" t="s">
        <v>123</v>
      </c>
      <c r="Q113" s="1322" t="str">
        <f>Q99</f>
        <v>U95 STD</v>
      </c>
      <c r="S113" s="630"/>
    </row>
    <row r="114" spans="1:19" x14ac:dyDescent="0.25">
      <c r="A114" s="626" t="s">
        <v>166</v>
      </c>
      <c r="B114" s="1372" t="s">
        <v>127</v>
      </c>
      <c r="C114" s="1372"/>
      <c r="D114" s="1323"/>
      <c r="E114" s="1322"/>
      <c r="I114" s="630"/>
      <c r="M114" s="626" t="s">
        <v>166</v>
      </c>
      <c r="N114" s="1372" t="s">
        <v>127</v>
      </c>
      <c r="O114" s="1372"/>
      <c r="P114" s="1323"/>
      <c r="Q114" s="1322"/>
      <c r="S114" s="630"/>
    </row>
    <row r="115" spans="1:19" ht="14.4" x14ac:dyDescent="0.25">
      <c r="A115" s="627" t="s">
        <v>167</v>
      </c>
      <c r="B115" s="628">
        <v>2019</v>
      </c>
      <c r="C115" s="629" t="s">
        <v>129</v>
      </c>
      <c r="D115" s="1323"/>
      <c r="E115" s="1322"/>
      <c r="I115" s="630"/>
      <c r="M115" s="627" t="s">
        <v>167</v>
      </c>
      <c r="N115" s="628">
        <v>2019</v>
      </c>
      <c r="O115" s="629" t="s">
        <v>129</v>
      </c>
      <c r="P115" s="1323"/>
      <c r="Q115" s="1322"/>
      <c r="S115" s="630"/>
    </row>
    <row r="116" spans="1:19" x14ac:dyDescent="0.25">
      <c r="A116" s="588">
        <v>0</v>
      </c>
      <c r="B116" s="169">
        <v>9.9999999999999995E-7</v>
      </c>
      <c r="C116" s="590" t="s">
        <v>129</v>
      </c>
      <c r="D116" s="171">
        <f t="shared" ref="D116:D121" si="30">0.5*(MAX(B116:C116)-MIN(B116:C116))</f>
        <v>0</v>
      </c>
      <c r="E116" s="167">
        <v>0</v>
      </c>
      <c r="I116" s="630"/>
      <c r="M116" s="588">
        <v>0</v>
      </c>
      <c r="N116" s="169">
        <v>9.9999999999999995E-7</v>
      </c>
      <c r="O116" s="590" t="s">
        <v>129</v>
      </c>
      <c r="P116" s="171">
        <f t="shared" ref="P116:P121" si="31">0.5*(MAX(N116:O116)-MIN(N116:O116))</f>
        <v>0</v>
      </c>
      <c r="Q116" s="167">
        <v>0</v>
      </c>
      <c r="S116" s="630"/>
    </row>
    <row r="117" spans="1:19" x14ac:dyDescent="0.25">
      <c r="A117" s="175">
        <v>200</v>
      </c>
      <c r="B117" s="169">
        <v>9.9999999999999995E-7</v>
      </c>
      <c r="C117" s="587" t="s">
        <v>129</v>
      </c>
      <c r="D117" s="171">
        <f t="shared" si="30"/>
        <v>0</v>
      </c>
      <c r="E117" s="167">
        <v>0.1</v>
      </c>
      <c r="I117" s="630"/>
      <c r="M117" s="175">
        <v>200</v>
      </c>
      <c r="N117" s="169">
        <v>9.9999999999999995E-7</v>
      </c>
      <c r="O117" s="587" t="s">
        <v>129</v>
      </c>
      <c r="P117" s="171">
        <f t="shared" si="31"/>
        <v>0</v>
      </c>
      <c r="Q117" s="167">
        <v>0.1</v>
      </c>
      <c r="S117" s="630"/>
    </row>
    <row r="118" spans="1:19" x14ac:dyDescent="0.25">
      <c r="A118" s="175">
        <v>1000</v>
      </c>
      <c r="B118" s="169">
        <v>9.9999999999999995E-7</v>
      </c>
      <c r="C118" s="587" t="s">
        <v>129</v>
      </c>
      <c r="D118" s="171">
        <f t="shared" si="30"/>
        <v>0</v>
      </c>
      <c r="E118" s="167">
        <v>0.1</v>
      </c>
      <c r="I118" s="630"/>
      <c r="M118" s="175">
        <v>1000</v>
      </c>
      <c r="N118" s="169">
        <v>9.9999999999999995E-7</v>
      </c>
      <c r="O118" s="587" t="s">
        <v>129</v>
      </c>
      <c r="P118" s="171">
        <f t="shared" si="31"/>
        <v>0</v>
      </c>
      <c r="Q118" s="167">
        <v>0.1</v>
      </c>
      <c r="S118" s="630"/>
    </row>
    <row r="119" spans="1:19" x14ac:dyDescent="0.25">
      <c r="A119" s="175">
        <v>2000</v>
      </c>
      <c r="B119" s="169">
        <v>9.9999999999999995E-7</v>
      </c>
      <c r="C119" s="590" t="s">
        <v>129</v>
      </c>
      <c r="D119" s="171">
        <f t="shared" si="30"/>
        <v>0</v>
      </c>
      <c r="E119" s="167">
        <v>0.1</v>
      </c>
      <c r="I119" s="630"/>
      <c r="M119" s="175">
        <v>2000</v>
      </c>
      <c r="N119" s="169">
        <v>9.9999999999999995E-7</v>
      </c>
      <c r="O119" s="590" t="s">
        <v>129</v>
      </c>
      <c r="P119" s="171">
        <f t="shared" si="31"/>
        <v>0</v>
      </c>
      <c r="Q119" s="167">
        <v>0.1</v>
      </c>
      <c r="S119" s="630"/>
    </row>
    <row r="120" spans="1:19" x14ac:dyDescent="0.25">
      <c r="A120" s="175">
        <v>3000</v>
      </c>
      <c r="B120" s="169">
        <v>9.9999999999999995E-7</v>
      </c>
      <c r="C120" s="590" t="s">
        <v>129</v>
      </c>
      <c r="D120" s="171">
        <f t="shared" si="30"/>
        <v>0</v>
      </c>
      <c r="E120" s="167">
        <v>0.1</v>
      </c>
      <c r="I120" s="630"/>
      <c r="M120" s="175">
        <v>3000</v>
      </c>
      <c r="N120" s="169">
        <v>9.9999999999999995E-7</v>
      </c>
      <c r="O120" s="590" t="s">
        <v>129</v>
      </c>
      <c r="P120" s="171">
        <f t="shared" si="31"/>
        <v>0</v>
      </c>
      <c r="Q120" s="167">
        <v>0.1</v>
      </c>
      <c r="S120" s="630"/>
    </row>
    <row r="121" spans="1:19" x14ac:dyDescent="0.25">
      <c r="A121" s="175">
        <v>4000</v>
      </c>
      <c r="B121" s="169">
        <v>9.9999999999999995E-7</v>
      </c>
      <c r="C121" s="590" t="s">
        <v>129</v>
      </c>
      <c r="D121" s="171">
        <f t="shared" si="30"/>
        <v>0</v>
      </c>
      <c r="E121" s="167">
        <v>0.1</v>
      </c>
      <c r="I121" s="630"/>
      <c r="M121" s="175">
        <v>4000</v>
      </c>
      <c r="N121" s="169">
        <v>9.9999999999999995E-7</v>
      </c>
      <c r="O121" s="590" t="s">
        <v>129</v>
      </c>
      <c r="P121" s="171">
        <f t="shared" si="31"/>
        <v>0</v>
      </c>
      <c r="Q121" s="167">
        <v>0.1</v>
      </c>
      <c r="S121" s="630"/>
    </row>
    <row r="122" spans="1:19" x14ac:dyDescent="0.25">
      <c r="A122" s="175">
        <v>5000</v>
      </c>
      <c r="B122" s="169">
        <v>9.9999999999999995E-7</v>
      </c>
      <c r="C122" s="590" t="s">
        <v>129</v>
      </c>
      <c r="D122" s="171">
        <f>0.5*(MAX(B122:C122)-MIN(B122:C122))</f>
        <v>0</v>
      </c>
      <c r="E122" s="167">
        <v>0.1</v>
      </c>
      <c r="I122" s="630"/>
      <c r="M122" s="175">
        <v>5000</v>
      </c>
      <c r="N122" s="169">
        <v>9.9999999999999995E-7</v>
      </c>
      <c r="O122" s="590" t="s">
        <v>129</v>
      </c>
      <c r="P122" s="171">
        <f>0.5*(MAX(N122:O122)-MIN(N122:O122))</f>
        <v>0</v>
      </c>
      <c r="Q122" s="167">
        <v>0.1</v>
      </c>
      <c r="S122" s="630"/>
    </row>
    <row r="123" spans="1:19" x14ac:dyDescent="0.25">
      <c r="A123" s="175">
        <v>10000</v>
      </c>
      <c r="B123" s="169">
        <v>9.9999999999999995E-7</v>
      </c>
      <c r="C123" s="590" t="s">
        <v>129</v>
      </c>
      <c r="D123" s="171">
        <f>0.5*(MAX(B123:C123)-MIN(B123:C123))</f>
        <v>0</v>
      </c>
      <c r="E123" s="167">
        <v>1</v>
      </c>
      <c r="I123" s="630"/>
      <c r="M123" s="175">
        <v>10000</v>
      </c>
      <c r="N123" s="169">
        <v>9.9999999999999995E-7</v>
      </c>
      <c r="O123" s="590" t="s">
        <v>129</v>
      </c>
      <c r="P123" s="171">
        <f>0.5*(MAX(N123:O123)-MIN(N123:O123))</f>
        <v>0</v>
      </c>
      <c r="Q123" s="167">
        <v>1</v>
      </c>
      <c r="S123" s="630"/>
    </row>
    <row r="124" spans="1:19" x14ac:dyDescent="0.25">
      <c r="A124" s="175">
        <v>50000</v>
      </c>
      <c r="B124" s="169">
        <v>9.9999999999999995E-7</v>
      </c>
      <c r="C124" s="590" t="s">
        <v>129</v>
      </c>
      <c r="D124" s="171">
        <f>0.5*(MAX(B124:C124)-MIN(B124:C124))</f>
        <v>0</v>
      </c>
      <c r="E124" s="167">
        <v>1</v>
      </c>
      <c r="I124" s="630"/>
      <c r="M124" s="175">
        <v>50000</v>
      </c>
      <c r="N124" s="169">
        <v>9.9999999999999995E-7</v>
      </c>
      <c r="O124" s="590" t="s">
        <v>129</v>
      </c>
      <c r="P124" s="171">
        <f>0.5*(MAX(N124:O124)-MIN(N124:O124))</f>
        <v>0</v>
      </c>
      <c r="Q124" s="167">
        <v>1</v>
      </c>
      <c r="S124" s="630"/>
    </row>
    <row r="125" spans="1:19" x14ac:dyDescent="0.25">
      <c r="I125" s="630"/>
      <c r="S125" s="630"/>
    </row>
    <row r="126" spans="1:19" x14ac:dyDescent="0.25">
      <c r="I126" s="630"/>
      <c r="S126" s="630"/>
    </row>
    <row r="127" spans="1:19" ht="13.8" x14ac:dyDescent="0.25">
      <c r="A127" s="1373" t="s">
        <v>195</v>
      </c>
      <c r="B127" s="1374"/>
      <c r="C127" s="1375"/>
      <c r="D127" s="1323" t="s">
        <v>123</v>
      </c>
      <c r="E127" s="1322" t="str">
        <f>E113</f>
        <v>U95 STD</v>
      </c>
      <c r="I127" s="630"/>
      <c r="M127" s="1373" t="s">
        <v>195</v>
      </c>
      <c r="N127" s="1374"/>
      <c r="O127" s="1375"/>
      <c r="P127" s="1323" t="s">
        <v>123</v>
      </c>
      <c r="Q127" s="1322" t="str">
        <f>Q113</f>
        <v>U95 STD</v>
      </c>
      <c r="S127" s="630"/>
    </row>
    <row r="128" spans="1:19" x14ac:dyDescent="0.25">
      <c r="A128" s="626" t="s">
        <v>166</v>
      </c>
      <c r="B128" s="1372" t="s">
        <v>127</v>
      </c>
      <c r="C128" s="1372"/>
      <c r="D128" s="1323"/>
      <c r="E128" s="1322"/>
      <c r="I128" s="630"/>
      <c r="M128" s="626" t="s">
        <v>166</v>
      </c>
      <c r="N128" s="1372" t="s">
        <v>127</v>
      </c>
      <c r="O128" s="1372"/>
      <c r="P128" s="1323"/>
      <c r="Q128" s="1322"/>
      <c r="S128" s="630"/>
    </row>
    <row r="129" spans="1:19" ht="14.4" x14ac:dyDescent="0.25">
      <c r="A129" s="627" t="s">
        <v>167</v>
      </c>
      <c r="B129" s="628">
        <v>2019</v>
      </c>
      <c r="C129" s="629" t="s">
        <v>129</v>
      </c>
      <c r="D129" s="1323"/>
      <c r="E129" s="1322"/>
      <c r="I129" s="630"/>
      <c r="M129" s="627" t="s">
        <v>167</v>
      </c>
      <c r="N129" s="628">
        <v>2019</v>
      </c>
      <c r="O129" s="629" t="s">
        <v>129</v>
      </c>
      <c r="P129" s="1323"/>
      <c r="Q129" s="1322"/>
      <c r="S129" s="630"/>
    </row>
    <row r="130" spans="1:19" x14ac:dyDescent="0.25">
      <c r="A130" s="588">
        <v>0</v>
      </c>
      <c r="B130" s="169">
        <v>9.9999999999999995E-7</v>
      </c>
      <c r="C130" s="590" t="s">
        <v>129</v>
      </c>
      <c r="D130" s="171">
        <f t="shared" ref="D130:D135" si="32">0.5*(MAX(B130:C130)-MIN(B130:C130))</f>
        <v>0</v>
      </c>
      <c r="E130" s="167">
        <v>0</v>
      </c>
      <c r="I130" s="630"/>
      <c r="M130" s="588">
        <v>0</v>
      </c>
      <c r="N130" s="169">
        <v>9.9999999999999995E-7</v>
      </c>
      <c r="O130" s="590" t="s">
        <v>129</v>
      </c>
      <c r="P130" s="171">
        <f t="shared" ref="P130:P135" si="33">0.5*(MAX(N130:O130)-MIN(N130:O130))</f>
        <v>0</v>
      </c>
      <c r="Q130" s="167">
        <v>0</v>
      </c>
      <c r="S130" s="630"/>
    </row>
    <row r="131" spans="1:19" x14ac:dyDescent="0.25">
      <c r="A131" s="175">
        <v>200</v>
      </c>
      <c r="B131" s="169">
        <v>9.9999999999999995E-7</v>
      </c>
      <c r="C131" s="587" t="s">
        <v>129</v>
      </c>
      <c r="D131" s="171">
        <f t="shared" si="32"/>
        <v>0</v>
      </c>
      <c r="E131" s="167">
        <v>0.1</v>
      </c>
      <c r="I131" s="630"/>
      <c r="M131" s="175">
        <v>200</v>
      </c>
      <c r="N131" s="169">
        <v>9.9999999999999995E-7</v>
      </c>
      <c r="O131" s="587" t="s">
        <v>129</v>
      </c>
      <c r="P131" s="171">
        <f t="shared" si="33"/>
        <v>0</v>
      </c>
      <c r="Q131" s="167">
        <v>0.1</v>
      </c>
      <c r="S131" s="630"/>
    </row>
    <row r="132" spans="1:19" x14ac:dyDescent="0.25">
      <c r="A132" s="175">
        <v>1000</v>
      </c>
      <c r="B132" s="169">
        <v>9.9999999999999995E-7</v>
      </c>
      <c r="C132" s="587" t="s">
        <v>129</v>
      </c>
      <c r="D132" s="171">
        <f t="shared" si="32"/>
        <v>0</v>
      </c>
      <c r="E132" s="167">
        <v>0.1</v>
      </c>
      <c r="I132" s="630"/>
      <c r="M132" s="175">
        <v>1000</v>
      </c>
      <c r="N132" s="169">
        <v>9.9999999999999995E-7</v>
      </c>
      <c r="O132" s="587" t="s">
        <v>129</v>
      </c>
      <c r="P132" s="171">
        <f t="shared" si="33"/>
        <v>0</v>
      </c>
      <c r="Q132" s="167">
        <v>0.1</v>
      </c>
      <c r="S132" s="630"/>
    </row>
    <row r="133" spans="1:19" x14ac:dyDescent="0.25">
      <c r="A133" s="175">
        <v>2000</v>
      </c>
      <c r="B133" s="169">
        <v>9.9999999999999995E-7</v>
      </c>
      <c r="C133" s="590" t="s">
        <v>129</v>
      </c>
      <c r="D133" s="171">
        <f t="shared" si="32"/>
        <v>0</v>
      </c>
      <c r="E133" s="167">
        <v>0.1</v>
      </c>
      <c r="I133" s="630"/>
      <c r="M133" s="175">
        <v>2000</v>
      </c>
      <c r="N133" s="169">
        <v>9.9999999999999995E-7</v>
      </c>
      <c r="O133" s="590" t="s">
        <v>129</v>
      </c>
      <c r="P133" s="171">
        <f t="shared" si="33"/>
        <v>0</v>
      </c>
      <c r="Q133" s="167">
        <v>0.1</v>
      </c>
      <c r="S133" s="630"/>
    </row>
    <row r="134" spans="1:19" x14ac:dyDescent="0.25">
      <c r="A134" s="175">
        <v>3000</v>
      </c>
      <c r="B134" s="169">
        <v>9.9999999999999995E-7</v>
      </c>
      <c r="C134" s="590" t="s">
        <v>129</v>
      </c>
      <c r="D134" s="171">
        <f t="shared" si="32"/>
        <v>0</v>
      </c>
      <c r="E134" s="167">
        <v>0.1</v>
      </c>
      <c r="I134" s="630"/>
      <c r="M134" s="175">
        <v>3000</v>
      </c>
      <c r="N134" s="169">
        <v>9.9999999999999995E-7</v>
      </c>
      <c r="O134" s="590" t="s">
        <v>129</v>
      </c>
      <c r="P134" s="171">
        <f t="shared" si="33"/>
        <v>0</v>
      </c>
      <c r="Q134" s="167">
        <v>0.1</v>
      </c>
      <c r="S134" s="630"/>
    </row>
    <row r="135" spans="1:19" x14ac:dyDescent="0.25">
      <c r="A135" s="175">
        <v>4000</v>
      </c>
      <c r="B135" s="169">
        <v>9.9999999999999995E-7</v>
      </c>
      <c r="C135" s="590" t="s">
        <v>129</v>
      </c>
      <c r="D135" s="171">
        <f t="shared" si="32"/>
        <v>0</v>
      </c>
      <c r="E135" s="167">
        <v>0.1</v>
      </c>
      <c r="I135" s="630"/>
      <c r="M135" s="175">
        <v>4000</v>
      </c>
      <c r="N135" s="169">
        <v>9.9999999999999995E-7</v>
      </c>
      <c r="O135" s="590" t="s">
        <v>129</v>
      </c>
      <c r="P135" s="171">
        <f t="shared" si="33"/>
        <v>0</v>
      </c>
      <c r="Q135" s="167">
        <v>0.1</v>
      </c>
      <c r="S135" s="630"/>
    </row>
    <row r="136" spans="1:19" x14ac:dyDescent="0.25">
      <c r="A136" s="175">
        <v>5000</v>
      </c>
      <c r="B136" s="169">
        <v>9.9999999999999995E-7</v>
      </c>
      <c r="C136" s="590" t="s">
        <v>129</v>
      </c>
      <c r="D136" s="171">
        <f>0.5*(MAX(B136:C136)-MIN(B136:C136))</f>
        <v>0</v>
      </c>
      <c r="E136" s="167">
        <v>0.1</v>
      </c>
      <c r="I136" s="630"/>
      <c r="M136" s="175">
        <v>5000</v>
      </c>
      <c r="N136" s="169">
        <v>9.9999999999999995E-7</v>
      </c>
      <c r="O136" s="590" t="s">
        <v>129</v>
      </c>
      <c r="P136" s="171">
        <f>0.5*(MAX(N136:O136)-MIN(N136:O136))</f>
        <v>0</v>
      </c>
      <c r="Q136" s="167">
        <v>0.1</v>
      </c>
      <c r="S136" s="630"/>
    </row>
    <row r="137" spans="1:19" x14ac:dyDescent="0.25">
      <c r="A137" s="175">
        <v>10000</v>
      </c>
      <c r="B137" s="169">
        <v>9.9999999999999995E-7</v>
      </c>
      <c r="C137" s="590" t="s">
        <v>129</v>
      </c>
      <c r="D137" s="171">
        <f>0.5*(MAX(B137:C137)-MIN(B137:C137))</f>
        <v>0</v>
      </c>
      <c r="E137" s="167">
        <v>1</v>
      </c>
      <c r="I137" s="630"/>
      <c r="M137" s="175">
        <v>10000</v>
      </c>
      <c r="N137" s="169">
        <v>9.9999999999999995E-7</v>
      </c>
      <c r="O137" s="590" t="s">
        <v>129</v>
      </c>
      <c r="P137" s="171">
        <f>0.5*(MAX(N137:O137)-MIN(N137:O137))</f>
        <v>0</v>
      </c>
      <c r="Q137" s="167">
        <v>1</v>
      </c>
      <c r="S137" s="630"/>
    </row>
    <row r="138" spans="1:19" x14ac:dyDescent="0.25">
      <c r="A138" s="175">
        <v>50000</v>
      </c>
      <c r="B138" s="169">
        <v>9.9999999999999995E-7</v>
      </c>
      <c r="C138" s="590" t="s">
        <v>129</v>
      </c>
      <c r="D138" s="171">
        <f>0.5*(MAX(B138:C138)-MIN(B138:C138))</f>
        <v>0</v>
      </c>
      <c r="E138" s="167">
        <v>1</v>
      </c>
      <c r="I138" s="630"/>
      <c r="M138" s="175">
        <v>50000</v>
      </c>
      <c r="N138" s="169">
        <v>9.9999999999999995E-7</v>
      </c>
      <c r="O138" s="590" t="s">
        <v>129</v>
      </c>
      <c r="P138" s="171">
        <f>0.5*(MAX(N138:O138)-MIN(N138:O138))</f>
        <v>0</v>
      </c>
      <c r="Q138" s="167">
        <v>1</v>
      </c>
      <c r="S138" s="630"/>
    </row>
    <row r="139" spans="1:19" x14ac:dyDescent="0.25">
      <c r="I139" s="630"/>
      <c r="S139" s="630"/>
    </row>
    <row r="140" spans="1:19" x14ac:dyDescent="0.25">
      <c r="A140" s="630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30"/>
      <c r="P140" s="630"/>
      <c r="Q140" s="630"/>
      <c r="R140" s="630"/>
      <c r="S140" s="630"/>
    </row>
  </sheetData>
  <mergeCells count="127">
    <mergeCell ref="M85:O85"/>
    <mergeCell ref="P85:P87"/>
    <mergeCell ref="Q85:Q87"/>
    <mergeCell ref="N86:O86"/>
    <mergeCell ref="H1:H96"/>
    <mergeCell ref="J1:J96"/>
    <mergeCell ref="M1:O1"/>
    <mergeCell ref="P1:P3"/>
    <mergeCell ref="Q1:Q3"/>
    <mergeCell ref="N2:O2"/>
    <mergeCell ref="M15:O15"/>
    <mergeCell ref="P15:P17"/>
    <mergeCell ref="Q15:Q17"/>
    <mergeCell ref="N16:O16"/>
    <mergeCell ref="M29:O29"/>
    <mergeCell ref="P29:P31"/>
    <mergeCell ref="Q29:Q31"/>
    <mergeCell ref="N30:O30"/>
    <mergeCell ref="M43:O43"/>
    <mergeCell ref="P43:P45"/>
    <mergeCell ref="Q43:Q45"/>
    <mergeCell ref="N44:O44"/>
    <mergeCell ref="M57:O57"/>
    <mergeCell ref="P57:P59"/>
    <mergeCell ref="Q57:Q59"/>
    <mergeCell ref="N58:O58"/>
    <mergeCell ref="M71:O71"/>
    <mergeCell ref="P71:P73"/>
    <mergeCell ref="A29:C29"/>
    <mergeCell ref="D29:D31"/>
    <mergeCell ref="E29:E31"/>
    <mergeCell ref="B30:C30"/>
    <mergeCell ref="A43:C43"/>
    <mergeCell ref="D43:D45"/>
    <mergeCell ref="E43:E45"/>
    <mergeCell ref="B44:C44"/>
    <mergeCell ref="Q71:Q73"/>
    <mergeCell ref="N72:O72"/>
    <mergeCell ref="A1:C1"/>
    <mergeCell ref="D1:D3"/>
    <mergeCell ref="E1:E3"/>
    <mergeCell ref="B2:C2"/>
    <mergeCell ref="A15:C15"/>
    <mergeCell ref="D15:D17"/>
    <mergeCell ref="E15:E17"/>
    <mergeCell ref="B16:C16"/>
    <mergeCell ref="A85:C85"/>
    <mergeCell ref="D85:D87"/>
    <mergeCell ref="E85:E87"/>
    <mergeCell ref="B86:C86"/>
    <mergeCell ref="A57:C57"/>
    <mergeCell ref="D57:D59"/>
    <mergeCell ref="E57:E59"/>
    <mergeCell ref="B58:C58"/>
    <mergeCell ref="A71:C71"/>
    <mergeCell ref="D71:D73"/>
    <mergeCell ref="E71:E73"/>
    <mergeCell ref="B72:C72"/>
    <mergeCell ref="A127:C127"/>
    <mergeCell ref="D127:D129"/>
    <mergeCell ref="E127:E129"/>
    <mergeCell ref="B128:C128"/>
    <mergeCell ref="M99:O99"/>
    <mergeCell ref="M127:O127"/>
    <mergeCell ref="A99:C99"/>
    <mergeCell ref="D99:D101"/>
    <mergeCell ref="E99:E101"/>
    <mergeCell ref="B100:C100"/>
    <mergeCell ref="A113:C113"/>
    <mergeCell ref="D113:D115"/>
    <mergeCell ref="E113:E115"/>
    <mergeCell ref="B114:C114"/>
    <mergeCell ref="P127:P129"/>
    <mergeCell ref="Q127:Q129"/>
    <mergeCell ref="N128:O128"/>
    <mergeCell ref="P99:P101"/>
    <mergeCell ref="Q99:Q101"/>
    <mergeCell ref="N100:O100"/>
    <mergeCell ref="M113:O113"/>
    <mergeCell ref="P113:P115"/>
    <mergeCell ref="Q113:Q115"/>
    <mergeCell ref="N114:O114"/>
    <mergeCell ref="V1:AA2"/>
    <mergeCell ref="AD1:AI2"/>
    <mergeCell ref="AE4:AF4"/>
    <mergeCell ref="AE12:AF12"/>
    <mergeCell ref="AE13:AF13"/>
    <mergeCell ref="AE14:AF14"/>
    <mergeCell ref="AE15:AF15"/>
    <mergeCell ref="AE16:AF16"/>
    <mergeCell ref="AE17:AF17"/>
    <mergeCell ref="Z12:Z13"/>
    <mergeCell ref="AA12:AA13"/>
    <mergeCell ref="V4:W4"/>
    <mergeCell ref="V14:W14"/>
    <mergeCell ref="V12:W12"/>
    <mergeCell ref="X12:Y12"/>
    <mergeCell ref="V13:W13"/>
    <mergeCell ref="V11:AA11"/>
    <mergeCell ref="V17:W17"/>
    <mergeCell ref="AE22:AF22"/>
    <mergeCell ref="V15:W15"/>
    <mergeCell ref="V16:W16"/>
    <mergeCell ref="V22:W22"/>
    <mergeCell ref="V18:W18"/>
    <mergeCell ref="V19:W19"/>
    <mergeCell ref="V20:W20"/>
    <mergeCell ref="V21:W21"/>
    <mergeCell ref="V23:W23"/>
    <mergeCell ref="AF9:AI9"/>
    <mergeCell ref="AG12:AH12"/>
    <mergeCell ref="AE11:AJ11"/>
    <mergeCell ref="AI12:AI13"/>
    <mergeCell ref="AJ12:AJ13"/>
    <mergeCell ref="AE18:AF18"/>
    <mergeCell ref="AE19:AF19"/>
    <mergeCell ref="AE20:AF20"/>
    <mergeCell ref="AE21:AF21"/>
    <mergeCell ref="V45:X45"/>
    <mergeCell ref="W46:X46"/>
    <mergeCell ref="V44:Z44"/>
    <mergeCell ref="AE45:AG45"/>
    <mergeCell ref="AF46:AG46"/>
    <mergeCell ref="AE44:AI44"/>
    <mergeCell ref="V32:AD32"/>
    <mergeCell ref="AE32:AG32"/>
    <mergeCell ref="AE23:AF23"/>
  </mergeCells>
  <pageMargins left="0.7" right="0.7" top="0.75" bottom="0.75" header="0.3" footer="0.3"/>
  <pageSetup scale="87" orientation="portrait" r:id="rId1"/>
  <colBreaks count="1" manualBreakCount="1">
    <brk id="28" max="27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R327"/>
  <sheetViews>
    <sheetView topLeftCell="A174" zoomScale="85" zoomScaleNormal="85" workbookViewId="0">
      <selection activeCell="G173" sqref="G173"/>
    </sheetView>
  </sheetViews>
  <sheetFormatPr defaultRowHeight="13.2" x14ac:dyDescent="0.25"/>
  <cols>
    <col min="1" max="1" width="18.33203125" customWidth="1"/>
    <col min="2" max="5" width="11" customWidth="1"/>
    <col min="6" max="6" width="13.5546875" bestFit="1" customWidth="1"/>
    <col min="7" max="7" width="20" customWidth="1"/>
    <col min="8" max="8" width="16.5546875" customWidth="1"/>
    <col min="9" max="11" width="11.6640625" customWidth="1"/>
    <col min="12" max="12" width="9.33203125" customWidth="1"/>
    <col min="13" max="13" width="22.33203125" customWidth="1"/>
    <col min="14" max="17" width="14.5546875" customWidth="1"/>
    <col min="18" max="18" width="7.33203125" customWidth="1"/>
  </cols>
  <sheetData>
    <row r="1" spans="1:18" x14ac:dyDescent="0.25">
      <c r="A1" s="687"/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8"/>
      <c r="Q1" s="688"/>
      <c r="R1" s="154"/>
    </row>
    <row r="2" spans="1:18" ht="14.4" x14ac:dyDescent="0.3">
      <c r="A2" s="1398" t="s">
        <v>196</v>
      </c>
      <c r="B2" s="1397"/>
      <c r="C2" s="1397"/>
      <c r="D2" s="1388" t="s">
        <v>123</v>
      </c>
      <c r="E2" s="1389" t="s">
        <v>124</v>
      </c>
      <c r="F2" s="1171"/>
      <c r="G2" s="1399" t="s">
        <v>197</v>
      </c>
      <c r="H2" s="1399"/>
      <c r="I2" s="1399"/>
      <c r="J2" s="1388" t="s">
        <v>123</v>
      </c>
      <c r="K2" s="1389" t="s">
        <v>124</v>
      </c>
      <c r="L2" s="1171"/>
      <c r="M2" s="1397" t="s">
        <v>198</v>
      </c>
      <c r="N2" s="1397"/>
      <c r="O2" s="1397"/>
      <c r="P2" s="1388" t="s">
        <v>123</v>
      </c>
      <c r="Q2" s="1389" t="s">
        <v>124</v>
      </c>
      <c r="R2" s="698"/>
    </row>
    <row r="3" spans="1:18" ht="13.8" x14ac:dyDescent="0.25">
      <c r="A3" s="1172" t="s">
        <v>73</v>
      </c>
      <c r="B3" s="1388" t="s">
        <v>127</v>
      </c>
      <c r="C3" s="1388"/>
      <c r="D3" s="1388"/>
      <c r="E3" s="1389"/>
      <c r="F3" s="1171"/>
      <c r="G3" s="1172" t="s">
        <v>73</v>
      </c>
      <c r="H3" s="1388" t="s">
        <v>127</v>
      </c>
      <c r="I3" s="1388"/>
      <c r="J3" s="1388"/>
      <c r="K3" s="1389"/>
      <c r="L3" s="1171"/>
      <c r="M3" s="1172" t="s">
        <v>73</v>
      </c>
      <c r="N3" s="1388" t="s">
        <v>127</v>
      </c>
      <c r="O3" s="1388"/>
      <c r="P3" s="1388"/>
      <c r="Q3" s="1389"/>
      <c r="R3" s="698"/>
    </row>
    <row r="4" spans="1:18" ht="14.4" x14ac:dyDescent="0.25">
      <c r="A4" s="1173" t="s">
        <v>199</v>
      </c>
      <c r="B4" s="1174">
        <v>2021</v>
      </c>
      <c r="C4" s="1174">
        <v>2018</v>
      </c>
      <c r="D4" s="1388"/>
      <c r="E4" s="1389"/>
      <c r="F4" s="1171"/>
      <c r="G4" s="1173" t="s">
        <v>199</v>
      </c>
      <c r="H4" s="1174">
        <v>2021</v>
      </c>
      <c r="I4" s="1174">
        <v>2018</v>
      </c>
      <c r="J4" s="1388"/>
      <c r="K4" s="1389"/>
      <c r="L4" s="1171"/>
      <c r="M4" s="1173" t="s">
        <v>199</v>
      </c>
      <c r="N4" s="1174">
        <v>2018</v>
      </c>
      <c r="O4" s="1174" t="s">
        <v>129</v>
      </c>
      <c r="P4" s="1388"/>
      <c r="Q4" s="1389"/>
      <c r="R4" s="698"/>
    </row>
    <row r="5" spans="1:18" x14ac:dyDescent="0.25">
      <c r="A5" s="1175">
        <v>0</v>
      </c>
      <c r="B5" s="1176">
        <v>9.9999999999999995E-7</v>
      </c>
      <c r="C5" s="1176">
        <v>0.3</v>
      </c>
      <c r="D5" s="1176">
        <f>0.5*(MAX(B5:C5)-MIN(B5:C5))</f>
        <v>0.14999950000000001</v>
      </c>
      <c r="E5" s="1176">
        <v>0.6</v>
      </c>
      <c r="F5" s="1171"/>
      <c r="G5" s="1175">
        <v>0</v>
      </c>
      <c r="H5" s="1176">
        <v>9.9999999999999995E-7</v>
      </c>
      <c r="I5" s="1176">
        <v>-0.1</v>
      </c>
      <c r="J5" s="1176">
        <f>0.5*(MAX(H5:I5)-MIN(H5:I5))</f>
        <v>5.0000500000000003E-2</v>
      </c>
      <c r="K5" s="1176">
        <v>0.6</v>
      </c>
      <c r="L5" s="1171"/>
      <c r="M5" s="1175">
        <v>0</v>
      </c>
      <c r="N5" s="1176">
        <v>9.9999999999999995E-7</v>
      </c>
      <c r="O5" s="1176">
        <v>9.9999999999999995E-7</v>
      </c>
      <c r="P5" s="1176">
        <f>0.5*(MAX(N5:O5)-MIN(N5:O5))</f>
        <v>0</v>
      </c>
      <c r="Q5" s="1176">
        <v>2</v>
      </c>
      <c r="R5" s="698"/>
    </row>
    <row r="6" spans="1:18" x14ac:dyDescent="0.25">
      <c r="A6" s="1177">
        <v>100</v>
      </c>
      <c r="B6" s="1176">
        <v>0.3</v>
      </c>
      <c r="C6" s="1176">
        <v>0.20000000000000284</v>
      </c>
      <c r="D6" s="1176">
        <f t="shared" ref="D6:D13" si="0">0.5*(MAX(B6:C6)-MIN(B6:C6))</f>
        <v>4.9999999999998573E-2</v>
      </c>
      <c r="E6" s="1176">
        <v>0.6</v>
      </c>
      <c r="F6" s="1171"/>
      <c r="G6" s="1176">
        <v>100</v>
      </c>
      <c r="H6" s="1176">
        <v>-0.6</v>
      </c>
      <c r="I6" s="1176">
        <v>-9.9999999999994316E-2</v>
      </c>
      <c r="J6" s="1176">
        <f t="shared" ref="J6:J13" si="1">0.5*(MAX(H6:I6)-MIN(H6:I6))</f>
        <v>0.25000000000000283</v>
      </c>
      <c r="K6" s="1176">
        <v>0.6</v>
      </c>
      <c r="L6" s="1171"/>
      <c r="M6" s="1176">
        <v>100</v>
      </c>
      <c r="N6" s="1176">
        <v>9.9999999999999995E-7</v>
      </c>
      <c r="O6" s="1176">
        <v>9.9999999999999995E-7</v>
      </c>
      <c r="P6" s="1176">
        <f t="shared" ref="P6:P15" si="2">0.5*(MAX(N6:O6)-MIN(N6:O6))</f>
        <v>0</v>
      </c>
      <c r="Q6" s="1176">
        <v>2</v>
      </c>
      <c r="R6" s="698"/>
    </row>
    <row r="7" spans="1:18" x14ac:dyDescent="0.25">
      <c r="A7" s="1177">
        <v>200</v>
      </c>
      <c r="B7" s="1176">
        <v>0.3</v>
      </c>
      <c r="C7" s="1176">
        <v>0.19999999999998863</v>
      </c>
      <c r="D7" s="1176">
        <f t="shared" si="0"/>
        <v>5.0000000000005679E-2</v>
      </c>
      <c r="E7" s="1176">
        <v>0.8</v>
      </c>
      <c r="F7" s="1171"/>
      <c r="G7" s="1176">
        <v>200</v>
      </c>
      <c r="H7" s="1176">
        <v>-0.3</v>
      </c>
      <c r="I7" s="1176">
        <v>-0.30000000000001137</v>
      </c>
      <c r="J7" s="1176">
        <f t="shared" si="1"/>
        <v>5.6898930012039273E-15</v>
      </c>
      <c r="K7" s="1176">
        <v>1</v>
      </c>
      <c r="L7" s="1171"/>
      <c r="M7" s="1176">
        <v>200</v>
      </c>
      <c r="N7" s="1176">
        <v>9.9999999999999995E-7</v>
      </c>
      <c r="O7" s="1176">
        <v>9.9999999999999995E-7</v>
      </c>
      <c r="P7" s="1176">
        <f t="shared" si="2"/>
        <v>0</v>
      </c>
      <c r="Q7" s="1176">
        <v>2</v>
      </c>
      <c r="R7" s="698"/>
    </row>
    <row r="8" spans="1:18" x14ac:dyDescent="0.25">
      <c r="A8" s="1177">
        <v>300</v>
      </c>
      <c r="B8" s="1176">
        <v>0.2</v>
      </c>
      <c r="C8" s="1176">
        <v>0.10000000000002274</v>
      </c>
      <c r="D8" s="1176">
        <f t="shared" si="0"/>
        <v>4.9999999999988637E-2</v>
      </c>
      <c r="E8" s="1176">
        <v>0.6</v>
      </c>
      <c r="F8" s="1171"/>
      <c r="G8" s="1176">
        <v>300</v>
      </c>
      <c r="H8" s="1176">
        <v>-0.1</v>
      </c>
      <c r="I8" s="1176">
        <v>-0.30000000000001137</v>
      </c>
      <c r="J8" s="1176">
        <f t="shared" si="1"/>
        <v>0.10000000000000568</v>
      </c>
      <c r="K8" s="1176">
        <v>0.6</v>
      </c>
      <c r="L8" s="1171"/>
      <c r="M8" s="1176">
        <v>250</v>
      </c>
      <c r="N8" s="1176">
        <v>9.9999999999999995E-7</v>
      </c>
      <c r="O8" s="1176">
        <v>9.9999999999999995E-7</v>
      </c>
      <c r="P8" s="1176">
        <f t="shared" si="2"/>
        <v>0</v>
      </c>
      <c r="Q8" s="1176">
        <v>2</v>
      </c>
      <c r="R8" s="698"/>
    </row>
    <row r="9" spans="1:18" x14ac:dyDescent="0.25">
      <c r="A9" s="1177">
        <v>400</v>
      </c>
      <c r="B9" s="1176">
        <v>9.9999999999999995E-7</v>
      </c>
      <c r="C9" s="1176">
        <v>0.19999999999998863</v>
      </c>
      <c r="D9" s="1176">
        <f t="shared" si="0"/>
        <v>9.9999499999994315E-2</v>
      </c>
      <c r="E9" s="1176">
        <v>0.6</v>
      </c>
      <c r="F9" s="1171"/>
      <c r="G9" s="1176">
        <v>400</v>
      </c>
      <c r="H9" s="1176">
        <v>9.9999999999999995E-7</v>
      </c>
      <c r="I9" s="1176">
        <v>-0.19999999999998863</v>
      </c>
      <c r="J9" s="1176">
        <f t="shared" si="1"/>
        <v>0.10000049999999432</v>
      </c>
      <c r="K9" s="1176">
        <v>0.6</v>
      </c>
      <c r="L9" s="1171"/>
      <c r="M9" s="1176">
        <v>300</v>
      </c>
      <c r="N9" s="1176">
        <v>9.9999999999999995E-7</v>
      </c>
      <c r="O9" s="1176">
        <v>9.9999999999999995E-7</v>
      </c>
      <c r="P9" s="1176">
        <f t="shared" si="2"/>
        <v>0</v>
      </c>
      <c r="Q9" s="1176">
        <v>2</v>
      </c>
      <c r="R9" s="698"/>
    </row>
    <row r="10" spans="1:18" x14ac:dyDescent="0.25">
      <c r="A10" s="1177">
        <v>500</v>
      </c>
      <c r="B10" s="1176">
        <v>0.4</v>
      </c>
      <c r="C10" s="1176">
        <v>0.19999999999998863</v>
      </c>
      <c r="D10" s="1176">
        <f t="shared" si="0"/>
        <v>0.1000000000000057</v>
      </c>
      <c r="E10" s="1176">
        <v>0.6</v>
      </c>
      <c r="F10" s="1171"/>
      <c r="G10" s="1176">
        <v>500</v>
      </c>
      <c r="H10" s="1176">
        <v>0.3</v>
      </c>
      <c r="I10" s="1176">
        <v>-0.10000000000002274</v>
      </c>
      <c r="J10" s="1176">
        <f t="shared" si="1"/>
        <v>0.20000000000001136</v>
      </c>
      <c r="K10" s="1176">
        <v>0.6</v>
      </c>
      <c r="L10" s="1171"/>
      <c r="M10" s="1176">
        <v>350</v>
      </c>
      <c r="N10" s="1176">
        <v>9.9999999999999995E-7</v>
      </c>
      <c r="O10" s="1176">
        <v>9.9999999999999995E-7</v>
      </c>
      <c r="P10" s="1176">
        <f t="shared" si="2"/>
        <v>0</v>
      </c>
      <c r="Q10" s="1176">
        <v>2</v>
      </c>
      <c r="R10" s="698"/>
    </row>
    <row r="11" spans="1:18" x14ac:dyDescent="0.25">
      <c r="A11" s="1177">
        <v>600</v>
      </c>
      <c r="B11" s="1176">
        <v>0.5</v>
      </c>
      <c r="C11" s="1176">
        <v>0.20000000000004547</v>
      </c>
      <c r="D11" s="1176">
        <f t="shared" si="0"/>
        <v>0.14999999999997726</v>
      </c>
      <c r="E11" s="1176">
        <v>0.8</v>
      </c>
      <c r="F11" s="1171"/>
      <c r="G11" s="1176">
        <v>600</v>
      </c>
      <c r="H11" s="1176">
        <v>-0.7</v>
      </c>
      <c r="I11" s="1176">
        <v>0.20000000000004547</v>
      </c>
      <c r="J11" s="1176">
        <f t="shared" si="1"/>
        <v>0.45000000000002272</v>
      </c>
      <c r="K11" s="1176">
        <v>0.6</v>
      </c>
      <c r="L11" s="1171"/>
      <c r="M11" s="1176">
        <v>400</v>
      </c>
      <c r="N11" s="1176">
        <v>9.9999999999999995E-7</v>
      </c>
      <c r="O11" s="1176">
        <v>9.9999999999999995E-7</v>
      </c>
      <c r="P11" s="1176">
        <f t="shared" si="2"/>
        <v>0</v>
      </c>
      <c r="Q11" s="1176">
        <v>2</v>
      </c>
      <c r="R11" s="698"/>
    </row>
    <row r="12" spans="1:18" x14ac:dyDescent="0.25">
      <c r="A12" s="1177">
        <v>700</v>
      </c>
      <c r="B12" s="1176">
        <v>0.5</v>
      </c>
      <c r="C12" s="1176">
        <v>0.29999999999995453</v>
      </c>
      <c r="D12" s="1176">
        <f t="shared" si="0"/>
        <v>0.10000000000002274</v>
      </c>
      <c r="E12" s="1176">
        <v>0.8</v>
      </c>
      <c r="F12" s="1171"/>
      <c r="G12" s="1176">
        <v>650</v>
      </c>
      <c r="H12" s="1176">
        <v>0.7</v>
      </c>
      <c r="I12" s="1176">
        <v>0.39999999999997726</v>
      </c>
      <c r="J12" s="1176">
        <f t="shared" si="1"/>
        <v>0.15000000000001135</v>
      </c>
      <c r="K12" s="1176">
        <v>0.6</v>
      </c>
      <c r="L12" s="1171"/>
      <c r="M12" s="1176">
        <v>500</v>
      </c>
      <c r="N12" s="1176">
        <v>9.9999999999999995E-7</v>
      </c>
      <c r="O12" s="1176">
        <v>9.9999999999999995E-7</v>
      </c>
      <c r="P12" s="1176">
        <f t="shared" si="2"/>
        <v>0</v>
      </c>
      <c r="Q12" s="1176">
        <v>2</v>
      </c>
      <c r="R12" s="698"/>
    </row>
    <row r="13" spans="1:18" x14ac:dyDescent="0.25">
      <c r="A13" s="1178">
        <v>1000</v>
      </c>
      <c r="B13" s="1176">
        <v>0.5</v>
      </c>
      <c r="C13" s="1176">
        <v>0.29999999999995453</v>
      </c>
      <c r="D13" s="1176">
        <f t="shared" si="0"/>
        <v>0.10000000000002274</v>
      </c>
      <c r="E13" s="1176">
        <v>0.8</v>
      </c>
      <c r="F13" s="1171"/>
      <c r="G13" s="1176">
        <v>1000</v>
      </c>
      <c r="H13" s="1176">
        <v>0.7</v>
      </c>
      <c r="I13" s="1176">
        <v>0.39999999999997726</v>
      </c>
      <c r="J13" s="1176">
        <f t="shared" si="1"/>
        <v>0.15000000000001135</v>
      </c>
      <c r="K13" s="1176">
        <v>0.6</v>
      </c>
      <c r="L13" s="1171"/>
      <c r="M13" s="1176">
        <v>600</v>
      </c>
      <c r="N13" s="1176">
        <v>9.9999999999999995E-7</v>
      </c>
      <c r="O13" s="1176">
        <v>9.9999999999999995E-7</v>
      </c>
      <c r="P13" s="1176">
        <f t="shared" si="2"/>
        <v>0</v>
      </c>
      <c r="Q13" s="1176">
        <v>2</v>
      </c>
      <c r="R13" s="698"/>
    </row>
    <row r="14" spans="1:18" x14ac:dyDescent="0.25">
      <c r="A14" s="1179"/>
      <c r="B14" s="1180"/>
      <c r="C14" s="1181"/>
      <c r="D14" s="1180"/>
      <c r="E14" s="1182"/>
      <c r="F14" s="1171"/>
      <c r="G14" s="1183"/>
      <c r="H14" s="1180"/>
      <c r="I14" s="1180"/>
      <c r="J14" s="1180"/>
      <c r="K14" s="1182"/>
      <c r="L14" s="1171"/>
      <c r="M14" s="1176">
        <v>700</v>
      </c>
      <c r="N14" s="1176">
        <v>9.9999999999999995E-7</v>
      </c>
      <c r="O14" s="1176">
        <v>9.9999999999999995E-7</v>
      </c>
      <c r="P14" s="1176">
        <f t="shared" si="2"/>
        <v>0</v>
      </c>
      <c r="Q14" s="1176">
        <v>2</v>
      </c>
      <c r="R14" s="698"/>
    </row>
    <row r="15" spans="1:18" x14ac:dyDescent="0.25">
      <c r="A15" s="1184"/>
      <c r="B15" s="1185"/>
      <c r="C15" s="1186"/>
      <c r="D15" s="1185"/>
      <c r="E15" s="1185"/>
      <c r="F15" s="1171"/>
      <c r="G15" s="1171"/>
      <c r="H15" s="1171"/>
      <c r="I15" s="1171"/>
      <c r="J15" s="1171"/>
      <c r="K15" s="1171"/>
      <c r="L15" s="1171"/>
      <c r="M15" s="1176">
        <v>1000</v>
      </c>
      <c r="N15" s="1176">
        <v>9.9999999999999995E-7</v>
      </c>
      <c r="O15" s="1176">
        <v>9.9999999999999995E-7</v>
      </c>
      <c r="P15" s="1176">
        <f t="shared" si="2"/>
        <v>0</v>
      </c>
      <c r="Q15" s="1176">
        <v>2</v>
      </c>
      <c r="R15" s="698"/>
    </row>
    <row r="16" spans="1:18" x14ac:dyDescent="0.25">
      <c r="A16" s="1184"/>
      <c r="B16" s="1185"/>
      <c r="C16" s="1186"/>
      <c r="D16" s="1185"/>
      <c r="E16" s="1185"/>
      <c r="F16" s="1171"/>
      <c r="G16" s="1171"/>
      <c r="H16" s="1171"/>
      <c r="I16" s="1171"/>
      <c r="J16" s="1171"/>
      <c r="K16" s="1171"/>
      <c r="L16" s="1171"/>
      <c r="M16" s="1171"/>
      <c r="N16" s="1171"/>
      <c r="O16" s="1171"/>
      <c r="P16" s="1171"/>
      <c r="Q16" s="1171"/>
      <c r="R16" s="698"/>
    </row>
    <row r="17" spans="1:18" x14ac:dyDescent="0.25">
      <c r="A17" s="1187"/>
      <c r="B17" s="1188"/>
      <c r="C17" s="1188"/>
      <c r="D17" s="1188"/>
      <c r="E17" s="1188"/>
      <c r="F17" s="1171"/>
      <c r="G17" s="1171"/>
      <c r="H17" s="1171"/>
      <c r="I17" s="1171"/>
      <c r="J17" s="1171"/>
      <c r="K17" s="1171"/>
      <c r="L17" s="1171"/>
      <c r="M17" s="1171"/>
      <c r="N17" s="1171"/>
      <c r="O17" s="1171"/>
      <c r="P17" s="1171"/>
      <c r="Q17" s="1171"/>
      <c r="R17" s="698"/>
    </row>
    <row r="18" spans="1:18" x14ac:dyDescent="0.25">
      <c r="A18" s="1189"/>
      <c r="B18" s="1171"/>
      <c r="C18" s="1171"/>
      <c r="D18" s="1171"/>
      <c r="E18" s="1171"/>
      <c r="F18" s="1171"/>
      <c r="G18" s="1171"/>
      <c r="H18" s="1171"/>
      <c r="I18" s="1171"/>
      <c r="J18" s="1171"/>
      <c r="K18" s="1171"/>
      <c r="L18" s="1171"/>
      <c r="M18" s="1171"/>
      <c r="N18" s="1171"/>
      <c r="O18" s="1171"/>
      <c r="P18" s="1171"/>
      <c r="Q18" s="1171"/>
      <c r="R18" s="698"/>
    </row>
    <row r="19" spans="1:18" x14ac:dyDescent="0.25">
      <c r="A19" s="1189"/>
      <c r="B19" s="1171"/>
      <c r="C19" s="1171"/>
      <c r="D19" s="1171"/>
      <c r="E19" s="1171"/>
      <c r="F19" s="1171"/>
      <c r="G19" s="1171"/>
      <c r="H19" s="1171"/>
      <c r="I19" s="1171"/>
      <c r="J19" s="1171"/>
      <c r="K19" s="1171"/>
      <c r="L19" s="1171"/>
      <c r="M19" s="1171"/>
      <c r="N19" s="1171"/>
      <c r="O19" s="1171"/>
      <c r="P19" s="1171"/>
      <c r="Q19" s="1171"/>
      <c r="R19" s="698"/>
    </row>
    <row r="20" spans="1:18" ht="14.4" x14ac:dyDescent="0.3">
      <c r="A20" s="1398" t="s">
        <v>200</v>
      </c>
      <c r="B20" s="1397"/>
      <c r="C20" s="1397"/>
      <c r="D20" s="1388" t="s">
        <v>123</v>
      </c>
      <c r="E20" s="1389" t="s">
        <v>124</v>
      </c>
      <c r="F20" s="1171"/>
      <c r="G20" s="1400" t="s">
        <v>201</v>
      </c>
      <c r="H20" s="1395"/>
      <c r="I20" s="1396"/>
      <c r="J20" s="1388" t="s">
        <v>123</v>
      </c>
      <c r="K20" s="1389" t="s">
        <v>124</v>
      </c>
      <c r="L20" s="1171"/>
      <c r="M20" s="1400" t="s">
        <v>202</v>
      </c>
      <c r="N20" s="1395"/>
      <c r="O20" s="1396"/>
      <c r="P20" s="1388" t="s">
        <v>123</v>
      </c>
      <c r="Q20" s="1389" t="s">
        <v>124</v>
      </c>
      <c r="R20" s="698"/>
    </row>
    <row r="21" spans="1:18" ht="13.8" x14ac:dyDescent="0.25">
      <c r="A21" s="1172" t="s">
        <v>73</v>
      </c>
      <c r="B21" s="1388" t="s">
        <v>127</v>
      </c>
      <c r="C21" s="1388"/>
      <c r="D21" s="1388"/>
      <c r="E21" s="1389"/>
      <c r="F21" s="1171"/>
      <c r="G21" s="1172" t="s">
        <v>73</v>
      </c>
      <c r="H21" s="1388" t="s">
        <v>127</v>
      </c>
      <c r="I21" s="1388"/>
      <c r="J21" s="1388"/>
      <c r="K21" s="1389"/>
      <c r="L21" s="1171"/>
      <c r="M21" s="1172" t="s">
        <v>73</v>
      </c>
      <c r="N21" s="1388" t="s">
        <v>127</v>
      </c>
      <c r="O21" s="1388"/>
      <c r="P21" s="1388"/>
      <c r="Q21" s="1389"/>
      <c r="R21" s="698"/>
    </row>
    <row r="22" spans="1:18" ht="14.4" x14ac:dyDescent="0.25">
      <c r="A22" s="1173" t="s">
        <v>199</v>
      </c>
      <c r="B22" s="1174">
        <v>2019</v>
      </c>
      <c r="C22" s="1174">
        <v>2018</v>
      </c>
      <c r="D22" s="1388"/>
      <c r="E22" s="1389"/>
      <c r="F22" s="1190"/>
      <c r="G22" s="1173" t="s">
        <v>199</v>
      </c>
      <c r="H22" s="1174">
        <v>2019</v>
      </c>
      <c r="I22" s="1191" t="s">
        <v>129</v>
      </c>
      <c r="J22" s="1388"/>
      <c r="K22" s="1389"/>
      <c r="L22" s="1171"/>
      <c r="M22" s="1173" t="s">
        <v>199</v>
      </c>
      <c r="N22" s="1174">
        <v>2021</v>
      </c>
      <c r="O22" s="1174">
        <v>2019</v>
      </c>
      <c r="P22" s="1388"/>
      <c r="Q22" s="1389"/>
      <c r="R22" s="698"/>
    </row>
    <row r="23" spans="1:18" x14ac:dyDescent="0.25">
      <c r="A23" s="1175">
        <v>0</v>
      </c>
      <c r="B23" s="1192">
        <v>9.9999999999999995E-7</v>
      </c>
      <c r="C23" s="1192">
        <v>-0.4</v>
      </c>
      <c r="D23" s="1175">
        <f>0.5*(MAX(B23:C23)-MIN(B23:C23))</f>
        <v>0.2000005</v>
      </c>
      <c r="E23" s="1193">
        <v>0.1</v>
      </c>
      <c r="F23" s="1194"/>
      <c r="G23" s="1175">
        <v>0</v>
      </c>
      <c r="H23" s="1176">
        <v>-0.3</v>
      </c>
      <c r="I23" s="1193" t="s">
        <v>129</v>
      </c>
      <c r="J23" s="1175">
        <f>0.5*(MAX(H23:I23)-MIN(H23:I23))</f>
        <v>0</v>
      </c>
      <c r="K23" s="1176">
        <v>0.6</v>
      </c>
      <c r="L23" s="1171"/>
      <c r="M23" s="1175">
        <v>0</v>
      </c>
      <c r="N23" s="1176">
        <v>9.9999999999999995E-7</v>
      </c>
      <c r="O23" s="1176">
        <v>9.9999999999999995E-7</v>
      </c>
      <c r="P23" s="1193">
        <f t="shared" ref="P23:P28" si="3">0.5*(MAX(N23:O23)-MIN(N23:O23))</f>
        <v>0</v>
      </c>
      <c r="Q23" s="1195">
        <v>0.6</v>
      </c>
      <c r="R23" s="698"/>
    </row>
    <row r="24" spans="1:18" x14ac:dyDescent="0.25">
      <c r="A24" s="1196">
        <v>500</v>
      </c>
      <c r="B24" s="1197">
        <v>9.9999999999999995E-7</v>
      </c>
      <c r="C24" s="1197">
        <v>0.1</v>
      </c>
      <c r="D24" s="1175">
        <f>0.5*(MAX(B24:C24)-MIN(B24:C24))</f>
        <v>4.9999500000000002E-2</v>
      </c>
      <c r="E24" s="1193">
        <v>0.1</v>
      </c>
      <c r="F24" s="1194"/>
      <c r="G24" s="1177">
        <v>100</v>
      </c>
      <c r="H24" s="1176">
        <v>9.9999999999999995E-7</v>
      </c>
      <c r="I24" s="1193" t="s">
        <v>129</v>
      </c>
      <c r="J24" s="1175">
        <f>0.5*(MAX(H24:I24)-MIN(H24:I24))</f>
        <v>0</v>
      </c>
      <c r="K24" s="1176">
        <v>0.8</v>
      </c>
      <c r="L24" s="1171"/>
      <c r="M24" s="1177">
        <v>100</v>
      </c>
      <c r="N24" s="1176">
        <v>-0.9</v>
      </c>
      <c r="O24" s="1176">
        <v>-0.9</v>
      </c>
      <c r="P24" s="1193">
        <f t="shared" si="3"/>
        <v>0</v>
      </c>
      <c r="Q24" s="1195">
        <v>0.6</v>
      </c>
      <c r="R24" s="698"/>
    </row>
    <row r="25" spans="1:18" x14ac:dyDescent="0.25">
      <c r="A25" s="1196">
        <v>100</v>
      </c>
      <c r="B25" s="1197">
        <v>0.5</v>
      </c>
      <c r="C25" s="1197">
        <v>0.4</v>
      </c>
      <c r="D25" s="1175">
        <f>0.5*(MAX(B25:C25)-MIN(B25:C25))</f>
        <v>4.9999999999999989E-2</v>
      </c>
      <c r="E25" s="1193">
        <v>0.1</v>
      </c>
      <c r="F25" s="1194"/>
      <c r="G25" s="1177">
        <v>200</v>
      </c>
      <c r="H25" s="1176">
        <v>-0.4</v>
      </c>
      <c r="I25" s="1193" t="s">
        <v>129</v>
      </c>
      <c r="J25" s="1175">
        <f>0.5*(MAX(H25:I25)-MIN(H25:I25))</f>
        <v>0</v>
      </c>
      <c r="K25" s="1176">
        <v>0.8</v>
      </c>
      <c r="L25" s="1171"/>
      <c r="M25" s="1177">
        <v>200</v>
      </c>
      <c r="N25" s="1176">
        <v>-1.7</v>
      </c>
      <c r="O25" s="1176">
        <v>-1.7</v>
      </c>
      <c r="P25" s="1193">
        <f t="shared" si="3"/>
        <v>0</v>
      </c>
      <c r="Q25" s="1195">
        <v>0.6</v>
      </c>
      <c r="R25" s="698"/>
    </row>
    <row r="26" spans="1:18" x14ac:dyDescent="0.25">
      <c r="A26" s="1196">
        <v>150</v>
      </c>
      <c r="B26" s="1197">
        <v>-0.1</v>
      </c>
      <c r="C26" s="1197">
        <v>0.5</v>
      </c>
      <c r="D26" s="1175">
        <f t="shared" ref="D26:D28" si="4">0.5*(MAX(B26:C26)-MIN(B26:C26))</f>
        <v>0.3</v>
      </c>
      <c r="E26" s="1193">
        <v>0.1</v>
      </c>
      <c r="F26" s="1194"/>
      <c r="G26" s="1177">
        <v>300</v>
      </c>
      <c r="H26" s="1176">
        <v>-1</v>
      </c>
      <c r="I26" s="1198" t="s">
        <v>129</v>
      </c>
      <c r="J26" s="1175">
        <f t="shared" ref="J26:J28" si="5">0.5*(MAX(H26:I26)-MIN(H26:I26))</f>
        <v>0</v>
      </c>
      <c r="K26" s="1176">
        <v>0.8</v>
      </c>
      <c r="L26" s="1171"/>
      <c r="M26" s="1177">
        <v>300</v>
      </c>
      <c r="N26" s="1176">
        <v>-2.4</v>
      </c>
      <c r="O26" s="1176">
        <v>-2.4</v>
      </c>
      <c r="P26" s="1193">
        <f t="shared" si="3"/>
        <v>0</v>
      </c>
      <c r="Q26" s="1195">
        <v>0.6</v>
      </c>
      <c r="R26" s="698"/>
    </row>
    <row r="27" spans="1:18" x14ac:dyDescent="0.25">
      <c r="A27" s="1196">
        <v>200</v>
      </c>
      <c r="B27" s="1197">
        <v>-0.4</v>
      </c>
      <c r="C27" s="1197">
        <v>0.4</v>
      </c>
      <c r="D27" s="1175">
        <f t="shared" si="4"/>
        <v>0.4</v>
      </c>
      <c r="E27" s="1193">
        <v>0.1</v>
      </c>
      <c r="F27" s="1194"/>
      <c r="G27" s="1177">
        <v>400</v>
      </c>
      <c r="H27" s="1176">
        <v>-1.6</v>
      </c>
      <c r="I27" s="1198" t="s">
        <v>129</v>
      </c>
      <c r="J27" s="1175">
        <f t="shared" si="5"/>
        <v>0</v>
      </c>
      <c r="K27" s="1176">
        <v>0.8</v>
      </c>
      <c r="L27" s="1171"/>
      <c r="M27" s="1177">
        <v>400</v>
      </c>
      <c r="N27" s="1176">
        <v>-3</v>
      </c>
      <c r="O27" s="1176">
        <v>-3</v>
      </c>
      <c r="P27" s="1193">
        <f t="shared" si="3"/>
        <v>0</v>
      </c>
      <c r="Q27" s="1195">
        <v>0.6</v>
      </c>
      <c r="R27" s="698"/>
    </row>
    <row r="28" spans="1:18" x14ac:dyDescent="0.25">
      <c r="A28" s="1196">
        <v>250</v>
      </c>
      <c r="B28" s="1197">
        <v>-0.1</v>
      </c>
      <c r="C28" s="1197">
        <v>9.9999999999999995E-7</v>
      </c>
      <c r="D28" s="1175">
        <f t="shared" si="4"/>
        <v>5.0000500000000003E-2</v>
      </c>
      <c r="E28" s="1193">
        <v>0.1</v>
      </c>
      <c r="F28" s="1194"/>
      <c r="G28" s="1177">
        <v>500</v>
      </c>
      <c r="H28" s="1176">
        <v>-2.4</v>
      </c>
      <c r="I28" s="1198" t="s">
        <v>129</v>
      </c>
      <c r="J28" s="1175">
        <f t="shared" si="5"/>
        <v>0</v>
      </c>
      <c r="K28" s="1176">
        <v>0.8</v>
      </c>
      <c r="L28" s="1171"/>
      <c r="M28" s="1177">
        <v>500</v>
      </c>
      <c r="N28" s="1176">
        <v>-3.6</v>
      </c>
      <c r="O28" s="1176">
        <v>-3.6</v>
      </c>
      <c r="P28" s="1193">
        <f t="shared" si="3"/>
        <v>0</v>
      </c>
      <c r="Q28" s="1195">
        <v>0.6</v>
      </c>
      <c r="R28" s="698"/>
    </row>
    <row r="29" spans="1:18" x14ac:dyDescent="0.25">
      <c r="A29" s="1196">
        <v>300</v>
      </c>
      <c r="B29" s="1197">
        <v>0.9</v>
      </c>
      <c r="C29" s="1197">
        <v>-0.6</v>
      </c>
      <c r="D29" s="1175">
        <f>0.5*(MAX(B29:C29)-MIN(B29:C29))</f>
        <v>0.75</v>
      </c>
      <c r="E29" s="1193">
        <v>0.1</v>
      </c>
      <c r="F29" s="1194"/>
      <c r="G29" s="1177">
        <v>600</v>
      </c>
      <c r="H29" s="1176">
        <v>-3.3</v>
      </c>
      <c r="I29" s="1198" t="s">
        <v>129</v>
      </c>
      <c r="J29" s="1175">
        <f>0.5*(MAX(H29:I29)-MIN(H29:I29))</f>
        <v>0</v>
      </c>
      <c r="K29" s="1176">
        <v>0.8</v>
      </c>
      <c r="L29" s="1171"/>
      <c r="M29" s="1177">
        <v>600</v>
      </c>
      <c r="N29" s="1176">
        <v>-4</v>
      </c>
      <c r="O29" s="1176">
        <v>-4</v>
      </c>
      <c r="P29" s="1193">
        <f>0.5*(MAX(N29:O29)-MIN(N29:O29))</f>
        <v>0</v>
      </c>
      <c r="Q29" s="1195">
        <v>0.6</v>
      </c>
      <c r="R29" s="698"/>
    </row>
    <row r="30" spans="1:18" s="165" customFormat="1" x14ac:dyDescent="0.25">
      <c r="A30" s="1196">
        <v>340</v>
      </c>
      <c r="B30" s="1199">
        <v>2.5</v>
      </c>
      <c r="C30" s="1199">
        <v>-1.2</v>
      </c>
      <c r="D30" s="1193">
        <f>0.5*(MAX(B30:C30)-MIN(B30:C30))</f>
        <v>1.85</v>
      </c>
      <c r="E30" s="1193">
        <v>0.1</v>
      </c>
      <c r="F30" s="1194"/>
      <c r="G30" s="1177">
        <v>700</v>
      </c>
      <c r="H30" s="1176">
        <v>-4.3</v>
      </c>
      <c r="I30" s="1198" t="s">
        <v>129</v>
      </c>
      <c r="J30" s="1193">
        <f>0.5*(MAX(H30:I30)-MIN(H30:I30))</f>
        <v>0</v>
      </c>
      <c r="K30" s="1176">
        <v>0.8</v>
      </c>
      <c r="L30" s="1188"/>
      <c r="M30" s="1177">
        <v>700</v>
      </c>
      <c r="N30" s="1176">
        <v>-4.5</v>
      </c>
      <c r="O30" s="1176">
        <v>-4.5</v>
      </c>
      <c r="P30" s="1193">
        <f>0.5*(MAX(N30:O30)-MIN(N30:O30))</f>
        <v>0</v>
      </c>
      <c r="Q30" s="1195">
        <v>0.6</v>
      </c>
      <c r="R30" s="699"/>
    </row>
    <row r="31" spans="1:18" s="165" customFormat="1" x14ac:dyDescent="0.25">
      <c r="A31" s="1196">
        <v>700</v>
      </c>
      <c r="B31" s="1193">
        <f>A32+(A33*A31)</f>
        <v>1.229525451911589</v>
      </c>
      <c r="C31" s="1198">
        <f>B32+(B33*A31)</f>
        <v>-0.5464155894563919</v>
      </c>
      <c r="D31" s="1193">
        <f>0.5*(MAX(B31:C31)-MIN(B31:C31))</f>
        <v>0.88797052068399052</v>
      </c>
      <c r="E31" s="1193">
        <v>0.1</v>
      </c>
      <c r="F31" s="1200"/>
      <c r="G31" s="1178">
        <v>1000</v>
      </c>
      <c r="H31" s="1176">
        <v>-4.3</v>
      </c>
      <c r="I31" s="1198" t="s">
        <v>129</v>
      </c>
      <c r="J31" s="1193">
        <f>0.5*(MAX(H31:I31)-MIN(H31:I31))</f>
        <v>0</v>
      </c>
      <c r="K31" s="1176">
        <v>0.8</v>
      </c>
      <c r="L31" s="1188"/>
      <c r="M31" s="1178">
        <v>1000</v>
      </c>
      <c r="N31" s="1176">
        <v>-4.5</v>
      </c>
      <c r="O31" s="1176">
        <v>-4.5</v>
      </c>
      <c r="P31" s="1193">
        <f>0.5*(MAX(N31:O31)-MIN(N31:O31))</f>
        <v>0</v>
      </c>
      <c r="Q31" s="1195">
        <v>0.6</v>
      </c>
      <c r="R31" s="699"/>
    </row>
    <row r="32" spans="1:18" s="165" customFormat="1" x14ac:dyDescent="0.25">
      <c r="A32" s="1184">
        <f>INTERCEPT(B23:B30,A23:A30)</f>
        <v>1.2679406511350022E-2</v>
      </c>
      <c r="B32" s="1185">
        <f>INTERCEPT(C23:C30,A23:A30)</f>
        <v>0.11845887888291516</v>
      </c>
      <c r="C32" s="1185"/>
      <c r="D32" s="1185"/>
      <c r="E32" s="1185"/>
      <c r="F32" s="1188"/>
      <c r="G32" s="1188"/>
      <c r="H32" s="1188"/>
      <c r="I32" s="1188"/>
      <c r="J32" s="1188"/>
      <c r="K32" s="1188"/>
      <c r="L32" s="1188"/>
      <c r="M32" s="1188"/>
      <c r="N32" s="1188"/>
      <c r="O32" s="1188"/>
      <c r="P32" s="1188"/>
      <c r="Q32" s="1188"/>
      <c r="R32" s="699"/>
    </row>
    <row r="33" spans="1:18" x14ac:dyDescent="0.25">
      <c r="A33" s="1187">
        <f>SLOPE(B23:B30,A23:A30)</f>
        <v>1.7383514934289129E-3</v>
      </c>
      <c r="B33" s="1188">
        <f>SLOPE(C23:C30,A23:A30)</f>
        <v>-9.4982066905615291E-4</v>
      </c>
      <c r="C33" s="1188"/>
      <c r="D33" s="1188"/>
      <c r="E33" s="1188"/>
      <c r="F33" s="1171"/>
      <c r="G33" s="1171"/>
      <c r="H33" s="1171"/>
      <c r="I33" s="1171"/>
      <c r="J33" s="1171"/>
      <c r="K33" s="1171"/>
      <c r="L33" s="1171"/>
      <c r="M33" s="1171"/>
      <c r="N33" s="1171"/>
      <c r="O33" s="1171"/>
      <c r="P33" s="1171"/>
      <c r="Q33" s="1171"/>
      <c r="R33" s="698"/>
    </row>
    <row r="34" spans="1:18" x14ac:dyDescent="0.25">
      <c r="A34" s="1189"/>
      <c r="B34" s="1171"/>
      <c r="C34" s="1171"/>
      <c r="D34" s="1171"/>
      <c r="E34" s="1171"/>
      <c r="F34" s="1171"/>
      <c r="G34" s="1171"/>
      <c r="H34" s="1171"/>
      <c r="I34" s="1171"/>
      <c r="J34" s="1171"/>
      <c r="K34" s="1171"/>
      <c r="L34" s="1171"/>
      <c r="M34" s="1171"/>
      <c r="N34" s="1171"/>
      <c r="O34" s="1171"/>
      <c r="P34" s="1171"/>
      <c r="Q34" s="1171"/>
      <c r="R34" s="698"/>
    </row>
    <row r="35" spans="1:18" x14ac:dyDescent="0.25">
      <c r="A35" s="1189"/>
      <c r="B35" s="1171"/>
      <c r="C35" s="1171"/>
      <c r="D35" s="1171"/>
      <c r="E35" s="1171"/>
      <c r="F35" s="1171"/>
      <c r="G35" s="1171"/>
      <c r="H35" s="1171"/>
      <c r="I35" s="1171"/>
      <c r="J35" s="1171"/>
      <c r="K35" s="1171"/>
      <c r="L35" s="1171"/>
      <c r="M35" s="1171"/>
      <c r="N35" s="1171"/>
      <c r="O35" s="1171"/>
      <c r="P35" s="1171"/>
      <c r="Q35" s="1171"/>
      <c r="R35" s="698"/>
    </row>
    <row r="36" spans="1:18" x14ac:dyDescent="0.25">
      <c r="A36" s="1189"/>
      <c r="B36" s="1171"/>
      <c r="C36" s="1171"/>
      <c r="D36" s="1171"/>
      <c r="E36" s="1171"/>
      <c r="F36" s="1171"/>
      <c r="G36" s="1171"/>
      <c r="H36" s="1171"/>
      <c r="I36" s="1171"/>
      <c r="J36" s="1171"/>
      <c r="K36" s="1171"/>
      <c r="L36" s="1171"/>
      <c r="M36" s="1171"/>
      <c r="N36" s="1171"/>
      <c r="O36" s="1171"/>
      <c r="P36" s="1171"/>
      <c r="Q36" s="1171"/>
      <c r="R36" s="698"/>
    </row>
    <row r="37" spans="1:18" ht="14.4" x14ac:dyDescent="0.3">
      <c r="A37" s="1394" t="s">
        <v>203</v>
      </c>
      <c r="B37" s="1395"/>
      <c r="C37" s="1396"/>
      <c r="D37" s="1388" t="s">
        <v>123</v>
      </c>
      <c r="E37" s="1389" t="s">
        <v>124</v>
      </c>
      <c r="F37" s="1171"/>
      <c r="G37" s="1387" t="s">
        <v>204</v>
      </c>
      <c r="H37" s="1387"/>
      <c r="I37" s="1387"/>
      <c r="J37" s="1388" t="s">
        <v>123</v>
      </c>
      <c r="K37" s="1389" t="s">
        <v>124</v>
      </c>
      <c r="L37" s="1171"/>
      <c r="M37" s="1387" t="s">
        <v>205</v>
      </c>
      <c r="N37" s="1387"/>
      <c r="O37" s="1387"/>
      <c r="P37" s="1388" t="s">
        <v>123</v>
      </c>
      <c r="Q37" s="1389" t="s">
        <v>124</v>
      </c>
      <c r="R37" s="698"/>
    </row>
    <row r="38" spans="1:18" ht="13.8" x14ac:dyDescent="0.25">
      <c r="A38" s="1172" t="s">
        <v>73</v>
      </c>
      <c r="B38" s="1388" t="s">
        <v>127</v>
      </c>
      <c r="C38" s="1388"/>
      <c r="D38" s="1388"/>
      <c r="E38" s="1389"/>
      <c r="F38" s="1171"/>
      <c r="G38" s="1172" t="s">
        <v>73</v>
      </c>
      <c r="H38" s="1388" t="s">
        <v>127</v>
      </c>
      <c r="I38" s="1388"/>
      <c r="J38" s="1388"/>
      <c r="K38" s="1389"/>
      <c r="L38" s="1171"/>
      <c r="M38" s="1172" t="s">
        <v>73</v>
      </c>
      <c r="N38" s="1388" t="s">
        <v>127</v>
      </c>
      <c r="O38" s="1388"/>
      <c r="P38" s="1388"/>
      <c r="Q38" s="1389"/>
      <c r="R38" s="698"/>
    </row>
    <row r="39" spans="1:18" ht="14.4" x14ac:dyDescent="0.25">
      <c r="A39" s="1173" t="s">
        <v>199</v>
      </c>
      <c r="B39" s="1174">
        <v>2018</v>
      </c>
      <c r="C39" s="1191" t="s">
        <v>129</v>
      </c>
      <c r="D39" s="1388"/>
      <c r="E39" s="1389"/>
      <c r="F39" s="1171"/>
      <c r="G39" s="1173" t="s">
        <v>199</v>
      </c>
      <c r="H39" s="1174">
        <v>2020</v>
      </c>
      <c r="I39" s="1174" t="s">
        <v>129</v>
      </c>
      <c r="J39" s="1388"/>
      <c r="K39" s="1389"/>
      <c r="L39" s="1171"/>
      <c r="M39" s="1173" t="s">
        <v>199</v>
      </c>
      <c r="N39" s="1174">
        <v>2020</v>
      </c>
      <c r="O39" s="1174" t="s">
        <v>129</v>
      </c>
      <c r="P39" s="1388"/>
      <c r="Q39" s="1389"/>
      <c r="R39" s="698"/>
    </row>
    <row r="40" spans="1:18" x14ac:dyDescent="0.25">
      <c r="A40" s="1175">
        <v>0</v>
      </c>
      <c r="B40" s="1193">
        <v>9.9999999999999995E-7</v>
      </c>
      <c r="C40" s="1198" t="s">
        <v>129</v>
      </c>
      <c r="D40" s="1175">
        <f t="shared" ref="D40:D45" si="6">0.5*(MAX(B40:C40)-MIN(B40:C40))</f>
        <v>0</v>
      </c>
      <c r="E40" s="1193">
        <v>0.1</v>
      </c>
      <c r="F40" s="1171"/>
      <c r="G40" s="1175">
        <v>0</v>
      </c>
      <c r="H40" s="1175">
        <v>9.9999999999999995E-7</v>
      </c>
      <c r="I40" s="1176" t="s">
        <v>129</v>
      </c>
      <c r="J40" s="1176">
        <f>0.5*(MAX(H40:I40)-MIN(H40:I40))</f>
        <v>0</v>
      </c>
      <c r="K40" s="1175">
        <v>0.5</v>
      </c>
      <c r="L40" s="1171"/>
      <c r="M40" s="1175">
        <v>0</v>
      </c>
      <c r="N40" s="1176">
        <v>9.9999999999999995E-7</v>
      </c>
      <c r="O40" s="1176">
        <v>9.9999999999999995E-7</v>
      </c>
      <c r="P40" s="1176">
        <f>0.5*(MAX(N40:O40)-MIN(N40:O40))</f>
        <v>0</v>
      </c>
      <c r="Q40" s="1176">
        <v>2</v>
      </c>
      <c r="R40" s="698"/>
    </row>
    <row r="41" spans="1:18" x14ac:dyDescent="0.25">
      <c r="A41" s="1196">
        <v>50</v>
      </c>
      <c r="B41" s="1193">
        <v>9.9999999999999995E-7</v>
      </c>
      <c r="C41" s="1193" t="s">
        <v>129</v>
      </c>
      <c r="D41" s="1175">
        <f t="shared" si="6"/>
        <v>0</v>
      </c>
      <c r="E41" s="1193">
        <v>0.1</v>
      </c>
      <c r="F41" s="1171"/>
      <c r="G41" s="1175">
        <v>100</v>
      </c>
      <c r="H41" s="1175">
        <v>-0.3</v>
      </c>
      <c r="I41" s="1176" t="s">
        <v>129</v>
      </c>
      <c r="J41" s="1176">
        <f t="shared" ref="J41:J47" si="7">0.5*(MAX(H41:I41)-MIN(H41:I41))</f>
        <v>0</v>
      </c>
      <c r="K41" s="1175">
        <v>0.5</v>
      </c>
      <c r="L41" s="1171"/>
      <c r="M41" s="1176">
        <v>100</v>
      </c>
      <c r="N41" s="1176">
        <v>-0.2</v>
      </c>
      <c r="O41" s="1176">
        <v>9.9999999999999995E-7</v>
      </c>
      <c r="P41" s="1176">
        <f t="shared" ref="P41:P50" si="8">0.5*(MAX(N41:O41)-MIN(N41:O41))</f>
        <v>0.10000050000000001</v>
      </c>
      <c r="Q41" s="1176">
        <v>2</v>
      </c>
      <c r="R41" s="698"/>
    </row>
    <row r="42" spans="1:18" x14ac:dyDescent="0.25">
      <c r="A42" s="1196">
        <v>100</v>
      </c>
      <c r="B42" s="1193">
        <v>-0.3</v>
      </c>
      <c r="C42" s="1193" t="s">
        <v>129</v>
      </c>
      <c r="D42" s="1175">
        <f t="shared" si="6"/>
        <v>0</v>
      </c>
      <c r="E42" s="1193">
        <v>0.2</v>
      </c>
      <c r="F42" s="1171"/>
      <c r="G42" s="1175">
        <v>200</v>
      </c>
      <c r="H42" s="1175">
        <v>0</v>
      </c>
      <c r="I42" s="1176" t="s">
        <v>129</v>
      </c>
      <c r="J42" s="1176">
        <f t="shared" si="7"/>
        <v>0</v>
      </c>
      <c r="K42" s="1175">
        <v>0.5</v>
      </c>
      <c r="L42" s="1171"/>
      <c r="M42" s="1176">
        <v>200</v>
      </c>
      <c r="N42" s="1176">
        <v>-0.8</v>
      </c>
      <c r="O42" s="1176">
        <v>9.9999999999999995E-7</v>
      </c>
      <c r="P42" s="1176">
        <f t="shared" si="8"/>
        <v>0.40000050000000004</v>
      </c>
      <c r="Q42" s="1176">
        <v>2</v>
      </c>
      <c r="R42" s="698"/>
    </row>
    <row r="43" spans="1:18" x14ac:dyDescent="0.25">
      <c r="A43" s="1196">
        <v>150</v>
      </c>
      <c r="B43" s="1193">
        <v>-0.5</v>
      </c>
      <c r="C43" s="1198" t="s">
        <v>129</v>
      </c>
      <c r="D43" s="1175">
        <f t="shared" si="6"/>
        <v>0</v>
      </c>
      <c r="E43" s="1193">
        <v>0.1</v>
      </c>
      <c r="F43" s="1171"/>
      <c r="G43" s="1175">
        <v>300</v>
      </c>
      <c r="H43" s="1175">
        <v>-0.5</v>
      </c>
      <c r="I43" s="1176" t="s">
        <v>129</v>
      </c>
      <c r="J43" s="1176">
        <f t="shared" si="7"/>
        <v>0</v>
      </c>
      <c r="K43" s="1175">
        <v>0.5</v>
      </c>
      <c r="L43" s="1171"/>
      <c r="M43" s="1176">
        <v>250</v>
      </c>
      <c r="N43" s="1176">
        <v>-1.2</v>
      </c>
      <c r="O43" s="1176">
        <v>9.9999999999999995E-7</v>
      </c>
      <c r="P43" s="1176">
        <f t="shared" si="8"/>
        <v>0.60000049999999994</v>
      </c>
      <c r="Q43" s="1176">
        <v>2</v>
      </c>
      <c r="R43" s="698"/>
    </row>
    <row r="44" spans="1:18" x14ac:dyDescent="0.25">
      <c r="A44" s="1196">
        <v>200</v>
      </c>
      <c r="B44" s="1193">
        <v>-0.5</v>
      </c>
      <c r="C44" s="1198" t="s">
        <v>129</v>
      </c>
      <c r="D44" s="1175">
        <f t="shared" si="6"/>
        <v>0</v>
      </c>
      <c r="E44" s="1193">
        <v>0.1</v>
      </c>
      <c r="F44" s="1171"/>
      <c r="G44" s="1175">
        <v>400</v>
      </c>
      <c r="H44" s="1175">
        <v>-1.5</v>
      </c>
      <c r="I44" s="1176" t="s">
        <v>129</v>
      </c>
      <c r="J44" s="1176">
        <f t="shared" si="7"/>
        <v>0</v>
      </c>
      <c r="K44" s="1175">
        <v>0.5</v>
      </c>
      <c r="L44" s="1171"/>
      <c r="M44" s="1176">
        <v>300</v>
      </c>
      <c r="N44" s="1176">
        <v>-1.3</v>
      </c>
      <c r="O44" s="1176">
        <v>9.9999999999999995E-7</v>
      </c>
      <c r="P44" s="1176">
        <f t="shared" si="8"/>
        <v>0.65000049999999998</v>
      </c>
      <c r="Q44" s="1176">
        <v>2</v>
      </c>
      <c r="R44" s="698"/>
    </row>
    <row r="45" spans="1:18" x14ac:dyDescent="0.25">
      <c r="A45" s="1196">
        <v>250</v>
      </c>
      <c r="B45" s="1193">
        <v>-0.5</v>
      </c>
      <c r="C45" s="1198" t="s">
        <v>129</v>
      </c>
      <c r="D45" s="1175">
        <f t="shared" si="6"/>
        <v>0</v>
      </c>
      <c r="E45" s="1193">
        <v>0.1</v>
      </c>
      <c r="F45" s="1171"/>
      <c r="G45" s="1175">
        <v>500</v>
      </c>
      <c r="H45" s="1175">
        <v>-1.5</v>
      </c>
      <c r="I45" s="1176" t="s">
        <v>129</v>
      </c>
      <c r="J45" s="1176">
        <f t="shared" si="7"/>
        <v>0</v>
      </c>
      <c r="K45" s="1175">
        <v>0.5</v>
      </c>
      <c r="L45" s="1171"/>
      <c r="M45" s="1176">
        <v>350</v>
      </c>
      <c r="N45" s="1176">
        <v>-1.6</v>
      </c>
      <c r="O45" s="1176">
        <v>9.9999999999999995E-7</v>
      </c>
      <c r="P45" s="1176">
        <f t="shared" si="8"/>
        <v>0.8000005</v>
      </c>
      <c r="Q45" s="1176">
        <v>2</v>
      </c>
      <c r="R45" s="698"/>
    </row>
    <row r="46" spans="1:18" x14ac:dyDescent="0.25">
      <c r="A46" s="1196">
        <v>300</v>
      </c>
      <c r="B46" s="1193">
        <v>-0.4</v>
      </c>
      <c r="C46" s="1198" t="s">
        <v>129</v>
      </c>
      <c r="D46" s="1175">
        <f>0.5*(MAX(B46:C46)-MIN(B46:C46))</f>
        <v>0</v>
      </c>
      <c r="E46" s="1193">
        <v>0.1</v>
      </c>
      <c r="F46" s="1171"/>
      <c r="G46" s="1175">
        <v>600</v>
      </c>
      <c r="H46" s="1175">
        <v>-1.9</v>
      </c>
      <c r="I46" s="1176" t="s">
        <v>129</v>
      </c>
      <c r="J46" s="1176">
        <f t="shared" si="7"/>
        <v>0</v>
      </c>
      <c r="K46" s="1175">
        <v>0.5</v>
      </c>
      <c r="L46" s="1171"/>
      <c r="M46" s="1176">
        <v>400</v>
      </c>
      <c r="N46" s="1176">
        <v>-1.6</v>
      </c>
      <c r="O46" s="1176">
        <v>9.9999999999999995E-7</v>
      </c>
      <c r="P46" s="1176">
        <f t="shared" si="8"/>
        <v>0.8000005</v>
      </c>
      <c r="Q46" s="1176">
        <v>2</v>
      </c>
      <c r="R46" s="698"/>
    </row>
    <row r="47" spans="1:18" x14ac:dyDescent="0.25">
      <c r="A47" s="1196">
        <v>340</v>
      </c>
      <c r="B47" s="1193">
        <v>-0.4</v>
      </c>
      <c r="C47" s="1198" t="s">
        <v>129</v>
      </c>
      <c r="D47" s="1175">
        <f>0.5*(MAX(B47:C47)-MIN(B47:C47))</f>
        <v>0</v>
      </c>
      <c r="E47" s="1193">
        <v>0.2</v>
      </c>
      <c r="F47" s="1171"/>
      <c r="G47" s="1175">
        <v>1000</v>
      </c>
      <c r="H47" s="1175">
        <v>-1.9</v>
      </c>
      <c r="I47" s="1176" t="s">
        <v>129</v>
      </c>
      <c r="J47" s="1176">
        <f t="shared" si="7"/>
        <v>0</v>
      </c>
      <c r="K47" s="1175">
        <f>K46</f>
        <v>0.5</v>
      </c>
      <c r="L47" s="1171"/>
      <c r="M47" s="1176">
        <v>500</v>
      </c>
      <c r="N47" s="1176">
        <v>-1.8</v>
      </c>
      <c r="O47" s="1176">
        <v>9.9999999999999995E-7</v>
      </c>
      <c r="P47" s="1176">
        <f t="shared" si="8"/>
        <v>0.90000049999999998</v>
      </c>
      <c r="Q47" s="1176">
        <v>2</v>
      </c>
      <c r="R47" s="698"/>
    </row>
    <row r="48" spans="1:18" s="165" customFormat="1" x14ac:dyDescent="0.25">
      <c r="A48" s="1196">
        <v>700</v>
      </c>
      <c r="B48" s="1193">
        <v>-0.4</v>
      </c>
      <c r="C48" s="1198" t="s">
        <v>129</v>
      </c>
      <c r="D48" s="1175">
        <f>0.5*(MAX(B48:C48)-MIN(B48:C48))</f>
        <v>0</v>
      </c>
      <c r="E48" s="1193">
        <f>E47</f>
        <v>0.2</v>
      </c>
      <c r="F48" s="1188"/>
      <c r="G48" s="1176" t="s">
        <v>129</v>
      </c>
      <c r="H48" s="1176" t="s">
        <v>129</v>
      </c>
      <c r="I48" s="1176" t="s">
        <v>129</v>
      </c>
      <c r="J48" s="1176"/>
      <c r="K48" s="1176"/>
      <c r="L48" s="1188"/>
      <c r="M48" s="1176"/>
      <c r="N48" s="1176"/>
      <c r="O48" s="1176">
        <v>9.9999999999999995E-7</v>
      </c>
      <c r="P48" s="1176">
        <f t="shared" si="8"/>
        <v>0</v>
      </c>
      <c r="Q48" s="1176">
        <v>2</v>
      </c>
      <c r="R48" s="699"/>
    </row>
    <row r="49" spans="1:18" x14ac:dyDescent="0.25">
      <c r="A49" s="1189"/>
      <c r="B49" s="1171"/>
      <c r="C49" s="1171"/>
      <c r="D49" s="1171"/>
      <c r="E49" s="1171"/>
      <c r="F49" s="1171"/>
      <c r="G49" s="1176" t="s">
        <v>129</v>
      </c>
      <c r="H49" s="1176" t="s">
        <v>129</v>
      </c>
      <c r="I49" s="1176" t="s">
        <v>129</v>
      </c>
      <c r="J49" s="1176"/>
      <c r="K49" s="1176"/>
      <c r="L49" s="1171"/>
      <c r="M49" s="1176"/>
      <c r="N49" s="1176"/>
      <c r="O49" s="1176">
        <v>9.9999999999999995E-7</v>
      </c>
      <c r="P49" s="1176">
        <f t="shared" si="8"/>
        <v>0</v>
      </c>
      <c r="Q49" s="1176">
        <v>2</v>
      </c>
      <c r="R49" s="698"/>
    </row>
    <row r="50" spans="1:18" x14ac:dyDescent="0.25">
      <c r="A50" s="1189"/>
      <c r="B50" s="1171"/>
      <c r="C50" s="1171"/>
      <c r="D50" s="1171"/>
      <c r="E50" s="1171"/>
      <c r="F50" s="1171"/>
      <c r="G50" s="1176" t="s">
        <v>129</v>
      </c>
      <c r="H50" s="1176" t="s">
        <v>129</v>
      </c>
      <c r="I50" s="1176" t="s">
        <v>129</v>
      </c>
      <c r="J50" s="1176"/>
      <c r="K50" s="1176"/>
      <c r="L50" s="1171"/>
      <c r="M50" s="1176"/>
      <c r="N50" s="1176"/>
      <c r="O50" s="1176">
        <v>9.9999999999999995E-7</v>
      </c>
      <c r="P50" s="1176">
        <f t="shared" si="8"/>
        <v>0</v>
      </c>
      <c r="Q50" s="1176">
        <v>2</v>
      </c>
      <c r="R50" s="698"/>
    </row>
    <row r="51" spans="1:18" x14ac:dyDescent="0.25">
      <c r="A51" s="1189"/>
      <c r="B51" s="1171"/>
      <c r="C51" s="1171"/>
      <c r="D51" s="1171"/>
      <c r="E51" s="1171"/>
      <c r="F51" s="1171"/>
      <c r="G51" s="1171"/>
      <c r="H51" s="1171"/>
      <c r="I51" s="1171"/>
      <c r="J51" s="1171"/>
      <c r="K51" s="1171"/>
      <c r="L51" s="1171"/>
      <c r="M51" s="1188"/>
      <c r="N51" s="1188"/>
      <c r="O51" s="1188"/>
      <c r="P51" s="1188"/>
      <c r="Q51" s="1188"/>
      <c r="R51" s="698"/>
    </row>
    <row r="52" spans="1:18" x14ac:dyDescent="0.25">
      <c r="A52" s="1189"/>
      <c r="B52" s="1171"/>
      <c r="C52" s="1171"/>
      <c r="D52" s="1171"/>
      <c r="E52" s="1171"/>
      <c r="F52" s="1171"/>
      <c r="G52" s="1171"/>
      <c r="H52" s="1171"/>
      <c r="I52" s="1171"/>
      <c r="J52" s="1171"/>
      <c r="K52" s="1171"/>
      <c r="L52" s="1171"/>
      <c r="M52" s="1171"/>
      <c r="N52" s="1171"/>
      <c r="O52" s="1171"/>
      <c r="P52" s="1171"/>
      <c r="Q52" s="1171"/>
      <c r="R52" s="698"/>
    </row>
    <row r="53" spans="1:18" x14ac:dyDescent="0.25">
      <c r="A53" s="1189"/>
      <c r="B53" s="1171"/>
      <c r="C53" s="1171"/>
      <c r="D53" s="1171"/>
      <c r="E53" s="1171"/>
      <c r="F53" s="1171"/>
      <c r="G53" s="1171"/>
      <c r="H53" s="1171"/>
      <c r="I53" s="1171"/>
      <c r="J53" s="1171"/>
      <c r="K53" s="1171"/>
      <c r="L53" s="1171"/>
      <c r="M53" s="1171"/>
      <c r="N53" s="1171"/>
      <c r="O53" s="1171"/>
      <c r="P53" s="1171"/>
      <c r="Q53" s="1171"/>
      <c r="R53" s="698"/>
    </row>
    <row r="54" spans="1:18" x14ac:dyDescent="0.25">
      <c r="A54" s="1189"/>
      <c r="B54" s="1171"/>
      <c r="C54" s="1171"/>
      <c r="D54" s="1171"/>
      <c r="E54" s="1171"/>
      <c r="F54" s="1171"/>
      <c r="G54" s="1171"/>
      <c r="H54" s="1171"/>
      <c r="I54" s="1171"/>
      <c r="J54" s="1171"/>
      <c r="K54" s="1171"/>
      <c r="L54" s="1171"/>
      <c r="M54" s="1171"/>
      <c r="N54" s="1171"/>
      <c r="O54" s="1171"/>
      <c r="P54" s="1171"/>
      <c r="Q54" s="1171"/>
      <c r="R54" s="698"/>
    </row>
    <row r="55" spans="1:18" ht="14.4" x14ac:dyDescent="0.3">
      <c r="A55" s="1386" t="s">
        <v>206</v>
      </c>
      <c r="B55" s="1387"/>
      <c r="C55" s="1387"/>
      <c r="D55" s="1388" t="s">
        <v>123</v>
      </c>
      <c r="E55" s="1389" t="s">
        <v>124</v>
      </c>
      <c r="F55" s="1171"/>
      <c r="G55" s="1387" t="s">
        <v>207</v>
      </c>
      <c r="H55" s="1387"/>
      <c r="I55" s="1387"/>
      <c r="J55" s="1388" t="s">
        <v>123</v>
      </c>
      <c r="K55" s="1389" t="s">
        <v>124</v>
      </c>
      <c r="L55" s="1171"/>
      <c r="M55" s="1387" t="s">
        <v>208</v>
      </c>
      <c r="N55" s="1387"/>
      <c r="O55" s="1387"/>
      <c r="P55" s="1388" t="s">
        <v>123</v>
      </c>
      <c r="Q55" s="1389" t="s">
        <v>124</v>
      </c>
      <c r="R55" s="698"/>
    </row>
    <row r="56" spans="1:18" ht="13.8" x14ac:dyDescent="0.25">
      <c r="A56" s="1172" t="s">
        <v>73</v>
      </c>
      <c r="B56" s="1388" t="s">
        <v>127</v>
      </c>
      <c r="C56" s="1388"/>
      <c r="D56" s="1388"/>
      <c r="E56" s="1389"/>
      <c r="F56" s="1171"/>
      <c r="G56" s="1201" t="s">
        <v>73</v>
      </c>
      <c r="H56" s="1388" t="s">
        <v>127</v>
      </c>
      <c r="I56" s="1388"/>
      <c r="J56" s="1388"/>
      <c r="K56" s="1389"/>
      <c r="L56" s="1171"/>
      <c r="M56" s="1172" t="s">
        <v>73</v>
      </c>
      <c r="N56" s="1388" t="s">
        <v>127</v>
      </c>
      <c r="O56" s="1388"/>
      <c r="P56" s="1388"/>
      <c r="Q56" s="1389"/>
      <c r="R56" s="698"/>
    </row>
    <row r="57" spans="1:18" ht="14.4" x14ac:dyDescent="0.25">
      <c r="A57" s="1173" t="s">
        <v>199</v>
      </c>
      <c r="B57" s="1174">
        <v>2020</v>
      </c>
      <c r="C57" s="1174" t="s">
        <v>129</v>
      </c>
      <c r="D57" s="1388"/>
      <c r="E57" s="1389"/>
      <c r="F57" s="1171"/>
      <c r="G57" s="1173" t="s">
        <v>199</v>
      </c>
      <c r="H57" s="1174">
        <v>2020</v>
      </c>
      <c r="I57" s="1174" t="s">
        <v>129</v>
      </c>
      <c r="J57" s="1388"/>
      <c r="K57" s="1389"/>
      <c r="L57" s="1171"/>
      <c r="M57" s="1173" t="s">
        <v>199</v>
      </c>
      <c r="N57" s="1174">
        <v>2020</v>
      </c>
      <c r="O57" s="1174" t="s">
        <v>129</v>
      </c>
      <c r="P57" s="1388"/>
      <c r="Q57" s="1389"/>
      <c r="R57" s="698"/>
    </row>
    <row r="58" spans="1:18" x14ac:dyDescent="0.25">
      <c r="A58" s="1175">
        <v>0</v>
      </c>
      <c r="B58" s="1175">
        <v>9.9999999999999995E-7</v>
      </c>
      <c r="C58" s="1176" t="s">
        <v>129</v>
      </c>
      <c r="D58" s="1176">
        <f>0.5*(MAX(B58:C58)-MIN(B58:C58))</f>
        <v>0</v>
      </c>
      <c r="E58" s="1175">
        <v>0.5</v>
      </c>
      <c r="F58" s="1171"/>
      <c r="G58" s="1175">
        <v>0</v>
      </c>
      <c r="H58" s="1176">
        <v>9.9999999999999995E-7</v>
      </c>
      <c r="I58" s="1176" t="s">
        <v>129</v>
      </c>
      <c r="J58" s="1176">
        <f>0.5*(MAX(H58:I58)-MIN(H58:I58))</f>
        <v>0</v>
      </c>
      <c r="K58" s="1176">
        <v>0.6</v>
      </c>
      <c r="L58" s="1171"/>
      <c r="M58" s="1175">
        <v>0</v>
      </c>
      <c r="N58" s="1175">
        <v>9.9999999999999995E-7</v>
      </c>
      <c r="O58" s="1176" t="s">
        <v>129</v>
      </c>
      <c r="P58" s="1176">
        <f>0.5*(MAX(N58:O58)-MIN(N58:O58))</f>
        <v>0</v>
      </c>
      <c r="Q58" s="1175">
        <v>1.5</v>
      </c>
      <c r="R58" s="698"/>
    </row>
    <row r="59" spans="1:18" x14ac:dyDescent="0.25">
      <c r="A59" s="1175">
        <v>100</v>
      </c>
      <c r="B59" s="1175">
        <v>-0.3</v>
      </c>
      <c r="C59" s="1176" t="s">
        <v>129</v>
      </c>
      <c r="D59" s="1176">
        <f t="shared" ref="D59:D65" si="9">0.5*(MAX(B59:C59)-MIN(B59:C59))</f>
        <v>0</v>
      </c>
      <c r="E59" s="1175">
        <v>0.5</v>
      </c>
      <c r="F59" s="1171"/>
      <c r="G59" s="1177">
        <v>100</v>
      </c>
      <c r="H59" s="1176">
        <v>-0.9</v>
      </c>
      <c r="I59" s="1176" t="s">
        <v>129</v>
      </c>
      <c r="J59" s="1176">
        <f t="shared" ref="J59:J66" si="10">0.5*(MAX(H59:I59)-MIN(H59:I59))</f>
        <v>0</v>
      </c>
      <c r="K59" s="1176">
        <v>0.6</v>
      </c>
      <c r="L59" s="1171"/>
      <c r="M59" s="1175">
        <v>100</v>
      </c>
      <c r="N59" s="1175">
        <v>0.8</v>
      </c>
      <c r="O59" s="1176" t="s">
        <v>129</v>
      </c>
      <c r="P59" s="1176">
        <f t="shared" ref="P59:P65" si="11">0.5*(MAX(N59:O59)-MIN(N59:O59))</f>
        <v>0</v>
      </c>
      <c r="Q59" s="1175">
        <v>1.5</v>
      </c>
      <c r="R59" s="698"/>
    </row>
    <row r="60" spans="1:18" x14ac:dyDescent="0.25">
      <c r="A60" s="1175">
        <v>200</v>
      </c>
      <c r="B60" s="1175">
        <v>9.9999999999999995E-7</v>
      </c>
      <c r="C60" s="1176" t="s">
        <v>129</v>
      </c>
      <c r="D60" s="1176">
        <f t="shared" si="9"/>
        <v>0</v>
      </c>
      <c r="E60" s="1175">
        <v>0.5</v>
      </c>
      <c r="F60" s="1171"/>
      <c r="G60" s="1177">
        <v>200</v>
      </c>
      <c r="H60" s="1176">
        <v>-1.7</v>
      </c>
      <c r="I60" s="1176" t="s">
        <v>129</v>
      </c>
      <c r="J60" s="1176">
        <f t="shared" si="10"/>
        <v>0</v>
      </c>
      <c r="K60" s="1176">
        <v>0.6</v>
      </c>
      <c r="L60" s="1171"/>
      <c r="M60" s="1175">
        <v>200</v>
      </c>
      <c r="N60" s="1175">
        <v>0.7</v>
      </c>
      <c r="O60" s="1176" t="s">
        <v>129</v>
      </c>
      <c r="P60" s="1176">
        <f t="shared" si="11"/>
        <v>0</v>
      </c>
      <c r="Q60" s="1175">
        <v>1.5</v>
      </c>
      <c r="R60" s="698"/>
    </row>
    <row r="61" spans="1:18" x14ac:dyDescent="0.25">
      <c r="A61" s="1175">
        <v>300</v>
      </c>
      <c r="B61" s="1175">
        <v>-0.5</v>
      </c>
      <c r="C61" s="1176" t="s">
        <v>129</v>
      </c>
      <c r="D61" s="1176">
        <f t="shared" si="9"/>
        <v>0</v>
      </c>
      <c r="E61" s="1175">
        <v>0.5</v>
      </c>
      <c r="F61" s="1171"/>
      <c r="G61" s="1177">
        <v>300</v>
      </c>
      <c r="H61" s="1176">
        <v>-2.4</v>
      </c>
      <c r="I61" s="1176" t="s">
        <v>129</v>
      </c>
      <c r="J61" s="1176">
        <f t="shared" si="10"/>
        <v>0</v>
      </c>
      <c r="K61" s="1176">
        <v>0.6</v>
      </c>
      <c r="L61" s="1171"/>
      <c r="M61" s="1175">
        <v>300</v>
      </c>
      <c r="N61" s="1175">
        <v>0.8</v>
      </c>
      <c r="O61" s="1176" t="s">
        <v>129</v>
      </c>
      <c r="P61" s="1176">
        <f t="shared" si="11"/>
        <v>0</v>
      </c>
      <c r="Q61" s="1175">
        <v>1.5</v>
      </c>
      <c r="R61" s="698"/>
    </row>
    <row r="62" spans="1:18" x14ac:dyDescent="0.25">
      <c r="A62" s="1175">
        <v>400</v>
      </c>
      <c r="B62" s="1175">
        <v>-1.5</v>
      </c>
      <c r="C62" s="1176" t="s">
        <v>129</v>
      </c>
      <c r="D62" s="1176">
        <f t="shared" si="9"/>
        <v>0</v>
      </c>
      <c r="E62" s="1175">
        <v>0.5</v>
      </c>
      <c r="F62" s="1171"/>
      <c r="G62" s="1177">
        <v>400</v>
      </c>
      <c r="H62" s="1176">
        <v>-3</v>
      </c>
      <c r="I62" s="1176" t="s">
        <v>129</v>
      </c>
      <c r="J62" s="1176">
        <f t="shared" si="10"/>
        <v>0</v>
      </c>
      <c r="K62" s="1176">
        <v>0.6</v>
      </c>
      <c r="L62" s="1171"/>
      <c r="M62" s="1175">
        <v>400</v>
      </c>
      <c r="N62" s="1175">
        <v>0.9</v>
      </c>
      <c r="O62" s="1176" t="s">
        <v>129</v>
      </c>
      <c r="P62" s="1176">
        <f t="shared" si="11"/>
        <v>0</v>
      </c>
      <c r="Q62" s="1175">
        <v>1.5</v>
      </c>
      <c r="R62" s="698"/>
    </row>
    <row r="63" spans="1:18" x14ac:dyDescent="0.25">
      <c r="A63" s="1175">
        <v>500</v>
      </c>
      <c r="B63" s="1175">
        <v>-1.5</v>
      </c>
      <c r="C63" s="1176" t="s">
        <v>129</v>
      </c>
      <c r="D63" s="1176">
        <f t="shared" si="9"/>
        <v>0</v>
      </c>
      <c r="E63" s="1175">
        <v>0.5</v>
      </c>
      <c r="F63" s="1171"/>
      <c r="G63" s="1177">
        <v>500</v>
      </c>
      <c r="H63" s="1176">
        <v>-3.6</v>
      </c>
      <c r="I63" s="1176" t="s">
        <v>129</v>
      </c>
      <c r="J63" s="1176">
        <f t="shared" si="10"/>
        <v>0</v>
      </c>
      <c r="K63" s="1176">
        <v>0.6</v>
      </c>
      <c r="L63" s="1171"/>
      <c r="M63" s="1175">
        <v>500</v>
      </c>
      <c r="N63" s="1175">
        <v>1</v>
      </c>
      <c r="O63" s="1176" t="s">
        <v>129</v>
      </c>
      <c r="P63" s="1176">
        <f t="shared" si="11"/>
        <v>0</v>
      </c>
      <c r="Q63" s="1175">
        <v>1.5</v>
      </c>
      <c r="R63" s="698"/>
    </row>
    <row r="64" spans="1:18" x14ac:dyDescent="0.25">
      <c r="A64" s="1175">
        <v>600</v>
      </c>
      <c r="B64" s="1175">
        <v>-1.9</v>
      </c>
      <c r="C64" s="1176" t="s">
        <v>129</v>
      </c>
      <c r="D64" s="1176">
        <f t="shared" si="9"/>
        <v>0</v>
      </c>
      <c r="E64" s="1175">
        <v>0.5</v>
      </c>
      <c r="F64" s="1171"/>
      <c r="G64" s="1177">
        <v>600</v>
      </c>
      <c r="H64" s="1176">
        <v>-4</v>
      </c>
      <c r="I64" s="1176" t="s">
        <v>129</v>
      </c>
      <c r="J64" s="1176">
        <f t="shared" si="10"/>
        <v>0</v>
      </c>
      <c r="K64" s="1176">
        <v>0.6</v>
      </c>
      <c r="L64" s="1171"/>
      <c r="M64" s="1175">
        <v>600</v>
      </c>
      <c r="N64" s="1175">
        <v>1</v>
      </c>
      <c r="O64" s="1176" t="s">
        <v>129</v>
      </c>
      <c r="P64" s="1176">
        <f t="shared" si="11"/>
        <v>0</v>
      </c>
      <c r="Q64" s="1175">
        <v>1.5</v>
      </c>
      <c r="R64" s="698"/>
    </row>
    <row r="65" spans="1:18" x14ac:dyDescent="0.25">
      <c r="A65" s="1175">
        <v>1000</v>
      </c>
      <c r="B65" s="1175">
        <f>B64</f>
        <v>-1.9</v>
      </c>
      <c r="C65" s="1176" t="s">
        <v>129</v>
      </c>
      <c r="D65" s="1176">
        <f t="shared" si="9"/>
        <v>0</v>
      </c>
      <c r="E65" s="1175">
        <f>E64</f>
        <v>0.5</v>
      </c>
      <c r="F65" s="1171"/>
      <c r="G65" s="1177">
        <v>700</v>
      </c>
      <c r="H65" s="1176">
        <v>-4.5</v>
      </c>
      <c r="I65" s="1176" t="s">
        <v>129</v>
      </c>
      <c r="J65" s="1176">
        <f t="shared" si="10"/>
        <v>0</v>
      </c>
      <c r="K65" s="1176">
        <v>0.6</v>
      </c>
      <c r="L65" s="1171"/>
      <c r="M65" s="1175">
        <v>1000</v>
      </c>
      <c r="N65" s="1175">
        <f>N64</f>
        <v>1</v>
      </c>
      <c r="O65" s="1176" t="s">
        <v>129</v>
      </c>
      <c r="P65" s="1176">
        <f t="shared" si="11"/>
        <v>0</v>
      </c>
      <c r="Q65" s="1175">
        <f>Q64</f>
        <v>1.5</v>
      </c>
      <c r="R65" s="698"/>
    </row>
    <row r="66" spans="1:18" x14ac:dyDescent="0.25">
      <c r="A66" s="1176" t="s">
        <v>129</v>
      </c>
      <c r="B66" s="1176" t="s">
        <v>129</v>
      </c>
      <c r="C66" s="1176" t="s">
        <v>129</v>
      </c>
      <c r="D66" s="1176"/>
      <c r="E66" s="1176"/>
      <c r="F66" s="1171"/>
      <c r="G66" s="1178">
        <v>1000</v>
      </c>
      <c r="H66" s="1176">
        <v>-4.5</v>
      </c>
      <c r="I66" s="1176" t="s">
        <v>129</v>
      </c>
      <c r="J66" s="1176">
        <f t="shared" si="10"/>
        <v>0</v>
      </c>
      <c r="K66" s="1176">
        <v>0.6</v>
      </c>
      <c r="L66" s="1171"/>
      <c r="M66" s="1176" t="s">
        <v>129</v>
      </c>
      <c r="N66" s="1176" t="s">
        <v>129</v>
      </c>
      <c r="O66" s="1176" t="s">
        <v>129</v>
      </c>
      <c r="P66" s="1176"/>
      <c r="Q66" s="1176"/>
      <c r="R66" s="698"/>
    </row>
    <row r="67" spans="1:18" x14ac:dyDescent="0.25">
      <c r="A67" s="1176" t="s">
        <v>129</v>
      </c>
      <c r="B67" s="1176" t="s">
        <v>129</v>
      </c>
      <c r="C67" s="1176" t="s">
        <v>129</v>
      </c>
      <c r="D67" s="1176"/>
      <c r="E67" s="1176"/>
      <c r="F67" s="1171"/>
      <c r="G67" s="1176" t="s">
        <v>129</v>
      </c>
      <c r="H67" s="1176" t="s">
        <v>129</v>
      </c>
      <c r="I67" s="1176" t="s">
        <v>129</v>
      </c>
      <c r="J67" s="1176"/>
      <c r="K67" s="1176"/>
      <c r="L67" s="1171"/>
      <c r="M67" s="1176" t="s">
        <v>129</v>
      </c>
      <c r="N67" s="1176" t="s">
        <v>129</v>
      </c>
      <c r="O67" s="1176" t="s">
        <v>129</v>
      </c>
      <c r="P67" s="1176"/>
      <c r="Q67" s="1176"/>
      <c r="R67" s="698"/>
    </row>
    <row r="68" spans="1:18" x14ac:dyDescent="0.25">
      <c r="A68" s="1175">
        <v>9.9999999999999995E-7</v>
      </c>
      <c r="B68" s="1176" t="s">
        <v>129</v>
      </c>
      <c r="C68" s="1176" t="s">
        <v>129</v>
      </c>
      <c r="D68" s="1176"/>
      <c r="E68" s="1176"/>
      <c r="F68" s="1171"/>
      <c r="G68" s="1176" t="s">
        <v>129</v>
      </c>
      <c r="H68" s="1176" t="s">
        <v>129</v>
      </c>
      <c r="I68" s="1176" t="s">
        <v>129</v>
      </c>
      <c r="J68" s="1176"/>
      <c r="K68" s="1176"/>
      <c r="L68" s="1171"/>
      <c r="M68" s="1176" t="s">
        <v>129</v>
      </c>
      <c r="N68" s="1176" t="s">
        <v>129</v>
      </c>
      <c r="O68" s="1176" t="s">
        <v>129</v>
      </c>
      <c r="P68" s="1176"/>
      <c r="Q68" s="1176"/>
      <c r="R68" s="698"/>
    </row>
    <row r="69" spans="1:18" x14ac:dyDescent="0.25">
      <c r="A69" s="1189"/>
      <c r="B69" s="1171"/>
      <c r="C69" s="1171"/>
      <c r="D69" s="1171"/>
      <c r="E69" s="1171"/>
      <c r="F69" s="1171"/>
      <c r="G69" s="1171"/>
      <c r="H69" s="1171"/>
      <c r="I69" s="1171"/>
      <c r="J69" s="1171"/>
      <c r="K69" s="1171"/>
      <c r="L69" s="1171"/>
      <c r="M69" s="1188"/>
      <c r="N69" s="1188"/>
      <c r="O69" s="1188"/>
      <c r="P69" s="1188"/>
      <c r="Q69" s="1188"/>
      <c r="R69" s="698"/>
    </row>
    <row r="70" spans="1:18" x14ac:dyDescent="0.25">
      <c r="A70" s="1189"/>
      <c r="B70" s="1171"/>
      <c r="C70" s="1171"/>
      <c r="D70" s="1171"/>
      <c r="E70" s="1171"/>
      <c r="F70" s="1171"/>
      <c r="G70" s="1171"/>
      <c r="H70" s="1171"/>
      <c r="I70" s="1171"/>
      <c r="J70" s="1171"/>
      <c r="K70" s="1171"/>
      <c r="L70" s="1171"/>
      <c r="M70" s="1188"/>
      <c r="N70" s="1188"/>
      <c r="O70" s="1188"/>
      <c r="P70" s="1188"/>
      <c r="Q70" s="1188"/>
      <c r="R70" s="698"/>
    </row>
    <row r="71" spans="1:18" x14ac:dyDescent="0.25">
      <c r="A71" s="1189"/>
      <c r="B71" s="1171"/>
      <c r="C71" s="1171"/>
      <c r="D71" s="1171"/>
      <c r="E71" s="1171"/>
      <c r="F71" s="1171"/>
      <c r="G71" s="1171"/>
      <c r="H71" s="1171"/>
      <c r="I71" s="1171"/>
      <c r="J71" s="1171"/>
      <c r="K71" s="1171"/>
      <c r="L71" s="1171"/>
      <c r="M71" s="1171"/>
      <c r="N71" s="1171"/>
      <c r="O71" s="1171"/>
      <c r="P71" s="1171"/>
      <c r="Q71" s="1171"/>
      <c r="R71" s="698"/>
    </row>
    <row r="72" spans="1:18" ht="14.4" x14ac:dyDescent="0.3">
      <c r="A72" s="1386" t="str">
        <f>' Input Data Tekanan Hisap'!A160</f>
        <v>Digital Pressure Meter, Merek : Fluke, Model : DPM4 2G, SN :</v>
      </c>
      <c r="B72" s="1387"/>
      <c r="C72" s="1387"/>
      <c r="D72" s="1388" t="s">
        <v>123</v>
      </c>
      <c r="E72" s="1389" t="s">
        <v>124</v>
      </c>
      <c r="F72" s="1171"/>
      <c r="G72" s="1387" t="str">
        <f>' Input Data Tekanan Hisap'!A161</f>
        <v>Digital Pressure Meter, Merek : Fluke, Model : DPM4 2G, SN :</v>
      </c>
      <c r="H72" s="1387"/>
      <c r="I72" s="1387"/>
      <c r="J72" s="1388" t="s">
        <v>123</v>
      </c>
      <c r="K72" s="1389" t="s">
        <v>124</v>
      </c>
      <c r="L72" s="1171"/>
      <c r="M72" s="1387" t="str">
        <f>' Input Data Tekanan Hisap'!A162</f>
        <v>Digital Pressure Meter, Merek : Fluke, Model : DPM4 2H, SN :</v>
      </c>
      <c r="N72" s="1387"/>
      <c r="O72" s="1387"/>
      <c r="P72" s="1388" t="s">
        <v>123</v>
      </c>
      <c r="Q72" s="1389" t="s">
        <v>124</v>
      </c>
      <c r="R72" s="698"/>
    </row>
    <row r="73" spans="1:18" ht="13.8" x14ac:dyDescent="0.25">
      <c r="A73" s="1172" t="s">
        <v>73</v>
      </c>
      <c r="B73" s="1388" t="s">
        <v>127</v>
      </c>
      <c r="C73" s="1388"/>
      <c r="D73" s="1388"/>
      <c r="E73" s="1389"/>
      <c r="F73" s="1171"/>
      <c r="G73" s="1172" t="s">
        <v>73</v>
      </c>
      <c r="H73" s="1388" t="s">
        <v>127</v>
      </c>
      <c r="I73" s="1388"/>
      <c r="J73" s="1388"/>
      <c r="K73" s="1389"/>
      <c r="L73" s="1171"/>
      <c r="M73" s="1172" t="s">
        <v>73</v>
      </c>
      <c r="N73" s="1388" t="s">
        <v>127</v>
      </c>
      <c r="O73" s="1388"/>
      <c r="P73" s="1388"/>
      <c r="Q73" s="1389"/>
      <c r="R73" s="698"/>
    </row>
    <row r="74" spans="1:18" ht="14.4" x14ac:dyDescent="0.25">
      <c r="A74" s="1173" t="s">
        <v>199</v>
      </c>
      <c r="B74" s="1174">
        <v>2020</v>
      </c>
      <c r="C74" s="1174" t="s">
        <v>129</v>
      </c>
      <c r="D74" s="1388"/>
      <c r="E74" s="1389"/>
      <c r="F74" s="1171"/>
      <c r="G74" s="1173" t="s">
        <v>199</v>
      </c>
      <c r="H74" s="1174">
        <v>2020</v>
      </c>
      <c r="I74" s="1174" t="s">
        <v>129</v>
      </c>
      <c r="J74" s="1388"/>
      <c r="K74" s="1389"/>
      <c r="L74" s="1171"/>
      <c r="M74" s="1173" t="s">
        <v>199</v>
      </c>
      <c r="N74" s="1174">
        <v>2020</v>
      </c>
      <c r="O74" s="1174" t="s">
        <v>129</v>
      </c>
      <c r="P74" s="1388"/>
      <c r="Q74" s="1389"/>
      <c r="R74" s="698"/>
    </row>
    <row r="75" spans="1:18" x14ac:dyDescent="0.25">
      <c r="A75" s="1175">
        <v>0</v>
      </c>
      <c r="B75" s="1175">
        <v>9.9999999999999995E-7</v>
      </c>
      <c r="C75" s="1176" t="s">
        <v>129</v>
      </c>
      <c r="D75" s="1176">
        <f>0.5*(MAX(B75:C75)-MIN(B75:C75))</f>
        <v>0</v>
      </c>
      <c r="E75" s="1175">
        <v>1.5</v>
      </c>
      <c r="F75" s="1171"/>
      <c r="G75" s="1175">
        <v>0</v>
      </c>
      <c r="H75" s="1175">
        <v>9.9999999999999995E-7</v>
      </c>
      <c r="I75" s="1176" t="s">
        <v>129</v>
      </c>
      <c r="J75" s="1176">
        <f>0.5*(MAX(H75:I75)-MIN(H75:I75))</f>
        <v>0</v>
      </c>
      <c r="K75" s="1175">
        <v>1.5</v>
      </c>
      <c r="L75" s="1171"/>
      <c r="M75" s="1175">
        <v>0</v>
      </c>
      <c r="N75" s="1176">
        <v>9.9999999999999995E-7</v>
      </c>
      <c r="O75" s="1176" t="s">
        <v>129</v>
      </c>
      <c r="P75" s="1176">
        <f>0.5*(MAX(N75:O75)-MIN(N75:O75))</f>
        <v>0</v>
      </c>
      <c r="Q75" s="1176">
        <v>9.9999999999999995E-7</v>
      </c>
      <c r="R75" s="698"/>
    </row>
    <row r="76" spans="1:18" x14ac:dyDescent="0.25">
      <c r="A76" s="1175">
        <v>100</v>
      </c>
      <c r="B76" s="1175">
        <v>-0.8</v>
      </c>
      <c r="C76" s="1176" t="s">
        <v>129</v>
      </c>
      <c r="D76" s="1176">
        <f t="shared" ref="D76:D82" si="12">0.5*(MAX(B76:C76)-MIN(B76:C76))</f>
        <v>0</v>
      </c>
      <c r="E76" s="1175">
        <v>1.5</v>
      </c>
      <c r="F76" s="1171"/>
      <c r="G76" s="1175">
        <v>100</v>
      </c>
      <c r="H76" s="1175">
        <v>-0.2</v>
      </c>
      <c r="I76" s="1176" t="s">
        <v>129</v>
      </c>
      <c r="J76" s="1176">
        <f t="shared" ref="J76:J82" si="13">0.5*(MAX(H76:I76)-MIN(H76:I76))</f>
        <v>0</v>
      </c>
      <c r="K76" s="1175">
        <v>1.5</v>
      </c>
      <c r="L76" s="1171"/>
      <c r="M76" s="1175">
        <v>100</v>
      </c>
      <c r="N76" s="1176">
        <v>9.9999999999999995E-7</v>
      </c>
      <c r="O76" s="1176" t="s">
        <v>129</v>
      </c>
      <c r="P76" s="1176">
        <f t="shared" ref="P76:P82" si="14">0.5*(MAX(N76:O76)-MIN(N76:O76))</f>
        <v>0</v>
      </c>
      <c r="Q76" s="1176">
        <v>9.9999999999999995E-7</v>
      </c>
      <c r="R76" s="698"/>
    </row>
    <row r="77" spans="1:18" x14ac:dyDescent="0.25">
      <c r="A77" s="1175">
        <v>200</v>
      </c>
      <c r="B77" s="1175">
        <v>-0.4</v>
      </c>
      <c r="C77" s="1176" t="s">
        <v>129</v>
      </c>
      <c r="D77" s="1176">
        <f t="shared" si="12"/>
        <v>0</v>
      </c>
      <c r="E77" s="1175">
        <v>1.5</v>
      </c>
      <c r="F77" s="1171"/>
      <c r="G77" s="1175">
        <v>200</v>
      </c>
      <c r="H77" s="1175">
        <v>-0.8</v>
      </c>
      <c r="I77" s="1176" t="s">
        <v>129</v>
      </c>
      <c r="J77" s="1176">
        <f t="shared" si="13"/>
        <v>0</v>
      </c>
      <c r="K77" s="1175">
        <v>1.5</v>
      </c>
      <c r="L77" s="1171"/>
      <c r="M77" s="1175">
        <v>200</v>
      </c>
      <c r="N77" s="1176">
        <v>9.9999999999999995E-7</v>
      </c>
      <c r="O77" s="1176" t="s">
        <v>129</v>
      </c>
      <c r="P77" s="1176">
        <f t="shared" si="14"/>
        <v>0</v>
      </c>
      <c r="Q77" s="1176">
        <v>9.9999999999999995E-7</v>
      </c>
      <c r="R77" s="698"/>
    </row>
    <row r="78" spans="1:18" x14ac:dyDescent="0.25">
      <c r="A78" s="1175">
        <v>300</v>
      </c>
      <c r="B78" s="1175">
        <v>-0.3</v>
      </c>
      <c r="C78" s="1176" t="s">
        <v>129</v>
      </c>
      <c r="D78" s="1176">
        <f t="shared" si="12"/>
        <v>0</v>
      </c>
      <c r="E78" s="1175">
        <v>1.5</v>
      </c>
      <c r="F78" s="1171"/>
      <c r="G78" s="1175">
        <v>300</v>
      </c>
      <c r="H78" s="1175">
        <v>-1.2</v>
      </c>
      <c r="I78" s="1176" t="s">
        <v>129</v>
      </c>
      <c r="J78" s="1176">
        <f t="shared" si="13"/>
        <v>0</v>
      </c>
      <c r="K78" s="1175">
        <v>1.5</v>
      </c>
      <c r="L78" s="1171"/>
      <c r="M78" s="1175">
        <v>300</v>
      </c>
      <c r="N78" s="1176">
        <v>9.9999999999999995E-7</v>
      </c>
      <c r="O78" s="1176" t="s">
        <v>129</v>
      </c>
      <c r="P78" s="1176">
        <f t="shared" si="14"/>
        <v>0</v>
      </c>
      <c r="Q78" s="1176">
        <v>9.9999999999999995E-7</v>
      </c>
      <c r="R78" s="698"/>
    </row>
    <row r="79" spans="1:18" x14ac:dyDescent="0.25">
      <c r="A79" s="1175">
        <v>400</v>
      </c>
      <c r="B79" s="1175">
        <v>-0.4</v>
      </c>
      <c r="C79" s="1176" t="s">
        <v>129</v>
      </c>
      <c r="D79" s="1176">
        <f t="shared" si="12"/>
        <v>0</v>
      </c>
      <c r="E79" s="1175">
        <v>1.5</v>
      </c>
      <c r="F79" s="1171"/>
      <c r="G79" s="1175">
        <v>400</v>
      </c>
      <c r="H79" s="1175">
        <v>-1.3</v>
      </c>
      <c r="I79" s="1176" t="s">
        <v>129</v>
      </c>
      <c r="J79" s="1176">
        <f t="shared" si="13"/>
        <v>0</v>
      </c>
      <c r="K79" s="1175">
        <v>1.5</v>
      </c>
      <c r="L79" s="1171"/>
      <c r="M79" s="1175">
        <v>400</v>
      </c>
      <c r="N79" s="1176">
        <v>9.9999999999999995E-7</v>
      </c>
      <c r="O79" s="1176" t="s">
        <v>129</v>
      </c>
      <c r="P79" s="1176">
        <f t="shared" si="14"/>
        <v>0</v>
      </c>
      <c r="Q79" s="1176">
        <v>9.9999999999999995E-7</v>
      </c>
      <c r="R79" s="698"/>
    </row>
    <row r="80" spans="1:18" x14ac:dyDescent="0.25">
      <c r="A80" s="1175">
        <v>500</v>
      </c>
      <c r="B80" s="1175">
        <v>-0.3</v>
      </c>
      <c r="C80" s="1176" t="s">
        <v>129</v>
      </c>
      <c r="D80" s="1176">
        <f t="shared" si="12"/>
        <v>0</v>
      </c>
      <c r="E80" s="1175">
        <v>1.5</v>
      </c>
      <c r="F80" s="1171"/>
      <c r="G80" s="1175">
        <v>500</v>
      </c>
      <c r="H80" s="1175">
        <v>-1.6</v>
      </c>
      <c r="I80" s="1176" t="s">
        <v>129</v>
      </c>
      <c r="J80" s="1176">
        <f t="shared" si="13"/>
        <v>0</v>
      </c>
      <c r="K80" s="1175">
        <v>1.5</v>
      </c>
      <c r="L80" s="1171"/>
      <c r="M80" s="1175">
        <v>500</v>
      </c>
      <c r="N80" s="1176">
        <v>9.9999999999999995E-7</v>
      </c>
      <c r="O80" s="1176" t="s">
        <v>129</v>
      </c>
      <c r="P80" s="1176">
        <f t="shared" si="14"/>
        <v>0</v>
      </c>
      <c r="Q80" s="1176">
        <v>9.9999999999999995E-7</v>
      </c>
      <c r="R80" s="698"/>
    </row>
    <row r="81" spans="1:18" x14ac:dyDescent="0.25">
      <c r="A81" s="1175">
        <v>600</v>
      </c>
      <c r="B81" s="1175">
        <v>-0.3</v>
      </c>
      <c r="C81" s="1176" t="s">
        <v>129</v>
      </c>
      <c r="D81" s="1176">
        <f t="shared" si="12"/>
        <v>0</v>
      </c>
      <c r="E81" s="1175">
        <v>1.5</v>
      </c>
      <c r="F81" s="1171"/>
      <c r="G81" s="1175">
        <v>600</v>
      </c>
      <c r="H81" s="1175">
        <v>-1.8</v>
      </c>
      <c r="I81" s="1176" t="s">
        <v>129</v>
      </c>
      <c r="J81" s="1176">
        <f t="shared" si="13"/>
        <v>0</v>
      </c>
      <c r="K81" s="1175">
        <v>1.5</v>
      </c>
      <c r="L81" s="1171"/>
      <c r="M81" s="1175">
        <v>600</v>
      </c>
      <c r="N81" s="1176">
        <v>9.9999999999999995E-7</v>
      </c>
      <c r="O81" s="1176" t="s">
        <v>129</v>
      </c>
      <c r="P81" s="1176">
        <f t="shared" si="14"/>
        <v>0</v>
      </c>
      <c r="Q81" s="1176">
        <v>9.9999999999999995E-7</v>
      </c>
      <c r="R81" s="698"/>
    </row>
    <row r="82" spans="1:18" x14ac:dyDescent="0.25">
      <c r="A82" s="1175">
        <v>1000</v>
      </c>
      <c r="B82" s="1175">
        <f>B81</f>
        <v>-0.3</v>
      </c>
      <c r="C82" s="1176" t="s">
        <v>129</v>
      </c>
      <c r="D82" s="1176">
        <f t="shared" si="12"/>
        <v>0</v>
      </c>
      <c r="E82" s="1175">
        <f>E81</f>
        <v>1.5</v>
      </c>
      <c r="F82" s="1171"/>
      <c r="G82" s="1175">
        <v>1000</v>
      </c>
      <c r="H82" s="1175">
        <f>H81</f>
        <v>-1.8</v>
      </c>
      <c r="I82" s="1176" t="s">
        <v>129</v>
      </c>
      <c r="J82" s="1176">
        <f t="shared" si="13"/>
        <v>0</v>
      </c>
      <c r="K82" s="1175">
        <f>K81</f>
        <v>1.5</v>
      </c>
      <c r="L82" s="1171"/>
      <c r="M82" s="1175">
        <v>1000</v>
      </c>
      <c r="N82" s="1176">
        <v>9.9999999999999995E-7</v>
      </c>
      <c r="O82" s="1176" t="s">
        <v>129</v>
      </c>
      <c r="P82" s="1176">
        <f t="shared" si="14"/>
        <v>0</v>
      </c>
      <c r="Q82" s="1176">
        <v>9.9999999999999995E-7</v>
      </c>
      <c r="R82" s="698"/>
    </row>
    <row r="83" spans="1:18" x14ac:dyDescent="0.25">
      <c r="A83" s="1176" t="s">
        <v>129</v>
      </c>
      <c r="B83" s="1176" t="s">
        <v>129</v>
      </c>
      <c r="C83" s="1176" t="s">
        <v>129</v>
      </c>
      <c r="D83" s="1176"/>
      <c r="E83" s="1176"/>
      <c r="F83" s="1171"/>
      <c r="G83" s="1176" t="s">
        <v>129</v>
      </c>
      <c r="H83" s="1176" t="s">
        <v>129</v>
      </c>
      <c r="I83" s="1176" t="s">
        <v>129</v>
      </c>
      <c r="J83" s="1176"/>
      <c r="K83" s="1176"/>
      <c r="L83" s="1171"/>
      <c r="M83" s="1176" t="s">
        <v>129</v>
      </c>
      <c r="N83" s="1176" t="s">
        <v>129</v>
      </c>
      <c r="O83" s="1176" t="s">
        <v>129</v>
      </c>
      <c r="P83" s="1176"/>
      <c r="Q83" s="1176"/>
      <c r="R83" s="698"/>
    </row>
    <row r="84" spans="1:18" x14ac:dyDescent="0.25">
      <c r="A84" s="1176" t="s">
        <v>129</v>
      </c>
      <c r="B84" s="1176" t="s">
        <v>129</v>
      </c>
      <c r="C84" s="1176" t="s">
        <v>129</v>
      </c>
      <c r="D84" s="1176"/>
      <c r="E84" s="1176"/>
      <c r="F84" s="1171"/>
      <c r="G84" s="1176" t="s">
        <v>129</v>
      </c>
      <c r="H84" s="1176" t="s">
        <v>129</v>
      </c>
      <c r="I84" s="1176" t="s">
        <v>129</v>
      </c>
      <c r="J84" s="1176"/>
      <c r="K84" s="1176"/>
      <c r="L84" s="1171"/>
      <c r="M84" s="1176" t="s">
        <v>129</v>
      </c>
      <c r="N84" s="1176" t="s">
        <v>129</v>
      </c>
      <c r="O84" s="1176" t="s">
        <v>129</v>
      </c>
      <c r="P84" s="1176"/>
      <c r="Q84" s="1176"/>
      <c r="R84" s="698"/>
    </row>
    <row r="85" spans="1:18" x14ac:dyDescent="0.25">
      <c r="A85" s="1176" t="s">
        <v>129</v>
      </c>
      <c r="B85" s="1176" t="s">
        <v>129</v>
      </c>
      <c r="C85" s="1176" t="s">
        <v>129</v>
      </c>
      <c r="D85" s="1176"/>
      <c r="E85" s="1176"/>
      <c r="F85" s="1171"/>
      <c r="G85" s="1176" t="s">
        <v>129</v>
      </c>
      <c r="H85" s="1176" t="s">
        <v>129</v>
      </c>
      <c r="I85" s="1176" t="s">
        <v>129</v>
      </c>
      <c r="J85" s="1176"/>
      <c r="K85" s="1176"/>
      <c r="L85" s="1171"/>
      <c r="M85" s="1176" t="s">
        <v>129</v>
      </c>
      <c r="N85" s="1176" t="s">
        <v>129</v>
      </c>
      <c r="O85" s="1176" t="s">
        <v>129</v>
      </c>
      <c r="P85" s="1176"/>
      <c r="Q85" s="1176"/>
      <c r="R85" s="698"/>
    </row>
    <row r="86" spans="1:18" x14ac:dyDescent="0.25">
      <c r="A86" s="1189"/>
      <c r="B86" s="1171"/>
      <c r="C86" s="1171"/>
      <c r="D86" s="1171"/>
      <c r="E86" s="1171"/>
      <c r="F86" s="1171"/>
      <c r="G86" s="1171"/>
      <c r="H86" s="1171"/>
      <c r="I86" s="1171"/>
      <c r="J86" s="1171"/>
      <c r="K86" s="1171"/>
      <c r="L86" s="1171"/>
      <c r="M86" s="1188"/>
      <c r="N86" s="1188"/>
      <c r="O86" s="1188"/>
      <c r="P86" s="1188"/>
      <c r="Q86" s="1188"/>
      <c r="R86" s="698"/>
    </row>
    <row r="87" spans="1:18" x14ac:dyDescent="0.25">
      <c r="A87" s="1189"/>
      <c r="B87" s="1171"/>
      <c r="C87" s="1171"/>
      <c r="D87" s="1171"/>
      <c r="E87" s="1171"/>
      <c r="F87" s="1171"/>
      <c r="G87" s="1171"/>
      <c r="H87" s="1171"/>
      <c r="I87" s="1171"/>
      <c r="J87" s="1171"/>
      <c r="K87" s="1171"/>
      <c r="L87" s="1171"/>
      <c r="M87" s="1171"/>
      <c r="N87" s="1171"/>
      <c r="O87" s="1171"/>
      <c r="P87" s="1171"/>
      <c r="Q87" s="1171"/>
      <c r="R87" s="698"/>
    </row>
    <row r="88" spans="1:18" x14ac:dyDescent="0.25">
      <c r="A88" s="1189"/>
      <c r="B88" s="1171"/>
      <c r="C88" s="1171"/>
      <c r="D88" s="1171"/>
      <c r="E88" s="1171"/>
      <c r="F88" s="1171"/>
      <c r="G88" s="1171"/>
      <c r="H88" s="1171"/>
      <c r="I88" s="1171"/>
      <c r="J88" s="1171"/>
      <c r="K88" s="1171"/>
      <c r="L88" s="1171"/>
      <c r="M88" s="1171"/>
      <c r="N88" s="1171"/>
      <c r="O88" s="1171"/>
      <c r="P88" s="1171"/>
      <c r="Q88" s="1171"/>
      <c r="R88" s="698"/>
    </row>
    <row r="89" spans="1:18" x14ac:dyDescent="0.25">
      <c r="A89" s="1189"/>
      <c r="B89" s="1171"/>
      <c r="C89" s="1171"/>
      <c r="D89" s="1171"/>
      <c r="E89" s="1171"/>
      <c r="F89" s="1171"/>
      <c r="G89" s="1171"/>
      <c r="H89" s="1171"/>
      <c r="I89" s="1171"/>
      <c r="J89" s="1171"/>
      <c r="K89" s="1171"/>
      <c r="L89" s="1171"/>
      <c r="M89" s="1171"/>
      <c r="N89" s="1171"/>
      <c r="O89" s="1171"/>
      <c r="P89" s="1171"/>
      <c r="Q89" s="1171"/>
      <c r="R89" s="698"/>
    </row>
    <row r="90" spans="1:18" x14ac:dyDescent="0.25">
      <c r="A90" s="1189"/>
      <c r="B90" s="1171"/>
      <c r="C90" s="1171"/>
      <c r="D90" s="1171"/>
      <c r="E90" s="1171"/>
      <c r="F90" s="1171"/>
      <c r="G90" s="1171"/>
      <c r="H90" s="1171"/>
      <c r="I90" s="1171"/>
      <c r="J90" s="1171"/>
      <c r="K90" s="1171"/>
      <c r="L90" s="1171"/>
      <c r="M90" s="1171"/>
      <c r="N90" s="1171"/>
      <c r="O90" s="1171"/>
      <c r="P90" s="1171"/>
      <c r="Q90" s="1171"/>
      <c r="R90" s="698"/>
    </row>
    <row r="91" spans="1:18" ht="14.4" x14ac:dyDescent="0.3">
      <c r="A91" s="1386" t="str">
        <f>' Input Data Tekanan Hisap'!A163</f>
        <v>Digital Pressure Meter, Merek : Fluke, Model : DPM4 2H, SN : 1</v>
      </c>
      <c r="B91" s="1387"/>
      <c r="C91" s="1387"/>
      <c r="D91" s="1388" t="s">
        <v>123</v>
      </c>
      <c r="E91" s="1389" t="s">
        <v>124</v>
      </c>
      <c r="F91" s="1171"/>
      <c r="G91" s="1171"/>
      <c r="H91" s="1171"/>
      <c r="I91" s="1171"/>
      <c r="J91" s="1171"/>
      <c r="K91" s="1171"/>
      <c r="L91" s="1171"/>
      <c r="M91" s="1171"/>
      <c r="N91" s="1171"/>
      <c r="O91" s="1171"/>
      <c r="P91" s="1171"/>
      <c r="Q91" s="1171"/>
      <c r="R91" s="698"/>
    </row>
    <row r="92" spans="1:18" ht="13.8" x14ac:dyDescent="0.25">
      <c r="A92" s="1172" t="s">
        <v>73</v>
      </c>
      <c r="B92" s="1388" t="s">
        <v>127</v>
      </c>
      <c r="C92" s="1388"/>
      <c r="D92" s="1388"/>
      <c r="E92" s="1389"/>
      <c r="F92" s="1171"/>
      <c r="G92" s="1171"/>
      <c r="H92" s="1171"/>
      <c r="I92" s="1171"/>
      <c r="J92" s="1171"/>
      <c r="K92" s="1171"/>
      <c r="L92" s="1171"/>
      <c r="M92" s="1171"/>
      <c r="N92" s="1171"/>
      <c r="O92" s="1171"/>
      <c r="P92" s="1171"/>
      <c r="Q92" s="1171"/>
      <c r="R92" s="698"/>
    </row>
    <row r="93" spans="1:18" ht="14.4" x14ac:dyDescent="0.25">
      <c r="A93" s="1173" t="s">
        <v>199</v>
      </c>
      <c r="B93" s="1174">
        <v>2020</v>
      </c>
      <c r="C93" s="1174" t="s">
        <v>129</v>
      </c>
      <c r="D93" s="1388"/>
      <c r="E93" s="1389"/>
      <c r="F93" s="1171"/>
      <c r="G93" s="1171"/>
      <c r="H93" s="1171"/>
      <c r="I93" s="1171"/>
      <c r="J93" s="1171"/>
      <c r="K93" s="1171"/>
      <c r="L93" s="1171"/>
      <c r="M93" s="1171"/>
      <c r="N93" s="1171"/>
      <c r="O93" s="1171"/>
      <c r="P93" s="1171"/>
      <c r="Q93" s="1171"/>
      <c r="R93" s="698"/>
    </row>
    <row r="94" spans="1:18" x14ac:dyDescent="0.25">
      <c r="A94" s="1175">
        <v>0</v>
      </c>
      <c r="B94" s="1176">
        <v>9.9999999999999995E-7</v>
      </c>
      <c r="C94" s="1176" t="s">
        <v>129</v>
      </c>
      <c r="D94" s="1176">
        <f>0.5*(MAX(B94:C94)-MIN(B94:C94))</f>
        <v>0</v>
      </c>
      <c r="E94" s="1176">
        <v>0</v>
      </c>
      <c r="F94" s="1171"/>
      <c r="G94" s="1171"/>
      <c r="H94" s="1171"/>
      <c r="I94" s="1171"/>
      <c r="J94" s="1171"/>
      <c r="K94" s="1171"/>
      <c r="L94" s="1171"/>
      <c r="M94" s="1171"/>
      <c r="N94" s="1171"/>
      <c r="O94" s="1171"/>
      <c r="P94" s="1171"/>
      <c r="Q94" s="1171"/>
      <c r="R94" s="698"/>
    </row>
    <row r="95" spans="1:18" x14ac:dyDescent="0.25">
      <c r="A95" s="1175">
        <v>100</v>
      </c>
      <c r="B95" s="1176">
        <v>9.9999999999999995E-7</v>
      </c>
      <c r="C95" s="1176" t="s">
        <v>129</v>
      </c>
      <c r="D95" s="1176">
        <f t="shared" ref="D95:D101" si="15">0.5*(MAX(B95:C95)-MIN(B95:C95))</f>
        <v>0</v>
      </c>
      <c r="E95" s="1176">
        <v>0</v>
      </c>
      <c r="F95" s="1171"/>
      <c r="G95" s="1171"/>
      <c r="H95" s="1171"/>
      <c r="I95" s="1171"/>
      <c r="J95" s="1171"/>
      <c r="K95" s="1171"/>
      <c r="L95" s="1171"/>
      <c r="M95" s="1171"/>
      <c r="N95" s="1171"/>
      <c r="O95" s="1171"/>
      <c r="P95" s="1171"/>
      <c r="Q95" s="1171"/>
      <c r="R95" s="698"/>
    </row>
    <row r="96" spans="1:18" x14ac:dyDescent="0.25">
      <c r="A96" s="1175">
        <v>200</v>
      </c>
      <c r="B96" s="1176">
        <v>9.9999999999999995E-7</v>
      </c>
      <c r="C96" s="1176" t="s">
        <v>129</v>
      </c>
      <c r="D96" s="1176">
        <f t="shared" si="15"/>
        <v>0</v>
      </c>
      <c r="E96" s="1176">
        <v>0</v>
      </c>
      <c r="F96" s="1171"/>
      <c r="G96" s="1171"/>
      <c r="H96" s="1171"/>
      <c r="I96" s="1171"/>
      <c r="J96" s="1171"/>
      <c r="K96" s="1171"/>
      <c r="L96" s="1171"/>
      <c r="M96" s="1171"/>
      <c r="N96" s="1171"/>
      <c r="O96" s="1171"/>
      <c r="P96" s="1171"/>
      <c r="Q96" s="1171"/>
      <c r="R96" s="698"/>
    </row>
    <row r="97" spans="1:18" x14ac:dyDescent="0.25">
      <c r="A97" s="1175">
        <v>300</v>
      </c>
      <c r="B97" s="1176">
        <v>9.9999999999999995E-7</v>
      </c>
      <c r="C97" s="1176" t="s">
        <v>129</v>
      </c>
      <c r="D97" s="1176">
        <f t="shared" si="15"/>
        <v>0</v>
      </c>
      <c r="E97" s="1176">
        <v>0</v>
      </c>
      <c r="F97" s="1171"/>
      <c r="G97" s="1171"/>
      <c r="H97" s="1171"/>
      <c r="I97" s="1171"/>
      <c r="J97" s="1171"/>
      <c r="K97" s="1171"/>
      <c r="L97" s="1171"/>
      <c r="M97" s="1171"/>
      <c r="N97" s="1171"/>
      <c r="O97" s="1171"/>
      <c r="P97" s="1171"/>
      <c r="Q97" s="1171"/>
      <c r="R97" s="698"/>
    </row>
    <row r="98" spans="1:18" x14ac:dyDescent="0.25">
      <c r="A98" s="1175">
        <v>400</v>
      </c>
      <c r="B98" s="1176">
        <v>9.9999999999999995E-7</v>
      </c>
      <c r="C98" s="1176" t="s">
        <v>129</v>
      </c>
      <c r="D98" s="1176">
        <f t="shared" si="15"/>
        <v>0</v>
      </c>
      <c r="E98" s="1176">
        <v>0</v>
      </c>
      <c r="F98" s="1171"/>
      <c r="G98" s="1171"/>
      <c r="H98" s="1171"/>
      <c r="I98" s="1171"/>
      <c r="J98" s="1171"/>
      <c r="K98" s="1171"/>
      <c r="L98" s="1171"/>
      <c r="M98" s="1171"/>
      <c r="N98" s="1171"/>
      <c r="O98" s="1171"/>
      <c r="P98" s="1171"/>
      <c r="Q98" s="1171"/>
      <c r="R98" s="698"/>
    </row>
    <row r="99" spans="1:18" x14ac:dyDescent="0.25">
      <c r="A99" s="1175">
        <v>500</v>
      </c>
      <c r="B99" s="1176">
        <v>9.9999999999999995E-7</v>
      </c>
      <c r="C99" s="1176" t="s">
        <v>129</v>
      </c>
      <c r="D99" s="1176">
        <f t="shared" si="15"/>
        <v>0</v>
      </c>
      <c r="E99" s="1176">
        <v>0</v>
      </c>
      <c r="F99" s="1171"/>
      <c r="G99" s="1171"/>
      <c r="H99" s="1171"/>
      <c r="I99" s="1171"/>
      <c r="J99" s="1171"/>
      <c r="K99" s="1171"/>
      <c r="L99" s="1171"/>
      <c r="M99" s="1171"/>
      <c r="N99" s="1171"/>
      <c r="O99" s="1171"/>
      <c r="P99" s="1171"/>
      <c r="Q99" s="1171"/>
      <c r="R99" s="698"/>
    </row>
    <row r="100" spans="1:18" x14ac:dyDescent="0.25">
      <c r="A100" s="1175">
        <v>600</v>
      </c>
      <c r="B100" s="1176">
        <v>9.9999999999999995E-7</v>
      </c>
      <c r="C100" s="1176" t="s">
        <v>129</v>
      </c>
      <c r="D100" s="1176">
        <f t="shared" si="15"/>
        <v>0</v>
      </c>
      <c r="E100" s="1176">
        <v>0</v>
      </c>
      <c r="F100" s="1171"/>
      <c r="G100" s="1171"/>
      <c r="H100" s="1171"/>
      <c r="I100" s="1171"/>
      <c r="J100" s="1171"/>
      <c r="K100" s="1171"/>
      <c r="L100" s="1171"/>
      <c r="M100" s="1171"/>
      <c r="N100" s="1171"/>
      <c r="O100" s="1171"/>
      <c r="P100" s="1171"/>
      <c r="Q100" s="1171"/>
      <c r="R100" s="698"/>
    </row>
    <row r="101" spans="1:18" x14ac:dyDescent="0.25">
      <c r="A101" s="1175">
        <v>1000</v>
      </c>
      <c r="B101" s="1176">
        <v>9.9999999999999995E-7</v>
      </c>
      <c r="C101" s="1176" t="s">
        <v>129</v>
      </c>
      <c r="D101" s="1176">
        <f t="shared" si="15"/>
        <v>0</v>
      </c>
      <c r="E101" s="1176">
        <v>0</v>
      </c>
      <c r="F101" s="1171"/>
      <c r="G101" s="1171"/>
      <c r="H101" s="1171"/>
      <c r="I101" s="1171"/>
      <c r="J101" s="1171"/>
      <c r="K101" s="1171"/>
      <c r="L101" s="1171"/>
      <c r="M101" s="1188"/>
      <c r="N101" s="1188"/>
      <c r="O101" s="1188"/>
      <c r="P101" s="1188"/>
      <c r="Q101" s="1188"/>
      <c r="R101" s="698"/>
    </row>
    <row r="102" spans="1:18" x14ac:dyDescent="0.25">
      <c r="A102" s="1177" t="s">
        <v>129</v>
      </c>
      <c r="B102" s="1176" t="s">
        <v>129</v>
      </c>
      <c r="C102" s="1176" t="s">
        <v>129</v>
      </c>
      <c r="D102" s="1176"/>
      <c r="E102" s="1176"/>
      <c r="F102" s="1171"/>
      <c r="G102" s="1171"/>
      <c r="H102" s="1171"/>
      <c r="I102" s="1171"/>
      <c r="J102" s="1171"/>
      <c r="K102" s="1171"/>
      <c r="L102" s="1171"/>
      <c r="M102" s="1188"/>
      <c r="N102" s="1188"/>
      <c r="O102" s="1188"/>
      <c r="P102" s="1188"/>
      <c r="Q102" s="1188"/>
      <c r="R102" s="698"/>
    </row>
    <row r="103" spans="1:18" x14ac:dyDescent="0.25">
      <c r="A103" s="1177" t="s">
        <v>129</v>
      </c>
      <c r="B103" s="1176" t="s">
        <v>129</v>
      </c>
      <c r="C103" s="1176" t="s">
        <v>129</v>
      </c>
      <c r="D103" s="1176"/>
      <c r="E103" s="1176"/>
      <c r="F103" s="1171"/>
      <c r="G103" s="1171"/>
      <c r="H103" s="1171"/>
      <c r="I103" s="1171"/>
      <c r="J103" s="1171"/>
      <c r="K103" s="1171"/>
      <c r="L103" s="1171"/>
      <c r="M103" s="1171"/>
      <c r="N103" s="1171"/>
      <c r="O103" s="1171"/>
      <c r="P103" s="1171"/>
      <c r="Q103" s="1171"/>
      <c r="R103" s="698"/>
    </row>
    <row r="104" spans="1:18" x14ac:dyDescent="0.25">
      <c r="A104" s="1177" t="s">
        <v>129</v>
      </c>
      <c r="B104" s="1176" t="s">
        <v>129</v>
      </c>
      <c r="C104" s="1176" t="s">
        <v>129</v>
      </c>
      <c r="D104" s="1176"/>
      <c r="E104" s="1176"/>
      <c r="F104" s="1171"/>
      <c r="G104" s="1171"/>
      <c r="H104" s="1171"/>
      <c r="I104" s="1171"/>
      <c r="J104" s="1171"/>
      <c r="K104" s="1171"/>
      <c r="L104" s="1171"/>
      <c r="M104" s="1171"/>
      <c r="N104" s="1171"/>
      <c r="O104" s="1171"/>
      <c r="P104" s="1171"/>
      <c r="Q104" s="1171"/>
      <c r="R104" s="698"/>
    </row>
    <row r="105" spans="1:18" ht="13.8" thickBot="1" x14ac:dyDescent="0.3">
      <c r="A105" s="700"/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2"/>
    </row>
    <row r="106" spans="1:18" x14ac:dyDescent="0.25">
      <c r="A106" s="165"/>
      <c r="B106" s="165"/>
      <c r="C106" s="165"/>
      <c r="D106" s="165"/>
      <c r="E106" s="165"/>
    </row>
    <row r="107" spans="1:18" ht="13.5" customHeight="1" x14ac:dyDescent="0.25"/>
    <row r="109" spans="1:18" x14ac:dyDescent="0.25">
      <c r="A109" s="1335" t="s">
        <v>135</v>
      </c>
      <c r="B109" s="1336"/>
      <c r="H109" s="661" t="s">
        <v>135</v>
      </c>
      <c r="I109" s="662"/>
      <c r="N109" s="1379" t="s">
        <v>579</v>
      </c>
      <c r="O109" s="1379"/>
      <c r="P109" s="1379"/>
      <c r="Q109" s="1379"/>
    </row>
    <row r="110" spans="1:18" ht="15.6" x14ac:dyDescent="0.3">
      <c r="A110" s="163" t="s">
        <v>138</v>
      </c>
      <c r="B110" s="1211">
        <f>A139</f>
        <v>600</v>
      </c>
      <c r="C110" s="1212">
        <f>B110-B111</f>
        <v>601.9</v>
      </c>
      <c r="D110" s="214">
        <f>((((0.1-0.2)*((-250)-(-200)))/((-300-(-200)))+(0.2)))</f>
        <v>0.15000000000000002</v>
      </c>
      <c r="E110" s="203"/>
      <c r="H110" s="163" t="s">
        <v>138</v>
      </c>
      <c r="I110" s="1211">
        <f>H139</f>
        <v>130.16666666666666</v>
      </c>
      <c r="J110" s="1213">
        <f>I110-I111</f>
        <v>130.56319999999999</v>
      </c>
      <c r="N110" s="1169"/>
      <c r="O110" s="1202">
        <f>IF($N$111&lt;=$A$121,0,IF($N$111&lt;=$A$122,A121,IF($N$111&lt;=$A$123,A122,IF($N$111&lt;=$A$124,A123,IF($N$111&lt;=$A$125,A124,IF($N$111&lt;=$A$126,A125,IF($N$111&lt;=$A$127,A126,IF($N$111&lt;=$A$128,A127,IF($N$111&gt;=$A$128,A128)))))))))</f>
        <v>500</v>
      </c>
      <c r="P110" s="1206" t="s">
        <v>136</v>
      </c>
      <c r="Q110" s="1169">
        <f>IF($N$111&lt;=$A$121,0,IF($N$111&lt;=$A$122,B121,IF($N$111&lt;=$A$123,B122,IF($N$111&lt;=$A$124,B123,IF($N$111&lt;=$A$125,B124,IF($N$111&lt;=$A$126,B125,IF($N$111&lt;=$A$127,B126,IF($N$111&lt;=$A$128,B127,IF($N$111&gt;=$A$128,B128)))))))))</f>
        <v>-1.5</v>
      </c>
    </row>
    <row r="111" spans="1:18" x14ac:dyDescent="0.25">
      <c r="A111" s="212" t="s">
        <v>199</v>
      </c>
      <c r="B111" s="213">
        <f>P111</f>
        <v>-1.9</v>
      </c>
      <c r="D111" s="1208"/>
      <c r="E111" s="1209"/>
      <c r="F111" s="1209"/>
      <c r="H111" s="212" t="s">
        <v>199</v>
      </c>
      <c r="I111" s="213">
        <f>P122</f>
        <v>-0.39653333333333329</v>
      </c>
      <c r="J111" s="202"/>
      <c r="K111" s="223">
        <f>((((0.2-0.2)*((-103)-(-100)))/((-200-(-100)))+(0.2)))</f>
        <v>0.2</v>
      </c>
      <c r="N111" s="1215">
        <f>B110</f>
        <v>600</v>
      </c>
      <c r="O111" s="1169"/>
      <c r="P111" s="1207">
        <f>((N111-O110)/(O112-O110)*(Q112-Q110)+Q110)</f>
        <v>-1.9</v>
      </c>
      <c r="Q111" s="1170"/>
    </row>
    <row r="112" spans="1:18" x14ac:dyDescent="0.25">
      <c r="A112" s="212" t="s">
        <v>139</v>
      </c>
      <c r="B112" s="220">
        <f>P114</f>
        <v>9.9999999999999995E-7</v>
      </c>
      <c r="D112" s="1209"/>
      <c r="E112" s="1168"/>
      <c r="F112" s="1168"/>
      <c r="H112" s="212" t="s">
        <v>139</v>
      </c>
      <c r="I112" s="213">
        <f>P125</f>
        <v>9.9999999999999995E-7</v>
      </c>
      <c r="J112" s="201"/>
      <c r="N112" s="1202"/>
      <c r="O112" s="1169">
        <f>IF($N$111&lt;=$A$121,A121,IF($N$111&lt;=$A$122,A122,IF($N$111&lt;=$A$123,A123,IF($N$111&lt;=$A$124,A124,IF($N$111&lt;=$A$125,A125,IF($N$111&lt;=$A$126,A126,IF($N$111&lt;=$A$127,A127,$AA$15)))))))</f>
        <v>600</v>
      </c>
      <c r="P112" s="1169"/>
      <c r="Q112" s="1169">
        <f>IF($N$111&lt;=$A$121,B121,IF($N$111&lt;=$A$122,B122,IF($N$111&lt;=$A$123,B123,IF($N$111&lt;=$A$124,B124,IF($N$111&lt;=$A$125,B125,IF($N$111&lt;=$A$126,B126,IF($N$111&lt;=$A$127,B127,$AA$15)))))))</f>
        <v>-1.9</v>
      </c>
    </row>
    <row r="113" spans="1:17" x14ac:dyDescent="0.25">
      <c r="A113" s="212" t="s">
        <v>137</v>
      </c>
      <c r="B113" s="213">
        <f>P117</f>
        <v>0.5</v>
      </c>
      <c r="D113" s="1168"/>
      <c r="E113" s="1209"/>
      <c r="F113" s="1210"/>
      <c r="H113" s="212" t="s">
        <v>137</v>
      </c>
      <c r="I113" s="213">
        <f>P128</f>
        <v>0.5</v>
      </c>
      <c r="N113" s="1202"/>
      <c r="O113" s="1202">
        <f>IF($N$111&lt;=$A$121,0,IF($N$111&lt;=$A$122,A121,IF($N$111&lt;=$A$123,A122,IF($N$111&lt;=$A$124,A123,IF($N$111&lt;=$A$125,A124,IF($N$111&lt;=$A$126,A125,IF($N$111&lt;=$A$127,A126,IF($N$111&lt;=$A$128,A127,IF($N$111&gt;=$A$128,A128)))))))))</f>
        <v>500</v>
      </c>
      <c r="P113" s="1206" t="s">
        <v>139</v>
      </c>
      <c r="Q113" s="1169">
        <f>IF($N$111&lt;=$A$121,0,IF($N$111&lt;=$A$122,D121,IF($N$111&lt;=$A$123,D122,IF($N$111&lt;=$A$124,D123,IF($N$111&lt;=$A$125,D124,IF($N$111&lt;=$A$126,D125,IF($N$111&lt;=$A$127,D126,IF($N$111&lt;=$A$128,D127,IF($N$111&gt;=$A$128,D128)))))))))</f>
        <v>9.9999999999999995E-7</v>
      </c>
    </row>
    <row r="114" spans="1:17" x14ac:dyDescent="0.25">
      <c r="D114" s="1209"/>
      <c r="E114" s="1168"/>
      <c r="F114" s="1168"/>
      <c r="N114" s="1215">
        <f>C110</f>
        <v>601.9</v>
      </c>
      <c r="O114" s="1169"/>
      <c r="P114" s="1207">
        <f>((N114-O113)/(O115-O113)*(Q115-Q113)+Q113)</f>
        <v>9.9999999999999995E-7</v>
      </c>
      <c r="Q114" s="1170"/>
    </row>
    <row r="115" spans="1:17" x14ac:dyDescent="0.25">
      <c r="D115" s="1168"/>
      <c r="E115" s="1168"/>
      <c r="F115" s="1168"/>
      <c r="N115" s="1202"/>
      <c r="O115" s="1202">
        <f>IF($N$111&lt;=$A$121,0,IF($N$111&lt;=$A$122,A122,IF($N$111&lt;=$A$123,A123,IF($N$111&lt;=$A$124,A124,IF($N$111&lt;=$A$125,A125,IF($N$111&lt;=$A$126,A126,IF($N$111&lt;=$A$127,A127,IF($N$111&lt;=$A$128,A128,IF($N$111&gt;=$A$128,128)))))))))</f>
        <v>600</v>
      </c>
      <c r="P115" s="1202"/>
      <c r="Q115" s="1169">
        <f>IF($N$111&lt;=$A$121,0,IF($N$111&lt;=$A$122,D122,IF($N$111&lt;=$A$123,D123,IF($N$111&lt;=$A$124,D124,IF($N$111&lt;=$A$125,D125,IF($N$111&lt;=$A$126,D126,IF($N$111&lt;=$A$127,D127,IF($N$111&lt;=$A$128,D128,IF($N$111&gt;=$A$128,128)))))))))</f>
        <v>9.9999999999999995E-7</v>
      </c>
    </row>
    <row r="116" spans="1:17" x14ac:dyDescent="0.25">
      <c r="D116" s="1209"/>
      <c r="E116" s="1168"/>
      <c r="F116" s="1168"/>
      <c r="N116" s="1202"/>
      <c r="O116" s="1202">
        <f>IF($N$111&lt;=$A$121,0,IF($N$111&lt;=$A$122,A121,IF($N$111&lt;=$A$123,A122,IF($N$111&lt;=$A$124,A123,IF($N$111&lt;=$A$125,A124,IF($N$111&lt;=$A$126,A125,IF($N$111&lt;=$A$127,A126,IF($N$111&lt;=$A$128,A127,IF($N$111&gt;=$A$128,A128)))))))))</f>
        <v>500</v>
      </c>
      <c r="P116" s="1206" t="s">
        <v>137</v>
      </c>
      <c r="Q116" s="1169">
        <f>IF($N$111&lt;=$A$121,0,IF($N$111&lt;=$A$122,E121,IF($N$111&lt;=$A$123,E122,IF($N$111&lt;=$A$124,E123,IF($N$111&lt;=$A$125,E124,IF($N$111&lt;=$A$126,E125,IF($N$111&lt;=$A$127,E126,IF($N$111&lt;=$A$128,E127,IF($N$111&gt;=$A$128,E128)))))))))</f>
        <v>0.5</v>
      </c>
    </row>
    <row r="117" spans="1:17" ht="16.2" thickBot="1" x14ac:dyDescent="0.35">
      <c r="H117" s="203"/>
      <c r="I117" s="203"/>
      <c r="J117" s="203"/>
      <c r="K117" s="221"/>
      <c r="N117" s="1215">
        <f>N114</f>
        <v>601.9</v>
      </c>
      <c r="O117" s="1169"/>
      <c r="P117" s="1207">
        <f>((N117-O116)/(O118-O116)*(Q118-Q116)+Q116)</f>
        <v>0.5</v>
      </c>
      <c r="Q117" s="1170"/>
    </row>
    <row r="118" spans="1:17" ht="13.8" thickBot="1" x14ac:dyDescent="0.3">
      <c r="A118" s="1130" t="str">
        <f>ID!B54</f>
        <v>Digital Pressure Meter, Merek : Fluke, Model : DPM4 2G, SN : 4821027</v>
      </c>
      <c r="B118" s="1131"/>
      <c r="C118" s="1131"/>
      <c r="D118" s="1131"/>
      <c r="E118" s="1132"/>
      <c r="H118" s="1406" t="str">
        <f>' Input Data Tekanan Hisap'!A118</f>
        <v>Digital Pressure Meter, Merek : Fluke, Model : DPM4 2G, SN : 4821027</v>
      </c>
      <c r="I118" s="1407"/>
      <c r="J118" s="1407"/>
      <c r="K118" s="1407"/>
      <c r="L118" s="1408"/>
      <c r="N118" s="1202"/>
      <c r="O118" s="1202">
        <f>IF($N$111&lt;=$A$121,0,IF($N$111&lt;=$A$122,A122,IF($N$111&lt;=$A$123,A123,IF($N$111&lt;=$A$124,A124,IF($N$111&lt;=$A$125,A125,IF($N$111&lt;=$A$126,A126,IF($N$111&lt;=$A$127,A127,IF($N$111&lt;=$A$128,A128,IF($N$111&gt;=$A$128,128)))))))))</f>
        <v>600</v>
      </c>
      <c r="P118" s="1202"/>
      <c r="Q118" s="1169">
        <f>IF($N$111&lt;=$A$121,E121,IF($N$111&lt;=$A$122,E122,IF($N$111&lt;=$A$123,E123,IF($N$111&lt;=$A$124,E124,IF($N$111&lt;=$A$125,E125,IF($N$111&lt;=$A$126,E126,IF($N$111&lt;=$A$127,E127,IF($N$111&lt;=$A$128,E128,IF($N$111&gt;=$A$128,128)))))))))</f>
        <v>0.5</v>
      </c>
    </row>
    <row r="119" spans="1:17" ht="26.4" x14ac:dyDescent="0.25">
      <c r="A119" s="272" t="s">
        <v>209</v>
      </c>
      <c r="B119" s="1129" t="s">
        <v>127</v>
      </c>
      <c r="C119" s="1129"/>
      <c r="D119" s="1128" t="s">
        <v>123</v>
      </c>
      <c r="E119" s="1156" t="s">
        <v>124</v>
      </c>
      <c r="H119" s="272" t="s">
        <v>210</v>
      </c>
      <c r="I119" s="1409" t="s">
        <v>127</v>
      </c>
      <c r="J119" s="1409"/>
      <c r="K119" s="1410" t="s">
        <v>123</v>
      </c>
      <c r="L119" s="1404" t="s">
        <v>124</v>
      </c>
      <c r="M119" s="165"/>
      <c r="N119" s="165"/>
      <c r="O119" s="165"/>
      <c r="P119" s="165"/>
      <c r="Q119" s="165"/>
    </row>
    <row r="120" spans="1:17" x14ac:dyDescent="0.25">
      <c r="A120" s="1157" t="str">
        <f>A176</f>
        <v>mmHg</v>
      </c>
      <c r="B120" s="1148">
        <f t="shared" ref="B120:C120" si="16">B176</f>
        <v>2020</v>
      </c>
      <c r="C120" s="1148" t="str">
        <f t="shared" si="16"/>
        <v>-</v>
      </c>
      <c r="D120" s="1129"/>
      <c r="E120" s="1158"/>
      <c r="H120" s="273" t="str">
        <f>A120</f>
        <v>mmHg</v>
      </c>
      <c r="I120" s="273">
        <f t="shared" ref="I120:I128" si="17">B120</f>
        <v>2020</v>
      </c>
      <c r="J120" s="273" t="str">
        <f>C120</f>
        <v>-</v>
      </c>
      <c r="K120" s="1409"/>
      <c r="L120" s="1405"/>
      <c r="M120" s="165"/>
      <c r="N120" s="1379" t="s">
        <v>580</v>
      </c>
      <c r="O120" s="1379"/>
      <c r="P120" s="1379"/>
      <c r="Q120" s="1379"/>
    </row>
    <row r="121" spans="1:17" x14ac:dyDescent="0.25">
      <c r="A121" s="1159">
        <f>A177</f>
        <v>0</v>
      </c>
      <c r="B121" s="199">
        <f>IF(B177=0,0.000001,B177)</f>
        <v>9.9999999999999995E-7</v>
      </c>
      <c r="C121" s="199" t="str">
        <f t="shared" ref="C121:E121" si="18">IF(C177=0,0.000001,C177)</f>
        <v>-</v>
      </c>
      <c r="D121" s="199">
        <f t="shared" si="18"/>
        <v>9.9999999999999995E-7</v>
      </c>
      <c r="E121" s="1161">
        <f t="shared" si="18"/>
        <v>0.5</v>
      </c>
      <c r="H121" s="1167">
        <f>A121</f>
        <v>0</v>
      </c>
      <c r="I121" s="1166">
        <f t="shared" si="17"/>
        <v>9.9999999999999995E-7</v>
      </c>
      <c r="J121" s="1166" t="str">
        <f t="shared" ref="J121:L128" si="19">C121</f>
        <v>-</v>
      </c>
      <c r="K121" s="1166">
        <f t="shared" si="19"/>
        <v>9.9999999999999995E-7</v>
      </c>
      <c r="L121" s="1166">
        <f t="shared" si="19"/>
        <v>0.5</v>
      </c>
      <c r="N121" s="1169"/>
      <c r="O121" s="1202">
        <f>IF($N$122&lt;=$A$121,0,IF($N$122&lt;=$A$122,H121,IF($N$122&lt;=$A$123,H122,IF($N$122&lt;=$A$124,H123,IF($N$122&lt;=$A$125,H124,IF($N$122&lt;=$A$126,H125,IF($N$122&lt;=$A$127,H126,IF($N$122&lt;=$A$128,H127,IF($N$122&gt;=$A$128,H128)))))))))</f>
        <v>100</v>
      </c>
      <c r="P121" s="1206" t="s">
        <v>136</v>
      </c>
      <c r="Q121" s="1169">
        <f>IF($N$122&lt;=$A$121,0,IF($N$122&lt;=$A$122,I121,IF($N$122&lt;=$A$123,I122,IF($N$122&lt;=$A$124,I123,IF($N$122&lt;=$A$125,I124,IF($N$122&lt;=$A$126,I125,IF($N$122&lt;=$A$127,I126,IF($N$122&lt;=$A$128,I127,IF($N$122&gt;=$A$128,I128)))))))))</f>
        <v>-0.3</v>
      </c>
    </row>
    <row r="122" spans="1:17" x14ac:dyDescent="0.25">
      <c r="A122" s="1159">
        <f t="shared" ref="A122:A128" si="20">A178</f>
        <v>100</v>
      </c>
      <c r="B122" s="199">
        <f t="shared" ref="B122:E122" si="21">IF(B178=0,0.000001,B178)</f>
        <v>-0.3</v>
      </c>
      <c r="C122" s="199" t="str">
        <f t="shared" si="21"/>
        <v>-</v>
      </c>
      <c r="D122" s="199">
        <f t="shared" si="21"/>
        <v>9.9999999999999995E-7</v>
      </c>
      <c r="E122" s="1161">
        <f t="shared" si="21"/>
        <v>0.5</v>
      </c>
      <c r="H122" s="1167">
        <f t="shared" ref="H122:H128" si="22">A122</f>
        <v>100</v>
      </c>
      <c r="I122" s="1166">
        <f t="shared" si="17"/>
        <v>-0.3</v>
      </c>
      <c r="J122" s="1166" t="str">
        <f t="shared" si="19"/>
        <v>-</v>
      </c>
      <c r="K122" s="1166">
        <f t="shared" si="19"/>
        <v>9.9999999999999995E-7</v>
      </c>
      <c r="L122" s="1166">
        <f t="shared" si="19"/>
        <v>0.5</v>
      </c>
      <c r="N122" s="1215">
        <f>H139</f>
        <v>130.16666666666666</v>
      </c>
      <c r="O122" s="1169"/>
      <c r="P122" s="1207">
        <f>((N122-O121)/(O123-O121)*(Q123-Q121)+Q121)</f>
        <v>-0.39653333333333329</v>
      </c>
      <c r="Q122" s="1170"/>
    </row>
    <row r="123" spans="1:17" x14ac:dyDescent="0.25">
      <c r="A123" s="1159">
        <f t="shared" si="20"/>
        <v>200</v>
      </c>
      <c r="B123" s="199">
        <f t="shared" ref="B123:E123" si="23">IF(B179=0,0.000001,B179)</f>
        <v>9.9999999999999995E-7</v>
      </c>
      <c r="C123" s="199" t="str">
        <f t="shared" si="23"/>
        <v>-</v>
      </c>
      <c r="D123" s="199">
        <f t="shared" si="23"/>
        <v>9.9999999999999995E-7</v>
      </c>
      <c r="E123" s="1161">
        <f t="shared" si="23"/>
        <v>0.5</v>
      </c>
      <c r="H123" s="1167">
        <f t="shared" si="22"/>
        <v>200</v>
      </c>
      <c r="I123" s="1166">
        <f t="shared" si="17"/>
        <v>9.9999999999999995E-7</v>
      </c>
      <c r="J123" s="1166" t="str">
        <f t="shared" si="19"/>
        <v>-</v>
      </c>
      <c r="K123" s="1166">
        <f t="shared" si="19"/>
        <v>9.9999999999999995E-7</v>
      </c>
      <c r="L123" s="1166">
        <f t="shared" si="19"/>
        <v>0.5</v>
      </c>
      <c r="N123" s="1202"/>
      <c r="O123" s="1169">
        <f>IF($N$111&lt;=$A$121,H121,IF($N$111&lt;=$A$122,H122,IF($N$111&lt;=$A$123,H123,IF($N$111&lt;=$A$124,H124,IF($N$111&lt;=$A$125,H125,IF($N$111&lt;=$A$126,H126,IF($N$111&lt;=$A$127,H127,$H$128)))))))</f>
        <v>600</v>
      </c>
      <c r="P123" s="1169"/>
      <c r="Q123" s="1169">
        <f>IF($N$111&lt;=$A$121,I121,IF($N$111&lt;=$A$122,I122,IF($N$111&lt;=$A$123,I123,IF($N$111&lt;=$A$124,I124,IF($N$111&lt;=$A$125,I125,IF($N$111&lt;=$A$126,I126,IF($N$111&lt;=$A$127,I127,$I$128)))))))</f>
        <v>-1.9</v>
      </c>
    </row>
    <row r="124" spans="1:17" s="586" customFormat="1" ht="27" customHeight="1" x14ac:dyDescent="0.25">
      <c r="A124" s="1159">
        <f t="shared" si="20"/>
        <v>300</v>
      </c>
      <c r="B124" s="199">
        <f t="shared" ref="B124:E124" si="24">IF(B180=0,0.000001,B180)</f>
        <v>-0.5</v>
      </c>
      <c r="C124" s="199" t="str">
        <f t="shared" si="24"/>
        <v>-</v>
      </c>
      <c r="D124" s="199">
        <f t="shared" si="24"/>
        <v>9.9999999999999995E-7</v>
      </c>
      <c r="E124" s="1161">
        <f t="shared" si="24"/>
        <v>0.5</v>
      </c>
      <c r="H124" s="1167">
        <f t="shared" si="22"/>
        <v>300</v>
      </c>
      <c r="I124" s="1166">
        <f t="shared" si="17"/>
        <v>-0.5</v>
      </c>
      <c r="J124" s="1166" t="str">
        <f t="shared" si="19"/>
        <v>-</v>
      </c>
      <c r="K124" s="1166">
        <f t="shared" si="19"/>
        <v>9.9999999999999995E-7</v>
      </c>
      <c r="L124" s="1166">
        <f t="shared" si="19"/>
        <v>0.5</v>
      </c>
      <c r="N124" s="1202"/>
      <c r="O124" s="1202">
        <f>IF($N$125&lt;=$A$121,0,IF($N$125&lt;=$A$122,H121,IF($N$125&lt;=$A$123,H122,IF($N$125&lt;=$A$124,H123,IF($N$125&lt;=$A$125,H124,IF($N$125&lt;=$A$126,H125,IF($N$125&lt;=$A$127,H126,IF($N$125&lt;=$A$128,H127,IF($N$125&gt;=$A$128,H128)))))))))</f>
        <v>100</v>
      </c>
      <c r="P124" s="1206" t="s">
        <v>139</v>
      </c>
      <c r="Q124" s="1169">
        <f>IF($N$125&lt;=$A$121,0,IF($N$125&lt;=$A$122,K121,IF($N$125&lt;=$A$123,K122,IF($N$125&lt;=$A$124,K123,IF($N$125&lt;=$A$125,K124,IF($N$125&lt;=$A$126,K125,IF($N$125&lt;=$A$127,K126,IF($N$125&lt;=$A$128,K127,IF($N$125&gt;=$A$128,K128)))))))))</f>
        <v>9.9999999999999995E-7</v>
      </c>
    </row>
    <row r="125" spans="1:17" x14ac:dyDescent="0.25">
      <c r="A125" s="1159">
        <f t="shared" si="20"/>
        <v>400</v>
      </c>
      <c r="B125" s="199">
        <f t="shared" ref="B125:E125" si="25">IF(B181=0,0.000001,B181)</f>
        <v>-1.5</v>
      </c>
      <c r="C125" s="199" t="str">
        <f t="shared" si="25"/>
        <v>-</v>
      </c>
      <c r="D125" s="199">
        <f t="shared" si="25"/>
        <v>9.9999999999999995E-7</v>
      </c>
      <c r="E125" s="1161">
        <f t="shared" si="25"/>
        <v>0.5</v>
      </c>
      <c r="H125" s="1167">
        <f t="shared" si="22"/>
        <v>400</v>
      </c>
      <c r="I125" s="1166">
        <f t="shared" si="17"/>
        <v>-1.5</v>
      </c>
      <c r="J125" s="1166" t="str">
        <f t="shared" si="19"/>
        <v>-</v>
      </c>
      <c r="K125" s="1166">
        <f t="shared" si="19"/>
        <v>9.9999999999999995E-7</v>
      </c>
      <c r="L125" s="1166">
        <f t="shared" si="19"/>
        <v>0.5</v>
      </c>
      <c r="N125" s="1215">
        <f>J110</f>
        <v>130.56319999999999</v>
      </c>
      <c r="O125" s="1169"/>
      <c r="P125" s="1207">
        <f>((N125-O124)/(O126-O124)*(Q126-Q124)+Q124)</f>
        <v>9.9999999999999995E-7</v>
      </c>
      <c r="Q125" s="1170"/>
    </row>
    <row r="126" spans="1:17" x14ac:dyDescent="0.25">
      <c r="A126" s="1159">
        <f t="shared" si="20"/>
        <v>500</v>
      </c>
      <c r="B126" s="199">
        <f t="shared" ref="B126:E126" si="26">IF(B182=0,0.000001,B182)</f>
        <v>-1.5</v>
      </c>
      <c r="C126" s="199" t="str">
        <f t="shared" si="26"/>
        <v>-</v>
      </c>
      <c r="D126" s="199">
        <f t="shared" si="26"/>
        <v>9.9999999999999995E-7</v>
      </c>
      <c r="E126" s="1161">
        <f t="shared" si="26"/>
        <v>0.5</v>
      </c>
      <c r="H126" s="1167">
        <f t="shared" si="22"/>
        <v>500</v>
      </c>
      <c r="I126" s="1166">
        <f t="shared" si="17"/>
        <v>-1.5</v>
      </c>
      <c r="J126" s="1166" t="str">
        <f t="shared" si="19"/>
        <v>-</v>
      </c>
      <c r="K126" s="1166">
        <f t="shared" si="19"/>
        <v>9.9999999999999995E-7</v>
      </c>
      <c r="L126" s="1166">
        <f t="shared" si="19"/>
        <v>0.5</v>
      </c>
      <c r="N126" s="1202"/>
      <c r="O126" s="1169">
        <f>IF($N$125&lt;=$A$121,H121,IF($N$125&lt;=$A$122,H122,IF($N$125&lt;=$A$123,H123,IF($N$125&lt;=$A$124,H124,IF($N$125&lt;=$A$125,H125,IF($N$125&lt;=$A$126,H127,IF($N$125&lt;=$A$127,H128,$H$126)))))))</f>
        <v>200</v>
      </c>
      <c r="P126" s="1169"/>
      <c r="Q126" s="1169">
        <f>IF($N$125&lt;=$A$121,K121,IF($N$125&lt;=$A$122,K122,IF($N$125&lt;=$A$123,K123,IF($N$125&lt;=$A$124,K124,IF($N$125&lt;=$A$125,K125,IF($N$125&lt;=$A$126,K127,IF($N$125&lt;=$A$127,K128,$K$126)))))))</f>
        <v>9.9999999999999995E-7</v>
      </c>
    </row>
    <row r="127" spans="1:17" x14ac:dyDescent="0.25">
      <c r="A127" s="1159">
        <f t="shared" si="20"/>
        <v>600</v>
      </c>
      <c r="B127" s="199">
        <f t="shared" ref="B127:E127" si="27">IF(B183=0,0.000001,B183)</f>
        <v>-1.9</v>
      </c>
      <c r="C127" s="199" t="str">
        <f t="shared" si="27"/>
        <v>-</v>
      </c>
      <c r="D127" s="199">
        <f t="shared" si="27"/>
        <v>9.9999999999999995E-7</v>
      </c>
      <c r="E127" s="1161">
        <f t="shared" si="27"/>
        <v>0.5</v>
      </c>
      <c r="H127" s="1167">
        <f t="shared" si="22"/>
        <v>600</v>
      </c>
      <c r="I127" s="1166">
        <f t="shared" si="17"/>
        <v>-1.9</v>
      </c>
      <c r="J127" s="1166" t="str">
        <f t="shared" si="19"/>
        <v>-</v>
      </c>
      <c r="K127" s="1166">
        <f t="shared" si="19"/>
        <v>9.9999999999999995E-7</v>
      </c>
      <c r="L127" s="1166">
        <f t="shared" si="19"/>
        <v>0.5</v>
      </c>
      <c r="N127" s="1202"/>
      <c r="O127" s="1202">
        <f>IF($N$128&lt;=$A$121,0,IF($N$128&lt;=$A$122,H121,IF($N$128&lt;=$A$123,H122,IF($N$128&lt;=$A$124,H123,IF($N$128&lt;=$A$125,H124,IF($N$128&lt;=$A$126,H125,IF($N$128&lt;=$A$127,H126,IF($N$128&lt;=$A$128,H127,IF($N$128&gt;=$A$128,H128)))))))))</f>
        <v>100</v>
      </c>
      <c r="P127" s="1206" t="s">
        <v>137</v>
      </c>
      <c r="Q127" s="1169">
        <f>IF($N$128&lt;=$A$121,0,IF($N$128&lt;=$A$122,L121,IF($N$128&lt;=$A$123,L122,IF($N$128&lt;=$A$124,L123,IF($N$128&lt;=$A$125,L124,IF($N$128&lt;=$A$126,L125,IF($N$128&lt;=$A$127,L126,IF($N$128&lt;=$A$128,L127,IF($N$128&gt;=$A$128,L128)))))))))</f>
        <v>0.5</v>
      </c>
    </row>
    <row r="128" spans="1:17" x14ac:dyDescent="0.25">
      <c r="A128" s="1159">
        <f t="shared" si="20"/>
        <v>1000</v>
      </c>
      <c r="B128" s="199">
        <f t="shared" ref="B128:E128" si="28">IF(B184=0,0.000001,B184)</f>
        <v>-1.9</v>
      </c>
      <c r="C128" s="199" t="str">
        <f t="shared" si="28"/>
        <v>-</v>
      </c>
      <c r="D128" s="199">
        <f t="shared" si="28"/>
        <v>9.9999999999999995E-7</v>
      </c>
      <c r="E128" s="1161">
        <f t="shared" si="28"/>
        <v>0.5</v>
      </c>
      <c r="H128" s="1167">
        <f t="shared" si="22"/>
        <v>1000</v>
      </c>
      <c r="I128" s="1166">
        <f t="shared" si="17"/>
        <v>-1.9</v>
      </c>
      <c r="J128" s="1166" t="str">
        <f t="shared" si="19"/>
        <v>-</v>
      </c>
      <c r="K128" s="1166">
        <f t="shared" si="19"/>
        <v>9.9999999999999995E-7</v>
      </c>
      <c r="L128" s="1166">
        <f t="shared" si="19"/>
        <v>0.5</v>
      </c>
      <c r="N128" s="1215">
        <f>N125</f>
        <v>130.56319999999999</v>
      </c>
      <c r="O128" s="1169"/>
      <c r="P128" s="1207">
        <f>((N128-O127)/(O129-O127)*(Q129-Q127)+Q127)</f>
        <v>0.5</v>
      </c>
      <c r="Q128" s="1170"/>
    </row>
    <row r="129" spans="1:17" x14ac:dyDescent="0.25">
      <c r="A129" s="1159"/>
      <c r="B129" s="199"/>
      <c r="C129" s="199"/>
      <c r="D129" s="199"/>
      <c r="E129" s="1161"/>
      <c r="H129" s="877"/>
      <c r="I129" s="686"/>
      <c r="J129" s="1007"/>
      <c r="K129" s="686"/>
      <c r="L129" s="686"/>
      <c r="N129" s="1169"/>
      <c r="O129" s="1169">
        <f>IF($N$128&lt;=$A$121,H121,IF($N$128&lt;=$A$122,H122,IF($N$128&lt;=$A$123,H123,IF($N$128&lt;=$A$124,H124,IF($N$128&lt;=$A$125,H125,IF($N$128&lt;=$A$126,H126,IF($N$128&lt;=$A$127,H127,$H$128)))))))</f>
        <v>200</v>
      </c>
      <c r="P129" s="1169"/>
      <c r="Q129" s="1169">
        <f>IF($N$128&lt;=$A$121,L121,IF($N$128&lt;=$A$122,L122,IF($N$128&lt;=$A$123,L123,IF($N$128&lt;=$A$124,L124,IF($N$128&lt;=$A$125,L125,IF($N$128&lt;=$A$126,L126,IF($N$128&lt;=$A$127,L127,$L$128)))))))</f>
        <v>0.5</v>
      </c>
    </row>
    <row r="130" spans="1:17" x14ac:dyDescent="0.25">
      <c r="A130" s="1159"/>
      <c r="B130" s="199"/>
      <c r="C130" s="199"/>
      <c r="D130" s="199"/>
      <c r="E130" s="1161"/>
      <c r="H130" s="685">
        <f>' Input Data Tekanan Hisap'!A130</f>
        <v>0</v>
      </c>
      <c r="I130" s="685">
        <f>' Input Data Tekanan Hisap'!B130</f>
        <v>0</v>
      </c>
      <c r="J130" s="685">
        <f>' Input Data Tekanan Hisap'!C130</f>
        <v>0</v>
      </c>
      <c r="K130" s="685">
        <f>' Input Data Tekanan Hisap'!D130</f>
        <v>0</v>
      </c>
      <c r="L130" s="685">
        <f>' Input Data Tekanan Hisap'!E130</f>
        <v>0</v>
      </c>
    </row>
    <row r="131" spans="1:17" x14ac:dyDescent="0.25">
      <c r="A131" s="1159"/>
      <c r="B131" s="199"/>
      <c r="C131" s="199"/>
      <c r="D131" s="199"/>
      <c r="E131" s="1161"/>
      <c r="H131" s="685">
        <f>' Input Data Tekanan Hisap'!A131</f>
        <v>0</v>
      </c>
      <c r="I131" s="685">
        <f>' Input Data Tekanan Hisap'!B131</f>
        <v>0</v>
      </c>
      <c r="J131" s="685">
        <f>' Input Data Tekanan Hisap'!C131</f>
        <v>0</v>
      </c>
      <c r="K131" s="685">
        <f>' Input Data Tekanan Hisap'!D131</f>
        <v>0</v>
      </c>
      <c r="L131" s="685">
        <f>' Input Data Tekanan Hisap'!E131</f>
        <v>0</v>
      </c>
    </row>
    <row r="132" spans="1:17" x14ac:dyDescent="0.25">
      <c r="A132" s="1159"/>
      <c r="B132" s="199"/>
      <c r="C132" s="199"/>
      <c r="D132" s="199"/>
      <c r="E132" s="1161"/>
      <c r="H132" s="685">
        <f>' Input Data Tekanan Hisap'!A132</f>
        <v>0</v>
      </c>
      <c r="I132" s="685">
        <f>' Input Data Tekanan Hisap'!B132</f>
        <v>0</v>
      </c>
      <c r="J132" s="685">
        <f>' Input Data Tekanan Hisap'!C132</f>
        <v>0</v>
      </c>
      <c r="K132" s="685">
        <f>' Input Data Tekanan Hisap'!D132</f>
        <v>0</v>
      </c>
      <c r="L132" s="685">
        <f>' Input Data Tekanan Hisap'!E132</f>
        <v>0</v>
      </c>
    </row>
    <row r="133" spans="1:17" ht="13.8" thickBot="1" x14ac:dyDescent="0.3">
      <c r="A133" s="1160"/>
      <c r="B133" s="1162"/>
      <c r="C133" s="1162"/>
      <c r="D133" s="1162"/>
      <c r="E133" s="1163"/>
      <c r="H133" s="685">
        <f>' Input Data Tekanan Hisap'!A133</f>
        <v>0</v>
      </c>
      <c r="I133" s="685">
        <f>' Input Data Tekanan Hisap'!B133</f>
        <v>0</v>
      </c>
      <c r="J133" s="685">
        <f>' Input Data Tekanan Hisap'!C133</f>
        <v>0</v>
      </c>
      <c r="K133" s="685">
        <f>' Input Data Tekanan Hisap'!D133</f>
        <v>0</v>
      </c>
      <c r="L133" s="685">
        <f>' Input Data Tekanan Hisap'!E133</f>
        <v>0</v>
      </c>
    </row>
    <row r="134" spans="1:17" x14ac:dyDescent="0.25">
      <c r="H134" s="232"/>
    </row>
    <row r="136" spans="1:17" ht="21.75" customHeight="1" x14ac:dyDescent="0.4">
      <c r="A136" s="1393" t="str">
        <f>ID!C36</f>
        <v>Tekanan Hisap 
Saliva (mmHg)</v>
      </c>
      <c r="B136" s="1393"/>
      <c r="C136" s="1393"/>
      <c r="D136" s="1393"/>
      <c r="E136" s="1393"/>
      <c r="F136" s="1393"/>
      <c r="H136" s="1393" t="str">
        <f>ID!C37</f>
        <v>Tekanan Hisap 
Blood (mmHg)</v>
      </c>
      <c r="I136" s="1393"/>
      <c r="J136" s="1393"/>
      <c r="K136" s="1393"/>
      <c r="L136" s="1393"/>
      <c r="M136" s="1393"/>
    </row>
    <row r="137" spans="1:17" ht="13.8" thickBot="1" x14ac:dyDescent="0.3"/>
    <row r="138" spans="1:17" ht="34.5" customHeight="1" x14ac:dyDescent="0.25">
      <c r="A138" s="663" t="s">
        <v>140</v>
      </c>
      <c r="B138" s="663" t="s">
        <v>141</v>
      </c>
      <c r="C138" s="663" t="s">
        <v>142</v>
      </c>
      <c r="D138" s="663" t="s">
        <v>143</v>
      </c>
      <c r="E138" s="663" t="s">
        <v>144</v>
      </c>
      <c r="F138" s="664" t="s">
        <v>145</v>
      </c>
      <c r="H138" s="663" t="s">
        <v>140</v>
      </c>
      <c r="I138" s="663" t="s">
        <v>141</v>
      </c>
      <c r="J138" s="663" t="s">
        <v>142</v>
      </c>
      <c r="K138" s="663" t="s">
        <v>143</v>
      </c>
      <c r="L138" s="663" t="s">
        <v>144</v>
      </c>
      <c r="M138" s="664" t="s">
        <v>145</v>
      </c>
    </row>
    <row r="139" spans="1:17" x14ac:dyDescent="0.25">
      <c r="A139" s="1214">
        <f>ID!K36</f>
        <v>600</v>
      </c>
      <c r="B139" s="1214">
        <f>C110</f>
        <v>601.9</v>
      </c>
      <c r="C139" s="592">
        <f>ID!M36</f>
        <v>0</v>
      </c>
      <c r="D139" s="684">
        <f>(C139/ABS(B139)*100)</f>
        <v>0</v>
      </c>
      <c r="E139" s="592">
        <f>B139-(A139)</f>
        <v>1.8999999999999773</v>
      </c>
      <c r="F139" s="592">
        <f>UNCERT!L38</f>
        <v>0.57448515287626611</v>
      </c>
      <c r="H139" s="1214">
        <f>ID!K37</f>
        <v>130.16666666666666</v>
      </c>
      <c r="I139" s="1214">
        <f>J110</f>
        <v>130.56319999999999</v>
      </c>
      <c r="J139" s="592">
        <f>ID!M37</f>
        <v>0.40824829046386296</v>
      </c>
      <c r="K139" s="684">
        <f>(J139/ABS(I139)*100)</f>
        <v>0.31268250966877575</v>
      </c>
      <c r="L139" s="592">
        <f>(I139)-H139</f>
        <v>0.39653333333333762</v>
      </c>
      <c r="M139" s="592">
        <f>UNCERT!X38</f>
        <v>0.66913769696021774</v>
      </c>
    </row>
    <row r="143" spans="1:17" ht="13.8" thickBot="1" x14ac:dyDescent="0.3"/>
    <row r="144" spans="1:17" ht="27" customHeight="1" x14ac:dyDescent="0.25">
      <c r="A144" s="1390" t="s">
        <v>211</v>
      </c>
      <c r="B144" s="1391"/>
      <c r="C144" s="1391"/>
      <c r="D144" s="1391"/>
      <c r="E144" s="1391"/>
      <c r="F144" s="1391"/>
      <c r="G144" s="1391"/>
      <c r="H144" s="1391"/>
      <c r="I144" s="1391"/>
      <c r="J144" s="1391"/>
      <c r="K144" s="1392"/>
      <c r="L144" s="767" t="s">
        <v>177</v>
      </c>
      <c r="M144" s="166"/>
    </row>
    <row r="145" spans="1:14" x14ac:dyDescent="0.25">
      <c r="A145" s="673" t="s">
        <v>212</v>
      </c>
      <c r="B145" s="671"/>
      <c r="C145" s="671"/>
      <c r="D145" s="671"/>
      <c r="E145" s="671"/>
      <c r="F145" s="671"/>
      <c r="G145" s="671"/>
      <c r="H145" s="672"/>
      <c r="I145" s="620" t="s">
        <v>179</v>
      </c>
      <c r="J145" s="621">
        <f>IF(ID!$B$54=' Input Data Tekanan Hisap'!A145,3,0)</f>
        <v>0</v>
      </c>
      <c r="K145" s="690">
        <f>SUM(J145:J164)</f>
        <v>3</v>
      </c>
      <c r="L145" s="764">
        <v>0.5</v>
      </c>
      <c r="N145" s="166"/>
    </row>
    <row r="146" spans="1:14" x14ac:dyDescent="0.25">
      <c r="A146" s="673" t="s">
        <v>213</v>
      </c>
      <c r="B146" s="671"/>
      <c r="C146" s="671"/>
      <c r="D146" s="671"/>
      <c r="E146" s="671"/>
      <c r="F146" s="671"/>
      <c r="G146" s="671"/>
      <c r="H146" s="672"/>
      <c r="I146" s="620" t="s">
        <v>179</v>
      </c>
      <c r="J146" s="621">
        <f>IF(ID!$B$54=' Input Data Tekanan Hisap'!A146,3,0)</f>
        <v>0</v>
      </c>
      <c r="K146" s="691"/>
      <c r="L146" s="764">
        <v>0.5</v>
      </c>
      <c r="M146" s="166"/>
    </row>
    <row r="147" spans="1:14" x14ac:dyDescent="0.25">
      <c r="A147" s="673" t="s">
        <v>214</v>
      </c>
      <c r="B147" s="671"/>
      <c r="C147" s="671"/>
      <c r="D147" s="671"/>
      <c r="E147" s="671"/>
      <c r="F147" s="671"/>
      <c r="G147" s="671"/>
      <c r="H147" s="672"/>
      <c r="I147" s="620" t="s">
        <v>215</v>
      </c>
      <c r="J147" s="621">
        <f>IF(ID!$B$54=' Input Data Tekanan Hisap'!A147,1,0)</f>
        <v>0</v>
      </c>
      <c r="K147" s="691"/>
      <c r="L147" s="764">
        <v>1</v>
      </c>
    </row>
    <row r="148" spans="1:14" x14ac:dyDescent="0.25">
      <c r="A148" s="673" t="s">
        <v>216</v>
      </c>
      <c r="B148" s="671"/>
      <c r="C148" s="671"/>
      <c r="D148" s="671"/>
      <c r="E148" s="671"/>
      <c r="F148" s="671"/>
      <c r="G148" s="671"/>
      <c r="H148" s="672"/>
      <c r="I148" s="620" t="s">
        <v>217</v>
      </c>
      <c r="J148" s="621">
        <f>IF(ID!$B$54=' Input Data Tekanan Hisap'!A148,2,0)</f>
        <v>0</v>
      </c>
      <c r="K148" s="691"/>
      <c r="L148" s="765">
        <v>0.5</v>
      </c>
      <c r="M148" s="166"/>
    </row>
    <row r="149" spans="1:14" x14ac:dyDescent="0.25">
      <c r="A149" s="673" t="s">
        <v>218</v>
      </c>
      <c r="B149" s="671"/>
      <c r="C149" s="671"/>
      <c r="D149" s="671"/>
      <c r="E149" s="671"/>
      <c r="F149" s="671"/>
      <c r="G149" s="671"/>
      <c r="H149" s="672"/>
      <c r="I149" s="620" t="s">
        <v>217</v>
      </c>
      <c r="J149" s="621">
        <f>IF(ID!$B$54=' Input Data Tekanan Hisap'!A149,2,0)</f>
        <v>0</v>
      </c>
      <c r="K149" s="691"/>
      <c r="L149" s="765">
        <v>0.5</v>
      </c>
    </row>
    <row r="150" spans="1:14" x14ac:dyDescent="0.25">
      <c r="A150" s="673" t="s">
        <v>219</v>
      </c>
      <c r="B150" s="671"/>
      <c r="C150" s="671"/>
      <c r="D150" s="671"/>
      <c r="E150" s="671"/>
      <c r="F150" s="671"/>
      <c r="G150" s="671"/>
      <c r="H150" s="672"/>
      <c r="I150" s="620" t="s">
        <v>179</v>
      </c>
      <c r="J150" s="621">
        <f>IF(ID!$B$54=' Input Data Tekanan Hisap'!A150,3,0)</f>
        <v>0</v>
      </c>
      <c r="K150" s="691"/>
      <c r="L150" s="765">
        <v>0.5</v>
      </c>
    </row>
    <row r="151" spans="1:14" x14ac:dyDescent="0.25">
      <c r="A151" s="673" t="s">
        <v>220</v>
      </c>
      <c r="B151" s="671"/>
      <c r="C151" s="671"/>
      <c r="D151" s="671"/>
      <c r="E151" s="671"/>
      <c r="F151" s="671"/>
      <c r="G151" s="671"/>
      <c r="H151" s="672"/>
      <c r="I151" s="620" t="s">
        <v>179</v>
      </c>
      <c r="J151" s="621">
        <f>IF(ID!$B$54=' Input Data Tekanan Hisap'!A151,3,0)</f>
        <v>0</v>
      </c>
      <c r="K151" s="691"/>
      <c r="L151" s="765">
        <v>0.5</v>
      </c>
    </row>
    <row r="152" spans="1:14" hidden="1" x14ac:dyDescent="0.25">
      <c r="A152" s="673" t="s">
        <v>221</v>
      </c>
      <c r="B152" s="671"/>
      <c r="C152" s="671"/>
      <c r="D152" s="671"/>
      <c r="E152" s="671"/>
      <c r="F152" s="671"/>
      <c r="G152" s="671"/>
      <c r="H152" s="672"/>
      <c r="I152" s="620" t="s">
        <v>217</v>
      </c>
      <c r="J152" s="621">
        <f>IF(ID!$B$54=' Input Data Tekanan Hisap'!A152,2,0)</f>
        <v>0</v>
      </c>
      <c r="K152" s="691"/>
      <c r="L152" s="765">
        <v>0.5</v>
      </c>
    </row>
    <row r="153" spans="1:14" hidden="1" x14ac:dyDescent="0.25">
      <c r="A153" s="673" t="s">
        <v>222</v>
      </c>
      <c r="B153" s="671"/>
      <c r="C153" s="671"/>
      <c r="D153" s="671"/>
      <c r="E153" s="671"/>
      <c r="F153" s="671"/>
      <c r="G153" s="671"/>
      <c r="H153" s="672"/>
      <c r="I153" s="620" t="s">
        <v>217</v>
      </c>
      <c r="J153" s="621">
        <f>IF(ID!$B$54=' Input Data Tekanan Hisap'!A153,2,0)</f>
        <v>0</v>
      </c>
      <c r="K153" s="691"/>
      <c r="L153" s="765">
        <v>0.5</v>
      </c>
    </row>
    <row r="154" spans="1:14" hidden="1" x14ac:dyDescent="0.25">
      <c r="A154" s="673" t="s">
        <v>222</v>
      </c>
      <c r="B154" s="671"/>
      <c r="C154" s="671"/>
      <c r="D154" s="671"/>
      <c r="E154" s="671"/>
      <c r="F154" s="671"/>
      <c r="G154" s="671"/>
      <c r="H154" s="672"/>
      <c r="I154" s="620" t="s">
        <v>217</v>
      </c>
      <c r="J154" s="621">
        <f>IF(ID!$B$54=' Input Data Tekanan Hisap'!A154,2,0)</f>
        <v>0</v>
      </c>
      <c r="K154" s="691"/>
      <c r="L154" s="765">
        <v>0.5</v>
      </c>
    </row>
    <row r="155" spans="1:14" x14ac:dyDescent="0.25">
      <c r="A155" s="673" t="s">
        <v>223</v>
      </c>
      <c r="B155" s="671"/>
      <c r="C155" s="671"/>
      <c r="D155" s="671"/>
      <c r="E155" s="671"/>
      <c r="F155" s="671"/>
      <c r="G155" s="671"/>
      <c r="H155" s="672"/>
      <c r="I155" s="620" t="s">
        <v>179</v>
      </c>
      <c r="J155" s="621">
        <f>IF(ID!$B$54=' Input Data Tekanan Hisap'!A155,3,0)</f>
        <v>3</v>
      </c>
      <c r="K155" s="691"/>
      <c r="L155" s="765">
        <v>0.5</v>
      </c>
    </row>
    <row r="156" spans="1:14" x14ac:dyDescent="0.25">
      <c r="A156" s="673" t="s">
        <v>224</v>
      </c>
      <c r="B156" s="671"/>
      <c r="C156" s="671"/>
      <c r="D156" s="671"/>
      <c r="E156" s="671"/>
      <c r="F156" s="671"/>
      <c r="G156" s="671"/>
      <c r="H156" s="672"/>
      <c r="I156" s="620" t="s">
        <v>179</v>
      </c>
      <c r="J156" s="621">
        <f>IF(ID!$B$54=' Input Data Tekanan Hisap'!A156,3,0)</f>
        <v>0</v>
      </c>
      <c r="K156" s="691"/>
      <c r="L156" s="765">
        <v>0.5</v>
      </c>
      <c r="M156" s="673" t="s">
        <v>225</v>
      </c>
    </row>
    <row r="157" spans="1:14" x14ac:dyDescent="0.25">
      <c r="A157" s="673" t="s">
        <v>226</v>
      </c>
      <c r="B157" s="671"/>
      <c r="C157" s="671"/>
      <c r="D157" s="671"/>
      <c r="E157" s="671"/>
      <c r="F157" s="671"/>
      <c r="G157" s="671"/>
      <c r="H157" s="672"/>
      <c r="I157" s="620" t="s">
        <v>179</v>
      </c>
      <c r="J157" s="621">
        <f>IF(ID!$B$54=' Input Data Tekanan Hisap'!A157,3,0)</f>
        <v>0</v>
      </c>
      <c r="K157" s="691"/>
      <c r="L157" s="765">
        <v>0.5</v>
      </c>
      <c r="M157" s="673" t="s">
        <v>227</v>
      </c>
    </row>
    <row r="158" spans="1:14" x14ac:dyDescent="0.25">
      <c r="A158" s="673" t="s">
        <v>228</v>
      </c>
      <c r="B158" s="671"/>
      <c r="C158" s="671"/>
      <c r="D158" s="671"/>
      <c r="E158" s="671"/>
      <c r="F158" s="671"/>
      <c r="G158" s="671"/>
      <c r="H158" s="672"/>
      <c r="I158" s="620" t="s">
        <v>179</v>
      </c>
      <c r="J158" s="621">
        <f>IF(ID!$B$54=' Input Data Tekanan Hisap'!A158,3,0)</f>
        <v>0</v>
      </c>
      <c r="K158" s="691"/>
      <c r="L158" s="765">
        <v>0.5</v>
      </c>
      <c r="M158" s="673" t="s">
        <v>223</v>
      </c>
    </row>
    <row r="159" spans="1:14" ht="14.25" customHeight="1" x14ac:dyDescent="0.25">
      <c r="A159" s="673" t="s">
        <v>229</v>
      </c>
      <c r="B159" s="671"/>
      <c r="C159" s="671"/>
      <c r="D159" s="671"/>
      <c r="E159" s="671"/>
      <c r="F159" s="671"/>
      <c r="G159" s="671"/>
      <c r="H159" s="672"/>
      <c r="I159" s="620" t="s">
        <v>179</v>
      </c>
      <c r="J159" s="621">
        <f>IF(ID!$B$54=' Input Data Tekanan Hisap'!A159,3,0)</f>
        <v>0</v>
      </c>
      <c r="K159" s="691"/>
      <c r="L159" s="765">
        <v>0.5</v>
      </c>
      <c r="M159" s="673" t="s">
        <v>228</v>
      </c>
    </row>
    <row r="160" spans="1:14" x14ac:dyDescent="0.25">
      <c r="A160" s="673" t="s">
        <v>230</v>
      </c>
      <c r="B160" s="671"/>
      <c r="C160" s="671"/>
      <c r="D160" s="671"/>
      <c r="E160" s="671"/>
      <c r="F160" s="671"/>
      <c r="G160" s="671"/>
      <c r="H160" s="672"/>
      <c r="I160" s="620" t="s">
        <v>179</v>
      </c>
      <c r="J160" s="621">
        <f>IF(ID!$B$54=' Input Data Tekanan Hisap'!A160,3,0)</f>
        <v>0</v>
      </c>
      <c r="K160" s="691"/>
      <c r="L160" s="765">
        <v>0.5</v>
      </c>
      <c r="M160" s="673" t="s">
        <v>229</v>
      </c>
    </row>
    <row r="161" spans="1:13" x14ac:dyDescent="0.25">
      <c r="A161" s="673" t="s">
        <v>230</v>
      </c>
      <c r="B161" s="671"/>
      <c r="C161" s="671"/>
      <c r="D161" s="671"/>
      <c r="E161" s="671"/>
      <c r="F161" s="671"/>
      <c r="G161" s="671"/>
      <c r="H161" s="672"/>
      <c r="I161" s="620" t="s">
        <v>179</v>
      </c>
      <c r="J161" s="621">
        <f>IF(ID!$B$54=' Input Data Tekanan Hisap'!A161,3,0)</f>
        <v>0</v>
      </c>
      <c r="K161" s="691"/>
      <c r="L161" s="765">
        <v>0.5</v>
      </c>
      <c r="M161" s="673" t="s">
        <v>231</v>
      </c>
    </row>
    <row r="162" spans="1:13" x14ac:dyDescent="0.25">
      <c r="A162" s="673" t="s">
        <v>232</v>
      </c>
      <c r="B162" s="671"/>
      <c r="C162" s="671"/>
      <c r="D162" s="671"/>
      <c r="E162" s="671"/>
      <c r="F162" s="671"/>
      <c r="G162" s="671"/>
      <c r="H162" s="672"/>
      <c r="I162" s="620" t="s">
        <v>179</v>
      </c>
      <c r="J162" s="621">
        <f>IF(ID!$B$54=' Input Data Tekanan Hisap'!A162,3,0)</f>
        <v>0</v>
      </c>
      <c r="K162" s="691"/>
      <c r="L162" s="765">
        <v>0.5</v>
      </c>
      <c r="M162" s="673" t="s">
        <v>224</v>
      </c>
    </row>
    <row r="163" spans="1:13" x14ac:dyDescent="0.25">
      <c r="A163" s="692" t="s">
        <v>233</v>
      </c>
      <c r="B163" s="671"/>
      <c r="C163" s="671"/>
      <c r="D163" s="671"/>
      <c r="E163" s="671"/>
      <c r="F163" s="671"/>
      <c r="G163" s="671"/>
      <c r="H163" s="672"/>
      <c r="I163" s="620" t="s">
        <v>179</v>
      </c>
      <c r="J163" s="621">
        <f>IF(ID!$B$54=' Input Data Tekanan Hisap'!A163,3,0)</f>
        <v>0</v>
      </c>
      <c r="K163" s="691"/>
      <c r="L163" s="765">
        <v>0.5</v>
      </c>
      <c r="M163" s="673" t="s">
        <v>234</v>
      </c>
    </row>
    <row r="164" spans="1:13" hidden="1" x14ac:dyDescent="0.25">
      <c r="A164" s="673" t="s">
        <v>235</v>
      </c>
      <c r="B164" s="671"/>
      <c r="C164" s="671"/>
      <c r="D164" s="671"/>
      <c r="E164" s="671"/>
      <c r="F164" s="671"/>
      <c r="G164" s="671"/>
      <c r="H164" s="672"/>
      <c r="I164" s="620" t="s">
        <v>179</v>
      </c>
      <c r="J164" s="621">
        <f>IF(ID!$B$54=' Input Data Tekanan Hisap'!A164,3,0)</f>
        <v>0</v>
      </c>
      <c r="K164" s="691"/>
      <c r="L164" s="764"/>
    </row>
    <row r="165" spans="1:13" ht="13.8" thickBot="1" x14ac:dyDescent="0.3">
      <c r="A165" s="60"/>
      <c r="B165" s="54"/>
      <c r="C165" s="54"/>
      <c r="D165" s="54"/>
      <c r="E165" s="54"/>
      <c r="F165" s="54"/>
      <c r="G165" s="54"/>
      <c r="H165" s="54"/>
      <c r="I165" s="54"/>
      <c r="J165" s="54"/>
      <c r="K165" s="151"/>
      <c r="L165" s="764"/>
    </row>
    <row r="166" spans="1:13" ht="13.8" thickBot="1" x14ac:dyDescent="0.3">
      <c r="A166" s="1401" t="str">
        <f>IF(' Input Data Tekanan Hisap'!$K$145=1,'kata-kata'!$B$24,IF(' Input Data Tekanan Hisap'!$K$145=2,'kata-kata'!$B$25,IF(' Input Data Tekanan Hisap'!$K$145=3,'kata-kata'!$B$26)))</f>
        <v>Hasil pengujian Tekanan Semprot tertelusur ke Satuan Internasional ( SI ) melalui PT. Kaliman</v>
      </c>
      <c r="B166" s="1402"/>
      <c r="C166" s="1402"/>
      <c r="D166" s="1402"/>
      <c r="E166" s="1402"/>
      <c r="F166" s="1402"/>
      <c r="G166" s="1402"/>
      <c r="H166" s="1402"/>
      <c r="I166" s="1402"/>
      <c r="J166" s="1402"/>
      <c r="K166" s="1403"/>
      <c r="L166" s="764">
        <f>IF(A118=A147,L147,L145)</f>
        <v>0.5</v>
      </c>
    </row>
    <row r="167" spans="1:13" ht="13.8" thickBot="1" x14ac:dyDescent="0.3">
      <c r="A167" s="1401" t="str">
        <f>IF(' Input Data Tekanan Hisap'!$K$145=1,'kata-kata'!$B$27,IF(' Input Data Tekanan Hisap'!$K$145=2,'kata-kata'!$B$28,IF(' Input Data Tekanan Hisap'!$K$145=3,'kata-kata'!$B$29)))</f>
        <v xml:space="preserve">Hasil pengujian Tekanan Hisap tertelusur ke Satuan Internasional ( SI ) melalui PT. Kaliman </v>
      </c>
      <c r="B167" s="1402"/>
      <c r="C167" s="1402"/>
      <c r="D167" s="1402"/>
      <c r="E167" s="1402"/>
      <c r="F167" s="1402"/>
      <c r="G167" s="1402"/>
      <c r="H167" s="1402"/>
      <c r="I167" s="1402"/>
      <c r="J167" s="1402"/>
      <c r="K167" s="1403"/>
    </row>
    <row r="173" spans="1:13" ht="13.8" thickBot="1" x14ac:dyDescent="0.3">
      <c r="A173" s="165"/>
      <c r="B173" s="165"/>
      <c r="C173" s="165"/>
      <c r="D173" s="165"/>
      <c r="E173" s="165"/>
    </row>
    <row r="174" spans="1:13" ht="13.8" thickBot="1" x14ac:dyDescent="0.3">
      <c r="A174" s="1130" t="str">
        <f>A118</f>
        <v>Digital Pressure Meter, Merek : Fluke, Model : DPM4 2G, SN : 4821027</v>
      </c>
      <c r="B174" s="1131"/>
      <c r="C174" s="1131"/>
      <c r="D174" s="1131"/>
      <c r="E174" s="1132"/>
      <c r="H174" s="1164"/>
      <c r="I174" s="1165"/>
      <c r="J174" s="1165"/>
      <c r="K174" s="1165"/>
      <c r="L174" s="1165"/>
    </row>
    <row r="175" spans="1:13" ht="27.75" customHeight="1" x14ac:dyDescent="0.25">
      <c r="A175" s="272" t="s">
        <v>209</v>
      </c>
      <c r="B175" s="1149" t="s">
        <v>127</v>
      </c>
      <c r="C175" s="1150"/>
      <c r="D175" s="1128" t="s">
        <v>123</v>
      </c>
      <c r="E175" s="1127" t="s">
        <v>124</v>
      </c>
      <c r="G175" s="697"/>
      <c r="H175" s="1151"/>
      <c r="I175" s="1152"/>
      <c r="J175" s="1152"/>
      <c r="K175" s="1152"/>
      <c r="L175" s="1151"/>
    </row>
    <row r="176" spans="1:13" x14ac:dyDescent="0.25">
      <c r="A176" s="1148" t="str">
        <f>IF($A$118=' Input Data Tekanan Hisap'!$A$145,' Input Data Tekanan Hisap'!A4,IF($A$118=' Input Data Tekanan Hisap'!$A$146,' Input Data Tekanan Hisap'!G4,IF($A$118=' Input Data Tekanan Hisap'!$A$147,' Input Data Tekanan Hisap'!M4,IF($A$118=' Input Data Tekanan Hisap'!$A$148,' Input Data Tekanan Hisap'!A22,IF($A$118=' Input Data Tekanan Hisap'!$A$149,' Input Data Tekanan Hisap'!G22,IF($A$118=' Input Data Tekanan Hisap'!$A$150,' Input Data Tekanan Hisap'!M22,IF($A$118=' Input Data Tekanan Hisap'!$A$151,' Input Data Tekanan Hisap'!A39,IF($A$118=' Input Data Tekanan Hisap'!$A$155,' Input Data Tekanan Hisap'!G39,IF($A$118=' Input Data Tekanan Hisap'!$A$156,' Input Data Tekanan Hisap'!M39,IF($A$118=' Input Data Tekanan Hisap'!$A$157,' Input Data Tekanan Hisap'!A57,IF($A$118=' Input Data Tekanan Hisap'!$A$158,' Input Data Tekanan Hisap'!G57,IF($A$118=' Input Data Tekanan Hisap'!$A$159,' Input Data Tekanan Hisap'!M57,IF($A$118=' Input Data Tekanan Hisap'!$A$160,' Input Data Tekanan Hisap'!A74,IF($A$118=' Input Data Tekanan Hisap'!$A$161,' Input Data Tekanan Hisap'!G74,IF($A$118=' Input Data Tekanan Hisap'!$A$162,' Input Data Tekanan Hisap'!M74,' Input Data Tekanan Hisap'!A93)))))))))))))))</f>
        <v>mmHg</v>
      </c>
      <c r="B176" s="1148">
        <f>IF($A$118=' Input Data Tekanan Hisap'!$A$145,' Input Data Tekanan Hisap'!B4,IF($A$118=' Input Data Tekanan Hisap'!$A$146,' Input Data Tekanan Hisap'!H4,IF($A$118=' Input Data Tekanan Hisap'!$A$147,' Input Data Tekanan Hisap'!N4,IF($A$118=' Input Data Tekanan Hisap'!$A$148,' Input Data Tekanan Hisap'!B22,IF($A$118=' Input Data Tekanan Hisap'!$A$149,' Input Data Tekanan Hisap'!H22,IF($A$118=' Input Data Tekanan Hisap'!$A$150,' Input Data Tekanan Hisap'!N22,IF($A$118=' Input Data Tekanan Hisap'!$A$151,' Input Data Tekanan Hisap'!B39,IF($A$118=' Input Data Tekanan Hisap'!$A$155,' Input Data Tekanan Hisap'!H39,IF($A$118=' Input Data Tekanan Hisap'!$A$156,' Input Data Tekanan Hisap'!N39,IF($A$118=' Input Data Tekanan Hisap'!$A$157,' Input Data Tekanan Hisap'!B57,IF($A$118=' Input Data Tekanan Hisap'!$A$158,' Input Data Tekanan Hisap'!H57,IF($A$118=' Input Data Tekanan Hisap'!$A$159,' Input Data Tekanan Hisap'!N57,IF($A$118=' Input Data Tekanan Hisap'!$A$160,' Input Data Tekanan Hisap'!B74,IF($A$118=' Input Data Tekanan Hisap'!$A$161,' Input Data Tekanan Hisap'!H74,IF($A$118=' Input Data Tekanan Hisap'!$A$162,' Input Data Tekanan Hisap'!N74,' Input Data Tekanan Hisap'!B93)))))))))))))))</f>
        <v>2020</v>
      </c>
      <c r="C176" s="1148" t="str">
        <f>IF($A$118=' Input Data Tekanan Hisap'!$A$145,' Input Data Tekanan Hisap'!C4,IF($A$118=' Input Data Tekanan Hisap'!$A$146,' Input Data Tekanan Hisap'!I4,IF($A$118=' Input Data Tekanan Hisap'!$A$147,' Input Data Tekanan Hisap'!O4,IF($A$118=' Input Data Tekanan Hisap'!$A$148,' Input Data Tekanan Hisap'!C22,IF($A$118=' Input Data Tekanan Hisap'!$A$149,' Input Data Tekanan Hisap'!I22,IF($A$118=' Input Data Tekanan Hisap'!$A$150,' Input Data Tekanan Hisap'!O22,IF($A$118=' Input Data Tekanan Hisap'!$A$151,' Input Data Tekanan Hisap'!C39,IF($A$118=' Input Data Tekanan Hisap'!$A$155,' Input Data Tekanan Hisap'!I39,IF($A$118=' Input Data Tekanan Hisap'!$A$156,' Input Data Tekanan Hisap'!O39,IF($A$118=' Input Data Tekanan Hisap'!$A$157,' Input Data Tekanan Hisap'!C57,IF($A$118=' Input Data Tekanan Hisap'!$A$158,' Input Data Tekanan Hisap'!I57,IF($A$118=' Input Data Tekanan Hisap'!$A$159,' Input Data Tekanan Hisap'!O57,IF($A$118=' Input Data Tekanan Hisap'!$A$160,' Input Data Tekanan Hisap'!C74,IF($A$118=' Input Data Tekanan Hisap'!$A$161,' Input Data Tekanan Hisap'!I74,IF($A$118=' Input Data Tekanan Hisap'!$A$162,' Input Data Tekanan Hisap'!O74,' Input Data Tekanan Hisap'!C93)))))))))))))))</f>
        <v>-</v>
      </c>
      <c r="D176" s="1148"/>
      <c r="E176" s="1148"/>
      <c r="H176" s="1153"/>
      <c r="I176" s="1153"/>
      <c r="J176" s="1153"/>
      <c r="K176" s="1153"/>
      <c r="L176" s="1153"/>
    </row>
    <row r="177" spans="1:12" x14ac:dyDescent="0.25">
      <c r="A177" s="1007">
        <f>IF($A$118=' Input Data Tekanan Hisap'!$A$145,' Input Data Tekanan Hisap'!A5,IF($A$118=' Input Data Tekanan Hisap'!$A$146,' Input Data Tekanan Hisap'!G5,IF($A$118=' Input Data Tekanan Hisap'!$A$147,' Input Data Tekanan Hisap'!M5,IF($A$118=' Input Data Tekanan Hisap'!$A$148,' Input Data Tekanan Hisap'!A23,IF($A$118=' Input Data Tekanan Hisap'!$A$149,' Input Data Tekanan Hisap'!G23,IF($A$118=' Input Data Tekanan Hisap'!$A$150,' Input Data Tekanan Hisap'!M23,IF($A$118=' Input Data Tekanan Hisap'!$A$151,' Input Data Tekanan Hisap'!A40,IF($A$118=' Input Data Tekanan Hisap'!$A$155,' Input Data Tekanan Hisap'!G40,IF($A$118=' Input Data Tekanan Hisap'!$A$156,' Input Data Tekanan Hisap'!M40,IF($A$118=' Input Data Tekanan Hisap'!$A$157,' Input Data Tekanan Hisap'!A58,IF($A$118=' Input Data Tekanan Hisap'!$A$158,' Input Data Tekanan Hisap'!G58,IF($A$118=' Input Data Tekanan Hisap'!$A$159,' Input Data Tekanan Hisap'!M58,IF($A$118=' Input Data Tekanan Hisap'!$A$160,' Input Data Tekanan Hisap'!A75,IF($A$118=' Input Data Tekanan Hisap'!$A$161,' Input Data Tekanan Hisap'!G75,IF($A$118=' Input Data Tekanan Hisap'!$A$162,' Input Data Tekanan Hisap'!M75,' Input Data Tekanan Hisap'!A94)))))))))))))))</f>
        <v>0</v>
      </c>
      <c r="B177" s="1007">
        <f>IF($A$118=' Input Data Tekanan Hisap'!$A$145,' Input Data Tekanan Hisap'!B5,IF($A$118=' Input Data Tekanan Hisap'!$A$146,' Input Data Tekanan Hisap'!H5,IF($A$118=' Input Data Tekanan Hisap'!$A$147,' Input Data Tekanan Hisap'!N5,IF($A$118=' Input Data Tekanan Hisap'!$A$148,' Input Data Tekanan Hisap'!B23,IF($A$118=' Input Data Tekanan Hisap'!$A$149,' Input Data Tekanan Hisap'!H23,IF($A$118=' Input Data Tekanan Hisap'!$A$150,' Input Data Tekanan Hisap'!N23,IF($A$118=' Input Data Tekanan Hisap'!$A$151,' Input Data Tekanan Hisap'!B40,IF($A$118=' Input Data Tekanan Hisap'!$A$155,' Input Data Tekanan Hisap'!H40,IF($A$118=' Input Data Tekanan Hisap'!$A$156,' Input Data Tekanan Hisap'!N40,IF($A$118=' Input Data Tekanan Hisap'!$A$157,' Input Data Tekanan Hisap'!B58,IF($A$118=' Input Data Tekanan Hisap'!$A$158,' Input Data Tekanan Hisap'!H58,IF($A$118=' Input Data Tekanan Hisap'!$A$159,' Input Data Tekanan Hisap'!N58,IF($A$118=' Input Data Tekanan Hisap'!$A$160,' Input Data Tekanan Hisap'!B75,IF($A$118=' Input Data Tekanan Hisap'!$A$161,' Input Data Tekanan Hisap'!H75,IF($A$118=' Input Data Tekanan Hisap'!$A$162,' Input Data Tekanan Hisap'!N75,' Input Data Tekanan Hisap'!B94)))))))))))))))</f>
        <v>9.9999999999999995E-7</v>
      </c>
      <c r="C177" s="1007" t="str">
        <f>IF($A$118=' Input Data Tekanan Hisap'!$A$145,' Input Data Tekanan Hisap'!C5,IF($A$118=' Input Data Tekanan Hisap'!$A$146,' Input Data Tekanan Hisap'!I5,IF($A$118=' Input Data Tekanan Hisap'!$A$147,' Input Data Tekanan Hisap'!O5,IF($A$118=' Input Data Tekanan Hisap'!$A$148,' Input Data Tekanan Hisap'!C23,IF($A$118=' Input Data Tekanan Hisap'!$A$149,' Input Data Tekanan Hisap'!I23,IF($A$118=' Input Data Tekanan Hisap'!$A$150,' Input Data Tekanan Hisap'!O23,IF($A$118=' Input Data Tekanan Hisap'!$A$151,' Input Data Tekanan Hisap'!C40,IF($A$118=' Input Data Tekanan Hisap'!$A$155,' Input Data Tekanan Hisap'!I40,IF($A$118=' Input Data Tekanan Hisap'!$A$156,' Input Data Tekanan Hisap'!O40,IF($A$118=' Input Data Tekanan Hisap'!$A$157,' Input Data Tekanan Hisap'!C58,IF($A$118=' Input Data Tekanan Hisap'!$A$158,' Input Data Tekanan Hisap'!I58,IF($A$118=' Input Data Tekanan Hisap'!$A$159,' Input Data Tekanan Hisap'!O58,IF($A$118=' Input Data Tekanan Hisap'!$A$160,' Input Data Tekanan Hisap'!C75,IF($A$118=' Input Data Tekanan Hisap'!$A$161,' Input Data Tekanan Hisap'!I75,IF($A$118=' Input Data Tekanan Hisap'!$A$162,' Input Data Tekanan Hisap'!O75,' Input Data Tekanan Hisap'!C94)))))))))))))))</f>
        <v>-</v>
      </c>
      <c r="D177" s="1007">
        <f>IF($A$118=' Input Data Tekanan Hisap'!$A$145,' Input Data Tekanan Hisap'!D5,IF($A$118=' Input Data Tekanan Hisap'!$A$146,' Input Data Tekanan Hisap'!J5,IF($A$118=' Input Data Tekanan Hisap'!$A$147,' Input Data Tekanan Hisap'!P5,IF($A$118=' Input Data Tekanan Hisap'!$A$148,' Input Data Tekanan Hisap'!D23,IF($A$118=' Input Data Tekanan Hisap'!$A$149,' Input Data Tekanan Hisap'!J23,IF($A$118=' Input Data Tekanan Hisap'!$A$150,' Input Data Tekanan Hisap'!P23,IF($A$118=' Input Data Tekanan Hisap'!$A$151,' Input Data Tekanan Hisap'!D40,IF($A$118=' Input Data Tekanan Hisap'!$A$155,' Input Data Tekanan Hisap'!J40,IF($A$118=' Input Data Tekanan Hisap'!$A$156,' Input Data Tekanan Hisap'!P40,IF($A$118=' Input Data Tekanan Hisap'!$A$157,' Input Data Tekanan Hisap'!D58,IF($A$118=' Input Data Tekanan Hisap'!$A$158,' Input Data Tekanan Hisap'!J58,IF($A$118=' Input Data Tekanan Hisap'!$A$159,' Input Data Tekanan Hisap'!P58,IF($A$118=' Input Data Tekanan Hisap'!$A$160,' Input Data Tekanan Hisap'!D75,IF($A$118=' Input Data Tekanan Hisap'!$A$161,' Input Data Tekanan Hisap'!J75,IF($A$118=' Input Data Tekanan Hisap'!$A$162,' Input Data Tekanan Hisap'!P75,' Input Data Tekanan Hisap'!D94)))))))))))))))</f>
        <v>0</v>
      </c>
      <c r="E177" s="1007">
        <f>IF($A$118=' Input Data Tekanan Hisap'!$A$145,' Input Data Tekanan Hisap'!E5,IF($A$118=' Input Data Tekanan Hisap'!$A$146,' Input Data Tekanan Hisap'!K5,IF($A$118=' Input Data Tekanan Hisap'!$A$147,' Input Data Tekanan Hisap'!Q5,IF($A$118=' Input Data Tekanan Hisap'!$A$148,' Input Data Tekanan Hisap'!E23,IF($A$118=' Input Data Tekanan Hisap'!$A$149,' Input Data Tekanan Hisap'!K23,IF($A$118=' Input Data Tekanan Hisap'!$A$150,' Input Data Tekanan Hisap'!Q23,IF($A$118=' Input Data Tekanan Hisap'!$A$151,' Input Data Tekanan Hisap'!E40,IF($A$118=' Input Data Tekanan Hisap'!$A$155,' Input Data Tekanan Hisap'!K40,IF($A$118=' Input Data Tekanan Hisap'!$A$156,' Input Data Tekanan Hisap'!Q40,IF($A$118=' Input Data Tekanan Hisap'!$A$157,' Input Data Tekanan Hisap'!E58,IF($A$118=' Input Data Tekanan Hisap'!$A$158,' Input Data Tekanan Hisap'!K58,IF($A$118=' Input Data Tekanan Hisap'!$A$159,' Input Data Tekanan Hisap'!Q58,IF($A$118=' Input Data Tekanan Hisap'!$A$160,' Input Data Tekanan Hisap'!E75,IF($A$118=' Input Data Tekanan Hisap'!$A$161,' Input Data Tekanan Hisap'!K75,IF($A$118=' Input Data Tekanan Hisap'!$A$162,' Input Data Tekanan Hisap'!Q75,' Input Data Tekanan Hisap'!E94)))))))))))))))</f>
        <v>0.5</v>
      </c>
      <c r="H177" s="1154"/>
      <c r="I177" s="1154"/>
      <c r="J177" s="1154"/>
      <c r="K177" s="1154"/>
      <c r="L177" s="1154"/>
    </row>
    <row r="178" spans="1:12" x14ac:dyDescent="0.25">
      <c r="A178" s="1007">
        <f>IF($A$118=' Input Data Tekanan Hisap'!$A$145,' Input Data Tekanan Hisap'!A6,IF($A$118=' Input Data Tekanan Hisap'!$A$146,' Input Data Tekanan Hisap'!G6,IF($A$118=' Input Data Tekanan Hisap'!$A$147,' Input Data Tekanan Hisap'!M6,IF($A$118=' Input Data Tekanan Hisap'!$A$148,' Input Data Tekanan Hisap'!A24,IF($A$118=' Input Data Tekanan Hisap'!$A$149,' Input Data Tekanan Hisap'!G24,IF($A$118=' Input Data Tekanan Hisap'!$A$150,' Input Data Tekanan Hisap'!M24,IF($A$118=' Input Data Tekanan Hisap'!$A$151,' Input Data Tekanan Hisap'!A41,IF($A$118=' Input Data Tekanan Hisap'!$A$155,' Input Data Tekanan Hisap'!G41,IF($A$118=' Input Data Tekanan Hisap'!$A$156,' Input Data Tekanan Hisap'!M41,IF($A$118=' Input Data Tekanan Hisap'!$A$157,' Input Data Tekanan Hisap'!A59,IF($A$118=' Input Data Tekanan Hisap'!$A$158,' Input Data Tekanan Hisap'!G59,IF($A$118=' Input Data Tekanan Hisap'!$A$159,' Input Data Tekanan Hisap'!M59,IF($A$118=' Input Data Tekanan Hisap'!$A$160,' Input Data Tekanan Hisap'!A76,IF($A$118=' Input Data Tekanan Hisap'!$A$161,' Input Data Tekanan Hisap'!G76,IF($A$118=' Input Data Tekanan Hisap'!$A$162,' Input Data Tekanan Hisap'!M76,' Input Data Tekanan Hisap'!A95)))))))))))))))</f>
        <v>100</v>
      </c>
      <c r="B178" s="1007">
        <f>IF($A$118=' Input Data Tekanan Hisap'!$A$145,' Input Data Tekanan Hisap'!B6,IF($A$118=' Input Data Tekanan Hisap'!$A$146,' Input Data Tekanan Hisap'!H6,IF($A$118=' Input Data Tekanan Hisap'!$A$147,' Input Data Tekanan Hisap'!N6,IF($A$118=' Input Data Tekanan Hisap'!$A$148,' Input Data Tekanan Hisap'!B24,IF($A$118=' Input Data Tekanan Hisap'!$A$149,' Input Data Tekanan Hisap'!H24,IF($A$118=' Input Data Tekanan Hisap'!$A$150,' Input Data Tekanan Hisap'!N24,IF($A$118=' Input Data Tekanan Hisap'!$A$151,' Input Data Tekanan Hisap'!B41,IF($A$118=' Input Data Tekanan Hisap'!$A$155,' Input Data Tekanan Hisap'!H41,IF($A$118=' Input Data Tekanan Hisap'!$A$156,' Input Data Tekanan Hisap'!N41,IF($A$118=' Input Data Tekanan Hisap'!$A$157,' Input Data Tekanan Hisap'!B59,IF($A$118=' Input Data Tekanan Hisap'!$A$158,' Input Data Tekanan Hisap'!H59,IF($A$118=' Input Data Tekanan Hisap'!$A$159,' Input Data Tekanan Hisap'!N59,IF($A$118=' Input Data Tekanan Hisap'!$A$160,' Input Data Tekanan Hisap'!B76,IF($A$118=' Input Data Tekanan Hisap'!$A$161,' Input Data Tekanan Hisap'!H76,IF($A$118=' Input Data Tekanan Hisap'!$A$162,' Input Data Tekanan Hisap'!N76,' Input Data Tekanan Hisap'!B95)))))))))))))))</f>
        <v>-0.3</v>
      </c>
      <c r="C178" s="1007" t="str">
        <f>IF($A$118=' Input Data Tekanan Hisap'!$A$145,' Input Data Tekanan Hisap'!C6,IF($A$118=' Input Data Tekanan Hisap'!$A$146,' Input Data Tekanan Hisap'!I6,IF($A$118=' Input Data Tekanan Hisap'!$A$147,' Input Data Tekanan Hisap'!O6,IF($A$118=' Input Data Tekanan Hisap'!$A$148,' Input Data Tekanan Hisap'!C24,IF($A$118=' Input Data Tekanan Hisap'!$A$149,' Input Data Tekanan Hisap'!I24,IF($A$118=' Input Data Tekanan Hisap'!$A$150,' Input Data Tekanan Hisap'!O24,IF($A$118=' Input Data Tekanan Hisap'!$A$151,' Input Data Tekanan Hisap'!C41,IF($A$118=' Input Data Tekanan Hisap'!$A$155,' Input Data Tekanan Hisap'!I41,IF($A$118=' Input Data Tekanan Hisap'!$A$156,' Input Data Tekanan Hisap'!O41,IF($A$118=' Input Data Tekanan Hisap'!$A$157,' Input Data Tekanan Hisap'!C59,IF($A$118=' Input Data Tekanan Hisap'!$A$158,' Input Data Tekanan Hisap'!I59,IF($A$118=' Input Data Tekanan Hisap'!$A$159,' Input Data Tekanan Hisap'!O59,IF($A$118=' Input Data Tekanan Hisap'!$A$160,' Input Data Tekanan Hisap'!C76,IF($A$118=' Input Data Tekanan Hisap'!$A$161,' Input Data Tekanan Hisap'!I76,IF($A$118=' Input Data Tekanan Hisap'!$A$162,' Input Data Tekanan Hisap'!O76,' Input Data Tekanan Hisap'!C95)))))))))))))))</f>
        <v>-</v>
      </c>
      <c r="D178" s="1007">
        <f>IF($A$118=' Input Data Tekanan Hisap'!$A$145,' Input Data Tekanan Hisap'!D6,IF($A$118=' Input Data Tekanan Hisap'!$A$146,' Input Data Tekanan Hisap'!J6,IF($A$118=' Input Data Tekanan Hisap'!$A$147,' Input Data Tekanan Hisap'!P6,IF($A$118=' Input Data Tekanan Hisap'!$A$148,' Input Data Tekanan Hisap'!D24,IF($A$118=' Input Data Tekanan Hisap'!$A$149,' Input Data Tekanan Hisap'!J24,IF($A$118=' Input Data Tekanan Hisap'!$A$150,' Input Data Tekanan Hisap'!P24,IF($A$118=' Input Data Tekanan Hisap'!$A$151,' Input Data Tekanan Hisap'!D41,IF($A$118=' Input Data Tekanan Hisap'!$A$155,' Input Data Tekanan Hisap'!J41,IF($A$118=' Input Data Tekanan Hisap'!$A$156,' Input Data Tekanan Hisap'!P41,IF($A$118=' Input Data Tekanan Hisap'!$A$157,' Input Data Tekanan Hisap'!D59,IF($A$118=' Input Data Tekanan Hisap'!$A$158,' Input Data Tekanan Hisap'!J59,IF($A$118=' Input Data Tekanan Hisap'!$A$159,' Input Data Tekanan Hisap'!P59,IF($A$118=' Input Data Tekanan Hisap'!$A$160,' Input Data Tekanan Hisap'!D76,IF($A$118=' Input Data Tekanan Hisap'!$A$161,' Input Data Tekanan Hisap'!J76,IF($A$118=' Input Data Tekanan Hisap'!$A$162,' Input Data Tekanan Hisap'!P76,' Input Data Tekanan Hisap'!D95)))))))))))))))</f>
        <v>0</v>
      </c>
      <c r="E178" s="1007">
        <f>IF($A$118=' Input Data Tekanan Hisap'!$A$145,' Input Data Tekanan Hisap'!E6,IF($A$118=' Input Data Tekanan Hisap'!$A$146,' Input Data Tekanan Hisap'!K6,IF($A$118=' Input Data Tekanan Hisap'!$A$147,' Input Data Tekanan Hisap'!Q6,IF($A$118=' Input Data Tekanan Hisap'!$A$148,' Input Data Tekanan Hisap'!E24,IF($A$118=' Input Data Tekanan Hisap'!$A$149,' Input Data Tekanan Hisap'!K24,IF($A$118=' Input Data Tekanan Hisap'!$A$150,' Input Data Tekanan Hisap'!Q24,IF($A$118=' Input Data Tekanan Hisap'!$A$151,' Input Data Tekanan Hisap'!E41,IF($A$118=' Input Data Tekanan Hisap'!$A$155,' Input Data Tekanan Hisap'!K41,IF($A$118=' Input Data Tekanan Hisap'!$A$156,' Input Data Tekanan Hisap'!Q41,IF($A$118=' Input Data Tekanan Hisap'!$A$157,' Input Data Tekanan Hisap'!E59,IF($A$118=' Input Data Tekanan Hisap'!$A$158,' Input Data Tekanan Hisap'!K59,IF($A$118=' Input Data Tekanan Hisap'!$A$159,' Input Data Tekanan Hisap'!Q59,IF($A$118=' Input Data Tekanan Hisap'!$A$160,' Input Data Tekanan Hisap'!E76,IF($A$118=' Input Data Tekanan Hisap'!$A$161,' Input Data Tekanan Hisap'!K76,IF($A$118=' Input Data Tekanan Hisap'!$A$162,' Input Data Tekanan Hisap'!Q76,' Input Data Tekanan Hisap'!E95)))))))))))))))</f>
        <v>0.5</v>
      </c>
      <c r="H178" s="1154"/>
      <c r="I178" s="1154"/>
      <c r="J178" s="1154"/>
      <c r="K178" s="1154"/>
      <c r="L178" s="1154"/>
    </row>
    <row r="179" spans="1:12" x14ac:dyDescent="0.25">
      <c r="A179" s="1007">
        <f>IF($A$118=' Input Data Tekanan Hisap'!$A$145,' Input Data Tekanan Hisap'!A7,IF($A$118=' Input Data Tekanan Hisap'!$A$146,' Input Data Tekanan Hisap'!G7,IF($A$118=' Input Data Tekanan Hisap'!$A$147,' Input Data Tekanan Hisap'!M7,IF($A$118=' Input Data Tekanan Hisap'!$A$148,' Input Data Tekanan Hisap'!A25,IF($A$118=' Input Data Tekanan Hisap'!$A$149,' Input Data Tekanan Hisap'!G25,IF($A$118=' Input Data Tekanan Hisap'!$A$150,' Input Data Tekanan Hisap'!M25,IF($A$118=' Input Data Tekanan Hisap'!$A$151,' Input Data Tekanan Hisap'!A42,IF($A$118=' Input Data Tekanan Hisap'!$A$155,' Input Data Tekanan Hisap'!G42,IF($A$118=' Input Data Tekanan Hisap'!$A$156,' Input Data Tekanan Hisap'!M42,IF($A$118=' Input Data Tekanan Hisap'!$A$157,' Input Data Tekanan Hisap'!A60,IF($A$118=' Input Data Tekanan Hisap'!$A$158,' Input Data Tekanan Hisap'!G60,IF($A$118=' Input Data Tekanan Hisap'!$A$159,' Input Data Tekanan Hisap'!M60,IF($A$118=' Input Data Tekanan Hisap'!$A$160,' Input Data Tekanan Hisap'!A77,IF($A$118=' Input Data Tekanan Hisap'!$A$161,' Input Data Tekanan Hisap'!G77,IF($A$118=' Input Data Tekanan Hisap'!$A$162,' Input Data Tekanan Hisap'!M77,' Input Data Tekanan Hisap'!A96)))))))))))))))</f>
        <v>200</v>
      </c>
      <c r="B179" s="1007">
        <f>IF($A$118=' Input Data Tekanan Hisap'!$A$145,' Input Data Tekanan Hisap'!B7,IF($A$118=' Input Data Tekanan Hisap'!$A$146,' Input Data Tekanan Hisap'!H7,IF($A$118=' Input Data Tekanan Hisap'!$A$147,' Input Data Tekanan Hisap'!N7,IF($A$118=' Input Data Tekanan Hisap'!$A$148,' Input Data Tekanan Hisap'!B25,IF($A$118=' Input Data Tekanan Hisap'!$A$149,' Input Data Tekanan Hisap'!H25,IF($A$118=' Input Data Tekanan Hisap'!$A$150,' Input Data Tekanan Hisap'!N25,IF($A$118=' Input Data Tekanan Hisap'!$A$151,' Input Data Tekanan Hisap'!B42,IF($A$118=' Input Data Tekanan Hisap'!$A$155,' Input Data Tekanan Hisap'!H42,IF($A$118=' Input Data Tekanan Hisap'!$A$156,' Input Data Tekanan Hisap'!N42,IF($A$118=' Input Data Tekanan Hisap'!$A$157,' Input Data Tekanan Hisap'!B60,IF($A$118=' Input Data Tekanan Hisap'!$A$158,' Input Data Tekanan Hisap'!H60,IF($A$118=' Input Data Tekanan Hisap'!$A$159,' Input Data Tekanan Hisap'!N60,IF($A$118=' Input Data Tekanan Hisap'!$A$160,' Input Data Tekanan Hisap'!B77,IF($A$118=' Input Data Tekanan Hisap'!$A$161,' Input Data Tekanan Hisap'!H77,IF($A$118=' Input Data Tekanan Hisap'!$A$162,' Input Data Tekanan Hisap'!N77,' Input Data Tekanan Hisap'!B96)))))))))))))))</f>
        <v>0</v>
      </c>
      <c r="C179" s="1007" t="str">
        <f>IF($A$118=' Input Data Tekanan Hisap'!$A$145,' Input Data Tekanan Hisap'!C7,IF($A$118=' Input Data Tekanan Hisap'!$A$146,' Input Data Tekanan Hisap'!I7,IF($A$118=' Input Data Tekanan Hisap'!$A$147,' Input Data Tekanan Hisap'!O7,IF($A$118=' Input Data Tekanan Hisap'!$A$148,' Input Data Tekanan Hisap'!C25,IF($A$118=' Input Data Tekanan Hisap'!$A$149,' Input Data Tekanan Hisap'!I25,IF($A$118=' Input Data Tekanan Hisap'!$A$150,' Input Data Tekanan Hisap'!O25,IF($A$118=' Input Data Tekanan Hisap'!$A$151,' Input Data Tekanan Hisap'!C42,IF($A$118=' Input Data Tekanan Hisap'!$A$155,' Input Data Tekanan Hisap'!I42,IF($A$118=' Input Data Tekanan Hisap'!$A$156,' Input Data Tekanan Hisap'!O42,IF($A$118=' Input Data Tekanan Hisap'!$A$157,' Input Data Tekanan Hisap'!C60,IF($A$118=' Input Data Tekanan Hisap'!$A$158,' Input Data Tekanan Hisap'!I60,IF($A$118=' Input Data Tekanan Hisap'!$A$159,' Input Data Tekanan Hisap'!O60,IF($A$118=' Input Data Tekanan Hisap'!$A$160,' Input Data Tekanan Hisap'!C77,IF($A$118=' Input Data Tekanan Hisap'!$A$161,' Input Data Tekanan Hisap'!I77,IF($A$118=' Input Data Tekanan Hisap'!$A$162,' Input Data Tekanan Hisap'!O77,' Input Data Tekanan Hisap'!C96)))))))))))))))</f>
        <v>-</v>
      </c>
      <c r="D179" s="1007">
        <f>IF($A$118=' Input Data Tekanan Hisap'!$A$145,' Input Data Tekanan Hisap'!D7,IF($A$118=' Input Data Tekanan Hisap'!$A$146,' Input Data Tekanan Hisap'!J7,IF($A$118=' Input Data Tekanan Hisap'!$A$147,' Input Data Tekanan Hisap'!P7,IF($A$118=' Input Data Tekanan Hisap'!$A$148,' Input Data Tekanan Hisap'!D25,IF($A$118=' Input Data Tekanan Hisap'!$A$149,' Input Data Tekanan Hisap'!J25,IF($A$118=' Input Data Tekanan Hisap'!$A$150,' Input Data Tekanan Hisap'!P25,IF($A$118=' Input Data Tekanan Hisap'!$A$151,' Input Data Tekanan Hisap'!D42,IF($A$118=' Input Data Tekanan Hisap'!$A$155,' Input Data Tekanan Hisap'!J42,IF($A$118=' Input Data Tekanan Hisap'!$A$156,' Input Data Tekanan Hisap'!P42,IF($A$118=' Input Data Tekanan Hisap'!$A$157,' Input Data Tekanan Hisap'!D60,IF($A$118=' Input Data Tekanan Hisap'!$A$158,' Input Data Tekanan Hisap'!J60,IF($A$118=' Input Data Tekanan Hisap'!$A$159,' Input Data Tekanan Hisap'!P60,IF($A$118=' Input Data Tekanan Hisap'!$A$160,' Input Data Tekanan Hisap'!D77,IF($A$118=' Input Data Tekanan Hisap'!$A$161,' Input Data Tekanan Hisap'!J77,IF($A$118=' Input Data Tekanan Hisap'!$A$162,' Input Data Tekanan Hisap'!P77,' Input Data Tekanan Hisap'!D96)))))))))))))))</f>
        <v>0</v>
      </c>
      <c r="E179" s="1007">
        <f>IF($A$118=' Input Data Tekanan Hisap'!$A$145,' Input Data Tekanan Hisap'!E7,IF($A$118=' Input Data Tekanan Hisap'!$A$146,' Input Data Tekanan Hisap'!K7,IF($A$118=' Input Data Tekanan Hisap'!$A$147,' Input Data Tekanan Hisap'!Q7,IF($A$118=' Input Data Tekanan Hisap'!$A$148,' Input Data Tekanan Hisap'!E25,IF($A$118=' Input Data Tekanan Hisap'!$A$149,' Input Data Tekanan Hisap'!K25,IF($A$118=' Input Data Tekanan Hisap'!$A$150,' Input Data Tekanan Hisap'!Q25,IF($A$118=' Input Data Tekanan Hisap'!$A$151,' Input Data Tekanan Hisap'!E42,IF($A$118=' Input Data Tekanan Hisap'!$A$155,' Input Data Tekanan Hisap'!K42,IF($A$118=' Input Data Tekanan Hisap'!$A$156,' Input Data Tekanan Hisap'!Q42,IF($A$118=' Input Data Tekanan Hisap'!$A$157,' Input Data Tekanan Hisap'!E60,IF($A$118=' Input Data Tekanan Hisap'!$A$158,' Input Data Tekanan Hisap'!K60,IF($A$118=' Input Data Tekanan Hisap'!$A$159,' Input Data Tekanan Hisap'!Q60,IF($A$118=' Input Data Tekanan Hisap'!$A$160,' Input Data Tekanan Hisap'!E77,IF($A$118=' Input Data Tekanan Hisap'!$A$161,' Input Data Tekanan Hisap'!K77,IF($A$118=' Input Data Tekanan Hisap'!$A$162,' Input Data Tekanan Hisap'!Q77,' Input Data Tekanan Hisap'!E96)))))))))))))))</f>
        <v>0.5</v>
      </c>
      <c r="H179" s="1154"/>
      <c r="I179" s="1154"/>
      <c r="J179" s="1154"/>
      <c r="K179" s="1154"/>
      <c r="L179" s="1154"/>
    </row>
    <row r="180" spans="1:12" x14ac:dyDescent="0.25">
      <c r="A180" s="1007">
        <f>IF($A$118=' Input Data Tekanan Hisap'!$A$145,' Input Data Tekanan Hisap'!A8,IF($A$118=' Input Data Tekanan Hisap'!$A$146,' Input Data Tekanan Hisap'!G8,IF($A$118=' Input Data Tekanan Hisap'!$A$147,' Input Data Tekanan Hisap'!M8,IF($A$118=' Input Data Tekanan Hisap'!$A$148,' Input Data Tekanan Hisap'!A26,IF($A$118=' Input Data Tekanan Hisap'!$A$149,' Input Data Tekanan Hisap'!G26,IF($A$118=' Input Data Tekanan Hisap'!$A$150,' Input Data Tekanan Hisap'!M26,IF($A$118=' Input Data Tekanan Hisap'!$A$151,' Input Data Tekanan Hisap'!A43,IF($A$118=' Input Data Tekanan Hisap'!$A$155,' Input Data Tekanan Hisap'!G43,IF($A$118=' Input Data Tekanan Hisap'!$A$156,' Input Data Tekanan Hisap'!M43,IF($A$118=' Input Data Tekanan Hisap'!$A$157,' Input Data Tekanan Hisap'!A61,IF($A$118=' Input Data Tekanan Hisap'!$A$158,' Input Data Tekanan Hisap'!G61,IF($A$118=' Input Data Tekanan Hisap'!$A$159,' Input Data Tekanan Hisap'!M61,IF($A$118=' Input Data Tekanan Hisap'!$A$160,' Input Data Tekanan Hisap'!A78,IF($A$118=' Input Data Tekanan Hisap'!$A$161,' Input Data Tekanan Hisap'!G78,IF($A$118=' Input Data Tekanan Hisap'!$A$162,' Input Data Tekanan Hisap'!M78,' Input Data Tekanan Hisap'!A97)))))))))))))))</f>
        <v>300</v>
      </c>
      <c r="B180" s="1007">
        <f>IF($A$118=' Input Data Tekanan Hisap'!$A$145,' Input Data Tekanan Hisap'!B8,IF($A$118=' Input Data Tekanan Hisap'!$A$146,' Input Data Tekanan Hisap'!H8,IF($A$118=' Input Data Tekanan Hisap'!$A$147,' Input Data Tekanan Hisap'!N8,IF($A$118=' Input Data Tekanan Hisap'!$A$148,' Input Data Tekanan Hisap'!B26,IF($A$118=' Input Data Tekanan Hisap'!$A$149,' Input Data Tekanan Hisap'!H26,IF($A$118=' Input Data Tekanan Hisap'!$A$150,' Input Data Tekanan Hisap'!N26,IF($A$118=' Input Data Tekanan Hisap'!$A$151,' Input Data Tekanan Hisap'!B43,IF($A$118=' Input Data Tekanan Hisap'!$A$155,' Input Data Tekanan Hisap'!H43,IF($A$118=' Input Data Tekanan Hisap'!$A$156,' Input Data Tekanan Hisap'!N43,IF($A$118=' Input Data Tekanan Hisap'!$A$157,' Input Data Tekanan Hisap'!B61,IF($A$118=' Input Data Tekanan Hisap'!$A$158,' Input Data Tekanan Hisap'!H61,IF($A$118=' Input Data Tekanan Hisap'!$A$159,' Input Data Tekanan Hisap'!N61,IF($A$118=' Input Data Tekanan Hisap'!$A$160,' Input Data Tekanan Hisap'!B78,IF($A$118=' Input Data Tekanan Hisap'!$A$161,' Input Data Tekanan Hisap'!H78,IF($A$118=' Input Data Tekanan Hisap'!$A$162,' Input Data Tekanan Hisap'!N78,' Input Data Tekanan Hisap'!B97)))))))))))))))</f>
        <v>-0.5</v>
      </c>
      <c r="C180" s="1007" t="str">
        <f>IF($A$118=' Input Data Tekanan Hisap'!$A$145,' Input Data Tekanan Hisap'!C8,IF($A$118=' Input Data Tekanan Hisap'!$A$146,' Input Data Tekanan Hisap'!I8,IF($A$118=' Input Data Tekanan Hisap'!$A$147,' Input Data Tekanan Hisap'!O8,IF($A$118=' Input Data Tekanan Hisap'!$A$148,' Input Data Tekanan Hisap'!C26,IF($A$118=' Input Data Tekanan Hisap'!$A$149,' Input Data Tekanan Hisap'!I26,IF($A$118=' Input Data Tekanan Hisap'!$A$150,' Input Data Tekanan Hisap'!O26,IF($A$118=' Input Data Tekanan Hisap'!$A$151,' Input Data Tekanan Hisap'!C43,IF($A$118=' Input Data Tekanan Hisap'!$A$155,' Input Data Tekanan Hisap'!I43,IF($A$118=' Input Data Tekanan Hisap'!$A$156,' Input Data Tekanan Hisap'!O43,IF($A$118=' Input Data Tekanan Hisap'!$A$157,' Input Data Tekanan Hisap'!C61,IF($A$118=' Input Data Tekanan Hisap'!$A$158,' Input Data Tekanan Hisap'!I61,IF($A$118=' Input Data Tekanan Hisap'!$A$159,' Input Data Tekanan Hisap'!O61,IF($A$118=' Input Data Tekanan Hisap'!$A$160,' Input Data Tekanan Hisap'!C78,IF($A$118=' Input Data Tekanan Hisap'!$A$161,' Input Data Tekanan Hisap'!I78,IF($A$118=' Input Data Tekanan Hisap'!$A$162,' Input Data Tekanan Hisap'!O78,' Input Data Tekanan Hisap'!C97)))))))))))))))</f>
        <v>-</v>
      </c>
      <c r="D180" s="1007">
        <f>IF($A$118=' Input Data Tekanan Hisap'!$A$145,' Input Data Tekanan Hisap'!D8,IF($A$118=' Input Data Tekanan Hisap'!$A$146,' Input Data Tekanan Hisap'!J8,IF($A$118=' Input Data Tekanan Hisap'!$A$147,' Input Data Tekanan Hisap'!P8,IF($A$118=' Input Data Tekanan Hisap'!$A$148,' Input Data Tekanan Hisap'!D26,IF($A$118=' Input Data Tekanan Hisap'!$A$149,' Input Data Tekanan Hisap'!J26,IF($A$118=' Input Data Tekanan Hisap'!$A$150,' Input Data Tekanan Hisap'!P26,IF($A$118=' Input Data Tekanan Hisap'!$A$151,' Input Data Tekanan Hisap'!D43,IF($A$118=' Input Data Tekanan Hisap'!$A$155,' Input Data Tekanan Hisap'!J43,IF($A$118=' Input Data Tekanan Hisap'!$A$156,' Input Data Tekanan Hisap'!P43,IF($A$118=' Input Data Tekanan Hisap'!$A$157,' Input Data Tekanan Hisap'!D61,IF($A$118=' Input Data Tekanan Hisap'!$A$158,' Input Data Tekanan Hisap'!J61,IF($A$118=' Input Data Tekanan Hisap'!$A$159,' Input Data Tekanan Hisap'!P61,IF($A$118=' Input Data Tekanan Hisap'!$A$160,' Input Data Tekanan Hisap'!D78,IF($A$118=' Input Data Tekanan Hisap'!$A$161,' Input Data Tekanan Hisap'!J78,IF($A$118=' Input Data Tekanan Hisap'!$A$162,' Input Data Tekanan Hisap'!P78,' Input Data Tekanan Hisap'!D97)))))))))))))))</f>
        <v>0</v>
      </c>
      <c r="E180" s="1007">
        <f>IF($A$118=' Input Data Tekanan Hisap'!$A$145,' Input Data Tekanan Hisap'!E8,IF($A$118=' Input Data Tekanan Hisap'!$A$146,' Input Data Tekanan Hisap'!K8,IF($A$118=' Input Data Tekanan Hisap'!$A$147,' Input Data Tekanan Hisap'!Q8,IF($A$118=' Input Data Tekanan Hisap'!$A$148,' Input Data Tekanan Hisap'!E26,IF($A$118=' Input Data Tekanan Hisap'!$A$149,' Input Data Tekanan Hisap'!K26,IF($A$118=' Input Data Tekanan Hisap'!$A$150,' Input Data Tekanan Hisap'!Q26,IF($A$118=' Input Data Tekanan Hisap'!$A$151,' Input Data Tekanan Hisap'!E43,IF($A$118=' Input Data Tekanan Hisap'!$A$155,' Input Data Tekanan Hisap'!K43,IF($A$118=' Input Data Tekanan Hisap'!$A$156,' Input Data Tekanan Hisap'!Q43,IF($A$118=' Input Data Tekanan Hisap'!$A$157,' Input Data Tekanan Hisap'!E61,IF($A$118=' Input Data Tekanan Hisap'!$A$158,' Input Data Tekanan Hisap'!K61,IF($A$118=' Input Data Tekanan Hisap'!$A$159,' Input Data Tekanan Hisap'!Q61,IF($A$118=' Input Data Tekanan Hisap'!$A$160,' Input Data Tekanan Hisap'!E78,IF($A$118=' Input Data Tekanan Hisap'!$A$161,' Input Data Tekanan Hisap'!K78,IF($A$118=' Input Data Tekanan Hisap'!$A$162,' Input Data Tekanan Hisap'!Q78,' Input Data Tekanan Hisap'!E97)))))))))))))))</f>
        <v>0.5</v>
      </c>
      <c r="H180" s="1154"/>
      <c r="I180" s="1154"/>
      <c r="J180" s="1154"/>
      <c r="K180" s="1154"/>
      <c r="L180" s="1154"/>
    </row>
    <row r="181" spans="1:12" x14ac:dyDescent="0.25">
      <c r="A181" s="1007">
        <f>IF($A$118=' Input Data Tekanan Hisap'!$A$145,' Input Data Tekanan Hisap'!A9,IF($A$118=' Input Data Tekanan Hisap'!$A$146,' Input Data Tekanan Hisap'!G9,IF($A$118=' Input Data Tekanan Hisap'!$A$147,' Input Data Tekanan Hisap'!M9,IF($A$118=' Input Data Tekanan Hisap'!$A$148,' Input Data Tekanan Hisap'!A27,IF($A$118=' Input Data Tekanan Hisap'!$A$149,' Input Data Tekanan Hisap'!G27,IF($A$118=' Input Data Tekanan Hisap'!$A$150,' Input Data Tekanan Hisap'!M27,IF($A$118=' Input Data Tekanan Hisap'!$A$151,' Input Data Tekanan Hisap'!A44,IF($A$118=' Input Data Tekanan Hisap'!$A$155,' Input Data Tekanan Hisap'!G44,IF($A$118=' Input Data Tekanan Hisap'!$A$156,' Input Data Tekanan Hisap'!M44,IF($A$118=' Input Data Tekanan Hisap'!$A$157,' Input Data Tekanan Hisap'!A62,IF($A$118=' Input Data Tekanan Hisap'!$A$158,' Input Data Tekanan Hisap'!G62,IF($A$118=' Input Data Tekanan Hisap'!$A$159,' Input Data Tekanan Hisap'!M62,IF($A$118=' Input Data Tekanan Hisap'!$A$160,' Input Data Tekanan Hisap'!A79,IF($A$118=' Input Data Tekanan Hisap'!$A$161,' Input Data Tekanan Hisap'!G79,IF($A$118=' Input Data Tekanan Hisap'!$A$162,' Input Data Tekanan Hisap'!M79,' Input Data Tekanan Hisap'!A98)))))))))))))))</f>
        <v>400</v>
      </c>
      <c r="B181" s="1007">
        <f>IF($A$118=' Input Data Tekanan Hisap'!$A$145,' Input Data Tekanan Hisap'!B9,IF($A$118=' Input Data Tekanan Hisap'!$A$146,' Input Data Tekanan Hisap'!H9,IF($A$118=' Input Data Tekanan Hisap'!$A$147,' Input Data Tekanan Hisap'!N9,IF($A$118=' Input Data Tekanan Hisap'!$A$148,' Input Data Tekanan Hisap'!B27,IF($A$118=' Input Data Tekanan Hisap'!$A$149,' Input Data Tekanan Hisap'!H27,IF($A$118=' Input Data Tekanan Hisap'!$A$150,' Input Data Tekanan Hisap'!N27,IF($A$118=' Input Data Tekanan Hisap'!$A$151,' Input Data Tekanan Hisap'!B44,IF($A$118=' Input Data Tekanan Hisap'!$A$155,' Input Data Tekanan Hisap'!H44,IF($A$118=' Input Data Tekanan Hisap'!$A$156,' Input Data Tekanan Hisap'!N44,IF($A$118=' Input Data Tekanan Hisap'!$A$157,' Input Data Tekanan Hisap'!B62,IF($A$118=' Input Data Tekanan Hisap'!$A$158,' Input Data Tekanan Hisap'!H62,IF($A$118=' Input Data Tekanan Hisap'!$A$159,' Input Data Tekanan Hisap'!N62,IF($A$118=' Input Data Tekanan Hisap'!$A$160,' Input Data Tekanan Hisap'!B79,IF($A$118=' Input Data Tekanan Hisap'!$A$161,' Input Data Tekanan Hisap'!H79,IF($A$118=' Input Data Tekanan Hisap'!$A$162,' Input Data Tekanan Hisap'!N79,' Input Data Tekanan Hisap'!B98)))))))))))))))</f>
        <v>-1.5</v>
      </c>
      <c r="C181" s="1007" t="str">
        <f>IF($A$118=' Input Data Tekanan Hisap'!$A$145,' Input Data Tekanan Hisap'!C9,IF($A$118=' Input Data Tekanan Hisap'!$A$146,' Input Data Tekanan Hisap'!I9,IF($A$118=' Input Data Tekanan Hisap'!$A$147,' Input Data Tekanan Hisap'!O9,IF($A$118=' Input Data Tekanan Hisap'!$A$148,' Input Data Tekanan Hisap'!C27,IF($A$118=' Input Data Tekanan Hisap'!$A$149,' Input Data Tekanan Hisap'!I27,IF($A$118=' Input Data Tekanan Hisap'!$A$150,' Input Data Tekanan Hisap'!O27,IF($A$118=' Input Data Tekanan Hisap'!$A$151,' Input Data Tekanan Hisap'!C44,IF($A$118=' Input Data Tekanan Hisap'!$A$155,' Input Data Tekanan Hisap'!I44,IF($A$118=' Input Data Tekanan Hisap'!$A$156,' Input Data Tekanan Hisap'!O44,IF($A$118=' Input Data Tekanan Hisap'!$A$157,' Input Data Tekanan Hisap'!C62,IF($A$118=' Input Data Tekanan Hisap'!$A$158,' Input Data Tekanan Hisap'!I62,IF($A$118=' Input Data Tekanan Hisap'!$A$159,' Input Data Tekanan Hisap'!O62,IF($A$118=' Input Data Tekanan Hisap'!$A$160,' Input Data Tekanan Hisap'!C79,IF($A$118=' Input Data Tekanan Hisap'!$A$161,' Input Data Tekanan Hisap'!I79,IF($A$118=' Input Data Tekanan Hisap'!$A$162,' Input Data Tekanan Hisap'!O79,' Input Data Tekanan Hisap'!C98)))))))))))))))</f>
        <v>-</v>
      </c>
      <c r="D181" s="1007">
        <f>IF($A$118=' Input Data Tekanan Hisap'!$A$145,' Input Data Tekanan Hisap'!D9,IF($A$118=' Input Data Tekanan Hisap'!$A$146,' Input Data Tekanan Hisap'!J9,IF($A$118=' Input Data Tekanan Hisap'!$A$147,' Input Data Tekanan Hisap'!P9,IF($A$118=' Input Data Tekanan Hisap'!$A$148,' Input Data Tekanan Hisap'!D27,IF($A$118=' Input Data Tekanan Hisap'!$A$149,' Input Data Tekanan Hisap'!J27,IF($A$118=' Input Data Tekanan Hisap'!$A$150,' Input Data Tekanan Hisap'!P27,IF($A$118=' Input Data Tekanan Hisap'!$A$151,' Input Data Tekanan Hisap'!D44,IF($A$118=' Input Data Tekanan Hisap'!$A$155,' Input Data Tekanan Hisap'!J44,IF($A$118=' Input Data Tekanan Hisap'!$A$156,' Input Data Tekanan Hisap'!P44,IF($A$118=' Input Data Tekanan Hisap'!$A$157,' Input Data Tekanan Hisap'!D62,IF($A$118=' Input Data Tekanan Hisap'!$A$158,' Input Data Tekanan Hisap'!J62,IF($A$118=' Input Data Tekanan Hisap'!$A$159,' Input Data Tekanan Hisap'!P62,IF($A$118=' Input Data Tekanan Hisap'!$A$160,' Input Data Tekanan Hisap'!D79,IF($A$118=' Input Data Tekanan Hisap'!$A$161,' Input Data Tekanan Hisap'!J79,IF($A$118=' Input Data Tekanan Hisap'!$A$162,' Input Data Tekanan Hisap'!P79,' Input Data Tekanan Hisap'!D98)))))))))))))))</f>
        <v>0</v>
      </c>
      <c r="E181" s="1007">
        <f>IF($A$118=' Input Data Tekanan Hisap'!$A$145,' Input Data Tekanan Hisap'!E9,IF($A$118=' Input Data Tekanan Hisap'!$A$146,' Input Data Tekanan Hisap'!K9,IF($A$118=' Input Data Tekanan Hisap'!$A$147,' Input Data Tekanan Hisap'!Q9,IF($A$118=' Input Data Tekanan Hisap'!$A$148,' Input Data Tekanan Hisap'!E27,IF($A$118=' Input Data Tekanan Hisap'!$A$149,' Input Data Tekanan Hisap'!K27,IF($A$118=' Input Data Tekanan Hisap'!$A$150,' Input Data Tekanan Hisap'!Q27,IF($A$118=' Input Data Tekanan Hisap'!$A$151,' Input Data Tekanan Hisap'!E44,IF($A$118=' Input Data Tekanan Hisap'!$A$155,' Input Data Tekanan Hisap'!K44,IF($A$118=' Input Data Tekanan Hisap'!$A$156,' Input Data Tekanan Hisap'!Q44,IF($A$118=' Input Data Tekanan Hisap'!$A$157,' Input Data Tekanan Hisap'!E62,IF($A$118=' Input Data Tekanan Hisap'!$A$158,' Input Data Tekanan Hisap'!K62,IF($A$118=' Input Data Tekanan Hisap'!$A$159,' Input Data Tekanan Hisap'!Q62,IF($A$118=' Input Data Tekanan Hisap'!$A$160,' Input Data Tekanan Hisap'!E79,IF($A$118=' Input Data Tekanan Hisap'!$A$161,' Input Data Tekanan Hisap'!K79,IF($A$118=' Input Data Tekanan Hisap'!$A$162,' Input Data Tekanan Hisap'!Q79,' Input Data Tekanan Hisap'!E98)))))))))))))))</f>
        <v>0.5</v>
      </c>
      <c r="H181" s="1154"/>
      <c r="I181" s="1154"/>
      <c r="J181" s="1154"/>
      <c r="K181" s="1154"/>
      <c r="L181" s="1154"/>
    </row>
    <row r="182" spans="1:12" x14ac:dyDescent="0.25">
      <c r="A182" s="1007">
        <f>IF($A$118=' Input Data Tekanan Hisap'!$A$145,' Input Data Tekanan Hisap'!A10,IF($A$118=' Input Data Tekanan Hisap'!$A$146,' Input Data Tekanan Hisap'!G10,IF($A$118=' Input Data Tekanan Hisap'!$A$147,' Input Data Tekanan Hisap'!M10,IF($A$118=' Input Data Tekanan Hisap'!$A$148,' Input Data Tekanan Hisap'!A28,IF($A$118=' Input Data Tekanan Hisap'!$A$149,' Input Data Tekanan Hisap'!G28,IF($A$118=' Input Data Tekanan Hisap'!$A$150,' Input Data Tekanan Hisap'!M28,IF($A$118=' Input Data Tekanan Hisap'!$A$151,' Input Data Tekanan Hisap'!A45,IF($A$118=' Input Data Tekanan Hisap'!$A$155,' Input Data Tekanan Hisap'!G45,IF($A$118=' Input Data Tekanan Hisap'!$A$156,' Input Data Tekanan Hisap'!M45,IF($A$118=' Input Data Tekanan Hisap'!$A$157,' Input Data Tekanan Hisap'!A63,IF($A$118=' Input Data Tekanan Hisap'!$A$158,' Input Data Tekanan Hisap'!G63,IF($A$118=' Input Data Tekanan Hisap'!$A$159,' Input Data Tekanan Hisap'!M63,IF($A$118=' Input Data Tekanan Hisap'!$A$160,' Input Data Tekanan Hisap'!A80,IF($A$118=' Input Data Tekanan Hisap'!$A$161,' Input Data Tekanan Hisap'!G80,IF($A$118=' Input Data Tekanan Hisap'!$A$162,' Input Data Tekanan Hisap'!M80,' Input Data Tekanan Hisap'!A99)))))))))))))))</f>
        <v>500</v>
      </c>
      <c r="B182" s="1007">
        <f>IF($A$118=' Input Data Tekanan Hisap'!$A$145,' Input Data Tekanan Hisap'!B10,IF($A$118=' Input Data Tekanan Hisap'!$A$146,' Input Data Tekanan Hisap'!H10,IF($A$118=' Input Data Tekanan Hisap'!$A$147,' Input Data Tekanan Hisap'!N10,IF($A$118=' Input Data Tekanan Hisap'!$A$148,' Input Data Tekanan Hisap'!B28,IF($A$118=' Input Data Tekanan Hisap'!$A$149,' Input Data Tekanan Hisap'!H28,IF($A$118=' Input Data Tekanan Hisap'!$A$150,' Input Data Tekanan Hisap'!N28,IF($A$118=' Input Data Tekanan Hisap'!$A$151,' Input Data Tekanan Hisap'!B45,IF($A$118=' Input Data Tekanan Hisap'!$A$155,' Input Data Tekanan Hisap'!H45,IF($A$118=' Input Data Tekanan Hisap'!$A$156,' Input Data Tekanan Hisap'!N45,IF($A$118=' Input Data Tekanan Hisap'!$A$157,' Input Data Tekanan Hisap'!B63,IF($A$118=' Input Data Tekanan Hisap'!$A$158,' Input Data Tekanan Hisap'!H63,IF($A$118=' Input Data Tekanan Hisap'!$A$159,' Input Data Tekanan Hisap'!N63,IF($A$118=' Input Data Tekanan Hisap'!$A$160,' Input Data Tekanan Hisap'!B80,IF($A$118=' Input Data Tekanan Hisap'!$A$161,' Input Data Tekanan Hisap'!H80,IF($A$118=' Input Data Tekanan Hisap'!$A$162,' Input Data Tekanan Hisap'!N80,' Input Data Tekanan Hisap'!B99)))))))))))))))</f>
        <v>-1.5</v>
      </c>
      <c r="C182" s="1007" t="str">
        <f>IF($A$118=' Input Data Tekanan Hisap'!$A$145,' Input Data Tekanan Hisap'!C10,IF($A$118=' Input Data Tekanan Hisap'!$A$146,' Input Data Tekanan Hisap'!I10,IF($A$118=' Input Data Tekanan Hisap'!$A$147,' Input Data Tekanan Hisap'!O10,IF($A$118=' Input Data Tekanan Hisap'!$A$148,' Input Data Tekanan Hisap'!C28,IF($A$118=' Input Data Tekanan Hisap'!$A$149,' Input Data Tekanan Hisap'!I28,IF($A$118=' Input Data Tekanan Hisap'!$A$150,' Input Data Tekanan Hisap'!O28,IF($A$118=' Input Data Tekanan Hisap'!$A$151,' Input Data Tekanan Hisap'!C45,IF($A$118=' Input Data Tekanan Hisap'!$A$155,' Input Data Tekanan Hisap'!I45,IF($A$118=' Input Data Tekanan Hisap'!$A$156,' Input Data Tekanan Hisap'!O45,IF($A$118=' Input Data Tekanan Hisap'!$A$157,' Input Data Tekanan Hisap'!C63,IF($A$118=' Input Data Tekanan Hisap'!$A$158,' Input Data Tekanan Hisap'!I63,IF($A$118=' Input Data Tekanan Hisap'!$A$159,' Input Data Tekanan Hisap'!O63,IF($A$118=' Input Data Tekanan Hisap'!$A$160,' Input Data Tekanan Hisap'!C80,IF($A$118=' Input Data Tekanan Hisap'!$A$161,' Input Data Tekanan Hisap'!I80,IF($A$118=' Input Data Tekanan Hisap'!$A$162,' Input Data Tekanan Hisap'!O80,' Input Data Tekanan Hisap'!C99)))))))))))))))</f>
        <v>-</v>
      </c>
      <c r="D182" s="1007">
        <f>IF($A$118=' Input Data Tekanan Hisap'!$A$145,' Input Data Tekanan Hisap'!D10,IF($A$118=' Input Data Tekanan Hisap'!$A$146,' Input Data Tekanan Hisap'!J10,IF($A$118=' Input Data Tekanan Hisap'!$A$147,' Input Data Tekanan Hisap'!P10,IF($A$118=' Input Data Tekanan Hisap'!$A$148,' Input Data Tekanan Hisap'!D28,IF($A$118=' Input Data Tekanan Hisap'!$A$149,' Input Data Tekanan Hisap'!J28,IF($A$118=' Input Data Tekanan Hisap'!$A$150,' Input Data Tekanan Hisap'!P28,IF($A$118=' Input Data Tekanan Hisap'!$A$151,' Input Data Tekanan Hisap'!D45,IF($A$118=' Input Data Tekanan Hisap'!$A$155,' Input Data Tekanan Hisap'!J45,IF($A$118=' Input Data Tekanan Hisap'!$A$156,' Input Data Tekanan Hisap'!P45,IF($A$118=' Input Data Tekanan Hisap'!$A$157,' Input Data Tekanan Hisap'!D63,IF($A$118=' Input Data Tekanan Hisap'!$A$158,' Input Data Tekanan Hisap'!J63,IF($A$118=' Input Data Tekanan Hisap'!$A$159,' Input Data Tekanan Hisap'!P63,IF($A$118=' Input Data Tekanan Hisap'!$A$160,' Input Data Tekanan Hisap'!D80,IF($A$118=' Input Data Tekanan Hisap'!$A$161,' Input Data Tekanan Hisap'!J80,IF($A$118=' Input Data Tekanan Hisap'!$A$162,' Input Data Tekanan Hisap'!P80,' Input Data Tekanan Hisap'!D99)))))))))))))))</f>
        <v>0</v>
      </c>
      <c r="E182" s="1007">
        <f>IF($A$118=' Input Data Tekanan Hisap'!$A$145,' Input Data Tekanan Hisap'!E10,IF($A$118=' Input Data Tekanan Hisap'!$A$146,' Input Data Tekanan Hisap'!K10,IF($A$118=' Input Data Tekanan Hisap'!$A$147,' Input Data Tekanan Hisap'!Q10,IF($A$118=' Input Data Tekanan Hisap'!$A$148,' Input Data Tekanan Hisap'!E28,IF($A$118=' Input Data Tekanan Hisap'!$A$149,' Input Data Tekanan Hisap'!K28,IF($A$118=' Input Data Tekanan Hisap'!$A$150,' Input Data Tekanan Hisap'!Q28,IF($A$118=' Input Data Tekanan Hisap'!$A$151,' Input Data Tekanan Hisap'!E45,IF($A$118=' Input Data Tekanan Hisap'!$A$155,' Input Data Tekanan Hisap'!K45,IF($A$118=' Input Data Tekanan Hisap'!$A$156,' Input Data Tekanan Hisap'!Q45,IF($A$118=' Input Data Tekanan Hisap'!$A$157,' Input Data Tekanan Hisap'!E63,IF($A$118=' Input Data Tekanan Hisap'!$A$158,' Input Data Tekanan Hisap'!K63,IF($A$118=' Input Data Tekanan Hisap'!$A$159,' Input Data Tekanan Hisap'!Q63,IF($A$118=' Input Data Tekanan Hisap'!$A$160,' Input Data Tekanan Hisap'!E80,IF($A$118=' Input Data Tekanan Hisap'!$A$161,' Input Data Tekanan Hisap'!K80,IF($A$118=' Input Data Tekanan Hisap'!$A$162,' Input Data Tekanan Hisap'!Q80,' Input Data Tekanan Hisap'!E99)))))))))))))))</f>
        <v>0.5</v>
      </c>
      <c r="H182" s="1154"/>
      <c r="I182" s="1154"/>
      <c r="J182" s="1154"/>
      <c r="K182" s="1154"/>
      <c r="L182" s="1154"/>
    </row>
    <row r="183" spans="1:12" x14ac:dyDescent="0.25">
      <c r="A183" s="1007">
        <f>IF($A$118=' Input Data Tekanan Hisap'!$A$145,' Input Data Tekanan Hisap'!A11,IF($A$118=' Input Data Tekanan Hisap'!$A$146,' Input Data Tekanan Hisap'!G11,IF($A$118=' Input Data Tekanan Hisap'!$A$147,' Input Data Tekanan Hisap'!M11,IF($A$118=' Input Data Tekanan Hisap'!$A$148,' Input Data Tekanan Hisap'!A29,IF($A$118=' Input Data Tekanan Hisap'!$A$149,' Input Data Tekanan Hisap'!G29,IF($A$118=' Input Data Tekanan Hisap'!$A$150,' Input Data Tekanan Hisap'!M29,IF($A$118=' Input Data Tekanan Hisap'!$A$151,' Input Data Tekanan Hisap'!A46,IF($A$118=' Input Data Tekanan Hisap'!$A$155,' Input Data Tekanan Hisap'!G46,IF($A$118=' Input Data Tekanan Hisap'!$A$156,' Input Data Tekanan Hisap'!M46,IF($A$118=' Input Data Tekanan Hisap'!$A$157,' Input Data Tekanan Hisap'!A64,IF($A$118=' Input Data Tekanan Hisap'!$A$158,' Input Data Tekanan Hisap'!G64,IF($A$118=' Input Data Tekanan Hisap'!$A$159,' Input Data Tekanan Hisap'!M64,IF($A$118=' Input Data Tekanan Hisap'!$A$160,' Input Data Tekanan Hisap'!A81,IF($A$118=' Input Data Tekanan Hisap'!$A$161,' Input Data Tekanan Hisap'!G81,IF($A$118=' Input Data Tekanan Hisap'!$A$162,' Input Data Tekanan Hisap'!M81,' Input Data Tekanan Hisap'!A100)))))))))))))))</f>
        <v>600</v>
      </c>
      <c r="B183" s="1007">
        <f>IF($A$118=' Input Data Tekanan Hisap'!$A$145,' Input Data Tekanan Hisap'!B11,IF($A$118=' Input Data Tekanan Hisap'!$A$146,' Input Data Tekanan Hisap'!H11,IF($A$118=' Input Data Tekanan Hisap'!$A$147,' Input Data Tekanan Hisap'!N11,IF($A$118=' Input Data Tekanan Hisap'!$A$148,' Input Data Tekanan Hisap'!B29,IF($A$118=' Input Data Tekanan Hisap'!$A$149,' Input Data Tekanan Hisap'!H29,IF($A$118=' Input Data Tekanan Hisap'!$A$150,' Input Data Tekanan Hisap'!N29,IF($A$118=' Input Data Tekanan Hisap'!$A$151,' Input Data Tekanan Hisap'!B46,IF($A$118=' Input Data Tekanan Hisap'!$A$155,' Input Data Tekanan Hisap'!H46,IF($A$118=' Input Data Tekanan Hisap'!$A$156,' Input Data Tekanan Hisap'!N46,IF($A$118=' Input Data Tekanan Hisap'!$A$157,' Input Data Tekanan Hisap'!B64,IF($A$118=' Input Data Tekanan Hisap'!$A$158,' Input Data Tekanan Hisap'!H64,IF($A$118=' Input Data Tekanan Hisap'!$A$159,' Input Data Tekanan Hisap'!N64,IF($A$118=' Input Data Tekanan Hisap'!$A$160,' Input Data Tekanan Hisap'!B81,IF($A$118=' Input Data Tekanan Hisap'!$A$161,' Input Data Tekanan Hisap'!H81,IF($A$118=' Input Data Tekanan Hisap'!$A$162,' Input Data Tekanan Hisap'!N81,' Input Data Tekanan Hisap'!B100)))))))))))))))</f>
        <v>-1.9</v>
      </c>
      <c r="C183" s="1007" t="str">
        <f>IF($A$118=' Input Data Tekanan Hisap'!$A$145,' Input Data Tekanan Hisap'!C11,IF($A$118=' Input Data Tekanan Hisap'!$A$146,' Input Data Tekanan Hisap'!I11,IF($A$118=' Input Data Tekanan Hisap'!$A$147,' Input Data Tekanan Hisap'!O11,IF($A$118=' Input Data Tekanan Hisap'!$A$148,' Input Data Tekanan Hisap'!C29,IF($A$118=' Input Data Tekanan Hisap'!$A$149,' Input Data Tekanan Hisap'!I29,IF($A$118=' Input Data Tekanan Hisap'!$A$150,' Input Data Tekanan Hisap'!O29,IF($A$118=' Input Data Tekanan Hisap'!$A$151,' Input Data Tekanan Hisap'!C46,IF($A$118=' Input Data Tekanan Hisap'!$A$155,' Input Data Tekanan Hisap'!I46,IF($A$118=' Input Data Tekanan Hisap'!$A$156,' Input Data Tekanan Hisap'!O46,IF($A$118=' Input Data Tekanan Hisap'!$A$157,' Input Data Tekanan Hisap'!C64,IF($A$118=' Input Data Tekanan Hisap'!$A$158,' Input Data Tekanan Hisap'!I64,IF($A$118=' Input Data Tekanan Hisap'!$A$159,' Input Data Tekanan Hisap'!O64,IF($A$118=' Input Data Tekanan Hisap'!$A$160,' Input Data Tekanan Hisap'!C81,IF($A$118=' Input Data Tekanan Hisap'!$A$161,' Input Data Tekanan Hisap'!I81,IF($A$118=' Input Data Tekanan Hisap'!$A$162,' Input Data Tekanan Hisap'!O81,' Input Data Tekanan Hisap'!C100)))))))))))))))</f>
        <v>-</v>
      </c>
      <c r="D183" s="1007">
        <f>IF($A$118=' Input Data Tekanan Hisap'!$A$145,' Input Data Tekanan Hisap'!D11,IF($A$118=' Input Data Tekanan Hisap'!$A$146,' Input Data Tekanan Hisap'!J11,IF($A$118=' Input Data Tekanan Hisap'!$A$147,' Input Data Tekanan Hisap'!P11,IF($A$118=' Input Data Tekanan Hisap'!$A$148,' Input Data Tekanan Hisap'!D29,IF($A$118=' Input Data Tekanan Hisap'!$A$149,' Input Data Tekanan Hisap'!J29,IF($A$118=' Input Data Tekanan Hisap'!$A$150,' Input Data Tekanan Hisap'!P29,IF($A$118=' Input Data Tekanan Hisap'!$A$151,' Input Data Tekanan Hisap'!D46,IF($A$118=' Input Data Tekanan Hisap'!$A$155,' Input Data Tekanan Hisap'!J46,IF($A$118=' Input Data Tekanan Hisap'!$A$156,' Input Data Tekanan Hisap'!P46,IF($A$118=' Input Data Tekanan Hisap'!$A$157,' Input Data Tekanan Hisap'!D64,IF($A$118=' Input Data Tekanan Hisap'!$A$158,' Input Data Tekanan Hisap'!J64,IF($A$118=' Input Data Tekanan Hisap'!$A$159,' Input Data Tekanan Hisap'!P64,IF($A$118=' Input Data Tekanan Hisap'!$A$160,' Input Data Tekanan Hisap'!D81,IF($A$118=' Input Data Tekanan Hisap'!$A$161,' Input Data Tekanan Hisap'!J81,IF($A$118=' Input Data Tekanan Hisap'!$A$162,' Input Data Tekanan Hisap'!P81,' Input Data Tekanan Hisap'!D100)))))))))))))))</f>
        <v>0</v>
      </c>
      <c r="E183" s="1007">
        <f>IF($A$118=' Input Data Tekanan Hisap'!$A$145,' Input Data Tekanan Hisap'!E11,IF($A$118=' Input Data Tekanan Hisap'!$A$146,' Input Data Tekanan Hisap'!K11,IF($A$118=' Input Data Tekanan Hisap'!$A$147,' Input Data Tekanan Hisap'!Q11,IF($A$118=' Input Data Tekanan Hisap'!$A$148,' Input Data Tekanan Hisap'!E29,IF($A$118=' Input Data Tekanan Hisap'!$A$149,' Input Data Tekanan Hisap'!K29,IF($A$118=' Input Data Tekanan Hisap'!$A$150,' Input Data Tekanan Hisap'!Q29,IF($A$118=' Input Data Tekanan Hisap'!$A$151,' Input Data Tekanan Hisap'!E46,IF($A$118=' Input Data Tekanan Hisap'!$A$155,' Input Data Tekanan Hisap'!K46,IF($A$118=' Input Data Tekanan Hisap'!$A$156,' Input Data Tekanan Hisap'!Q46,IF($A$118=' Input Data Tekanan Hisap'!$A$157,' Input Data Tekanan Hisap'!E64,IF($A$118=' Input Data Tekanan Hisap'!$A$158,' Input Data Tekanan Hisap'!K64,IF($A$118=' Input Data Tekanan Hisap'!$A$159,' Input Data Tekanan Hisap'!Q64,IF($A$118=' Input Data Tekanan Hisap'!$A$160,' Input Data Tekanan Hisap'!E81,IF($A$118=' Input Data Tekanan Hisap'!$A$161,' Input Data Tekanan Hisap'!K81,IF($A$118=' Input Data Tekanan Hisap'!$A$162,' Input Data Tekanan Hisap'!Q81,' Input Data Tekanan Hisap'!E100)))))))))))))))</f>
        <v>0.5</v>
      </c>
      <c r="H183" s="1154"/>
      <c r="I183" s="1154"/>
      <c r="J183" s="1154"/>
      <c r="K183" s="1154"/>
      <c r="L183" s="1154"/>
    </row>
    <row r="184" spans="1:12" x14ac:dyDescent="0.25">
      <c r="A184" s="1007">
        <f>IF($A$118=' Input Data Tekanan Hisap'!$A$145,' Input Data Tekanan Hisap'!A12,IF($A$118=' Input Data Tekanan Hisap'!$A$146,' Input Data Tekanan Hisap'!G12,IF($A$118=' Input Data Tekanan Hisap'!$A$147,' Input Data Tekanan Hisap'!M12,IF($A$118=' Input Data Tekanan Hisap'!$A$148,' Input Data Tekanan Hisap'!A30,IF($A$118=' Input Data Tekanan Hisap'!$A$149,' Input Data Tekanan Hisap'!G30,IF($A$118=' Input Data Tekanan Hisap'!$A$150,' Input Data Tekanan Hisap'!M30,IF($A$118=' Input Data Tekanan Hisap'!$A$151,' Input Data Tekanan Hisap'!A47,IF($A$118=' Input Data Tekanan Hisap'!$A$155,' Input Data Tekanan Hisap'!G47,IF($A$118=' Input Data Tekanan Hisap'!$A$156,' Input Data Tekanan Hisap'!M47,IF($A$118=' Input Data Tekanan Hisap'!$A$157,' Input Data Tekanan Hisap'!A65,IF($A$118=' Input Data Tekanan Hisap'!$A$158,' Input Data Tekanan Hisap'!G65,IF($A$118=' Input Data Tekanan Hisap'!$A$159,' Input Data Tekanan Hisap'!M65,IF($A$118=' Input Data Tekanan Hisap'!$A$160,' Input Data Tekanan Hisap'!A82,IF($A$118=' Input Data Tekanan Hisap'!$A$161,' Input Data Tekanan Hisap'!G82,IF($A$118=' Input Data Tekanan Hisap'!$A$162,' Input Data Tekanan Hisap'!M82,' Input Data Tekanan Hisap'!A101)))))))))))))))</f>
        <v>1000</v>
      </c>
      <c r="B184" s="1007">
        <f>IF($A$118=' Input Data Tekanan Hisap'!$A$145,' Input Data Tekanan Hisap'!B12,IF($A$118=' Input Data Tekanan Hisap'!$A$146,' Input Data Tekanan Hisap'!H12,IF($A$118=' Input Data Tekanan Hisap'!$A$147,' Input Data Tekanan Hisap'!N12,IF($A$118=' Input Data Tekanan Hisap'!$A$148,' Input Data Tekanan Hisap'!B30,IF($A$118=' Input Data Tekanan Hisap'!$A$149,' Input Data Tekanan Hisap'!H30,IF($A$118=' Input Data Tekanan Hisap'!$A$150,' Input Data Tekanan Hisap'!N30,IF($A$118=' Input Data Tekanan Hisap'!$A$151,' Input Data Tekanan Hisap'!B47,IF($A$118=' Input Data Tekanan Hisap'!$A$155,' Input Data Tekanan Hisap'!H47,IF($A$118=' Input Data Tekanan Hisap'!$A$156,' Input Data Tekanan Hisap'!N47,IF($A$118=' Input Data Tekanan Hisap'!$A$157,' Input Data Tekanan Hisap'!B65,IF($A$118=' Input Data Tekanan Hisap'!$A$158,' Input Data Tekanan Hisap'!H65,IF($A$118=' Input Data Tekanan Hisap'!$A$159,' Input Data Tekanan Hisap'!N65,IF($A$118=' Input Data Tekanan Hisap'!$A$160,' Input Data Tekanan Hisap'!B82,IF($A$118=' Input Data Tekanan Hisap'!$A$161,' Input Data Tekanan Hisap'!H82,IF($A$118=' Input Data Tekanan Hisap'!$A$162,' Input Data Tekanan Hisap'!N82,' Input Data Tekanan Hisap'!B101)))))))))))))))</f>
        <v>-1.9</v>
      </c>
      <c r="C184" s="1007" t="str">
        <f>IF($A$118=' Input Data Tekanan Hisap'!$A$145,' Input Data Tekanan Hisap'!C12,IF($A$118=' Input Data Tekanan Hisap'!$A$146,' Input Data Tekanan Hisap'!I12,IF($A$118=' Input Data Tekanan Hisap'!$A$147,' Input Data Tekanan Hisap'!O12,IF($A$118=' Input Data Tekanan Hisap'!$A$148,' Input Data Tekanan Hisap'!C30,IF($A$118=' Input Data Tekanan Hisap'!$A$149,' Input Data Tekanan Hisap'!I30,IF($A$118=' Input Data Tekanan Hisap'!$A$150,' Input Data Tekanan Hisap'!O30,IF($A$118=' Input Data Tekanan Hisap'!$A$151,' Input Data Tekanan Hisap'!C47,IF($A$118=' Input Data Tekanan Hisap'!$A$155,' Input Data Tekanan Hisap'!I47,IF($A$118=' Input Data Tekanan Hisap'!$A$156,' Input Data Tekanan Hisap'!O47,IF($A$118=' Input Data Tekanan Hisap'!$A$157,' Input Data Tekanan Hisap'!C65,IF($A$118=' Input Data Tekanan Hisap'!$A$158,' Input Data Tekanan Hisap'!I65,IF($A$118=' Input Data Tekanan Hisap'!$A$159,' Input Data Tekanan Hisap'!O65,IF($A$118=' Input Data Tekanan Hisap'!$A$160,' Input Data Tekanan Hisap'!C82,IF($A$118=' Input Data Tekanan Hisap'!$A$161,' Input Data Tekanan Hisap'!I82,IF($A$118=' Input Data Tekanan Hisap'!$A$162,' Input Data Tekanan Hisap'!O82,' Input Data Tekanan Hisap'!C101)))))))))))))))</f>
        <v>-</v>
      </c>
      <c r="D184" s="1007">
        <f>IF($A$118=' Input Data Tekanan Hisap'!$A$145,' Input Data Tekanan Hisap'!D12,IF($A$118=' Input Data Tekanan Hisap'!$A$146,' Input Data Tekanan Hisap'!J12,IF($A$118=' Input Data Tekanan Hisap'!$A$147,' Input Data Tekanan Hisap'!P12,IF($A$118=' Input Data Tekanan Hisap'!$A$148,' Input Data Tekanan Hisap'!D30,IF($A$118=' Input Data Tekanan Hisap'!$A$149,' Input Data Tekanan Hisap'!J30,IF($A$118=' Input Data Tekanan Hisap'!$A$150,' Input Data Tekanan Hisap'!P30,IF($A$118=' Input Data Tekanan Hisap'!$A$151,' Input Data Tekanan Hisap'!D47,IF($A$118=' Input Data Tekanan Hisap'!$A$155,' Input Data Tekanan Hisap'!J47,IF($A$118=' Input Data Tekanan Hisap'!$A$156,' Input Data Tekanan Hisap'!P47,IF($A$118=' Input Data Tekanan Hisap'!$A$157,' Input Data Tekanan Hisap'!D65,IF($A$118=' Input Data Tekanan Hisap'!$A$158,' Input Data Tekanan Hisap'!J65,IF($A$118=' Input Data Tekanan Hisap'!$A$159,' Input Data Tekanan Hisap'!P65,IF($A$118=' Input Data Tekanan Hisap'!$A$160,' Input Data Tekanan Hisap'!D82,IF($A$118=' Input Data Tekanan Hisap'!$A$161,' Input Data Tekanan Hisap'!J82,IF($A$118=' Input Data Tekanan Hisap'!$A$162,' Input Data Tekanan Hisap'!P82,' Input Data Tekanan Hisap'!D101)))))))))))))))</f>
        <v>0</v>
      </c>
      <c r="E184" s="1007">
        <f>IF($A$118=' Input Data Tekanan Hisap'!$A$145,' Input Data Tekanan Hisap'!E12,IF($A$118=' Input Data Tekanan Hisap'!$A$146,' Input Data Tekanan Hisap'!K12,IF($A$118=' Input Data Tekanan Hisap'!$A$147,' Input Data Tekanan Hisap'!Q12,IF($A$118=' Input Data Tekanan Hisap'!$A$148,' Input Data Tekanan Hisap'!E30,IF($A$118=' Input Data Tekanan Hisap'!$A$149,' Input Data Tekanan Hisap'!K30,IF($A$118=' Input Data Tekanan Hisap'!$A$150,' Input Data Tekanan Hisap'!Q30,IF($A$118=' Input Data Tekanan Hisap'!$A$151,' Input Data Tekanan Hisap'!E47,IF($A$118=' Input Data Tekanan Hisap'!$A$155,' Input Data Tekanan Hisap'!K47,IF($A$118=' Input Data Tekanan Hisap'!$A$156,' Input Data Tekanan Hisap'!Q47,IF($A$118=' Input Data Tekanan Hisap'!$A$157,' Input Data Tekanan Hisap'!E65,IF($A$118=' Input Data Tekanan Hisap'!$A$158,' Input Data Tekanan Hisap'!K65,IF($A$118=' Input Data Tekanan Hisap'!$A$159,' Input Data Tekanan Hisap'!Q65,IF($A$118=' Input Data Tekanan Hisap'!$A$160,' Input Data Tekanan Hisap'!E82,IF($A$118=' Input Data Tekanan Hisap'!$A$161,' Input Data Tekanan Hisap'!K82,IF($A$118=' Input Data Tekanan Hisap'!$A$162,' Input Data Tekanan Hisap'!Q82,' Input Data Tekanan Hisap'!E101)))))))))))))))</f>
        <v>0.5</v>
      </c>
      <c r="H184" s="1154"/>
      <c r="I184" s="1154"/>
      <c r="J184" s="1154"/>
      <c r="K184" s="1154"/>
      <c r="L184" s="1154"/>
    </row>
    <row r="185" spans="1:12" x14ac:dyDescent="0.25">
      <c r="A185" s="1007"/>
      <c r="B185" s="1007"/>
      <c r="C185" s="1007"/>
      <c r="D185" s="1007"/>
      <c r="E185" s="1007"/>
      <c r="H185" s="1154"/>
      <c r="I185" s="1154"/>
      <c r="J185" s="1154"/>
      <c r="K185" s="1154"/>
      <c r="L185" s="1154"/>
    </row>
    <row r="186" spans="1:12" ht="26.25" customHeight="1" x14ac:dyDescent="0.25">
      <c r="A186" s="1007"/>
      <c r="B186" s="1007"/>
      <c r="C186" s="1007"/>
      <c r="D186" s="1007"/>
      <c r="E186" s="1007"/>
      <c r="H186" s="1154"/>
      <c r="I186" s="1154"/>
      <c r="J186" s="1154"/>
      <c r="K186" s="1154"/>
      <c r="L186" s="1154"/>
    </row>
    <row r="187" spans="1:12" x14ac:dyDescent="0.25">
      <c r="A187" s="1007"/>
      <c r="B187" s="1007"/>
      <c r="C187" s="1007"/>
      <c r="D187" s="1007"/>
      <c r="E187" s="1007"/>
      <c r="H187" s="1154"/>
      <c r="I187" s="1154"/>
      <c r="J187" s="1154"/>
      <c r="K187" s="1154"/>
      <c r="L187" s="1154"/>
    </row>
    <row r="188" spans="1:12" x14ac:dyDescent="0.25">
      <c r="A188" s="1007"/>
      <c r="B188" s="1007"/>
      <c r="C188" s="1007"/>
      <c r="D188" s="1007"/>
      <c r="E188" s="1007"/>
      <c r="H188" s="1154"/>
      <c r="I188" s="1154"/>
      <c r="J188" s="1154"/>
      <c r="K188" s="1154"/>
      <c r="L188" s="1154"/>
    </row>
    <row r="189" spans="1:12" x14ac:dyDescent="0.25">
      <c r="A189" s="1007"/>
      <c r="B189" s="1007"/>
      <c r="C189" s="1007"/>
      <c r="D189" s="1007"/>
      <c r="E189" s="1007"/>
      <c r="H189" s="1154"/>
      <c r="I189" s="1154"/>
      <c r="J189" s="1154"/>
      <c r="K189" s="1154"/>
      <c r="L189" s="1154"/>
    </row>
    <row r="190" spans="1:12" x14ac:dyDescent="0.25">
      <c r="H190" s="1155"/>
      <c r="I190" s="1155"/>
      <c r="J190" s="1155"/>
      <c r="K190" s="1155"/>
      <c r="L190" s="1155"/>
    </row>
    <row r="194" spans="1:9" ht="13.8" x14ac:dyDescent="0.25">
      <c r="A194" s="1380" t="s">
        <v>53</v>
      </c>
      <c r="B194" s="1380"/>
      <c r="C194" s="1380"/>
      <c r="D194" s="1380"/>
      <c r="E194" s="1380"/>
      <c r="F194" s="1380"/>
      <c r="G194" s="1381" t="s">
        <v>301</v>
      </c>
      <c r="H194" s="1381" t="s">
        <v>53</v>
      </c>
      <c r="I194" s="1382"/>
    </row>
    <row r="195" spans="1:9" ht="13.8" x14ac:dyDescent="0.25">
      <c r="A195" s="317" t="s">
        <v>56</v>
      </c>
      <c r="B195" s="317" t="s">
        <v>57</v>
      </c>
      <c r="C195" s="317" t="s">
        <v>58</v>
      </c>
      <c r="D195" s="317" t="s">
        <v>59</v>
      </c>
      <c r="E195" s="317" t="s">
        <v>60</v>
      </c>
      <c r="F195" s="317" t="s">
        <v>61</v>
      </c>
      <c r="G195" s="1381"/>
      <c r="H195" s="1381"/>
      <c r="I195" s="1382"/>
    </row>
    <row r="196" spans="1:9" x14ac:dyDescent="0.25">
      <c r="A196" s="153">
        <f>ID!E36-(2*ID!E36)</f>
        <v>-600</v>
      </c>
      <c r="B196" s="153">
        <f>ID!F36-(2*ID!F36)</f>
        <v>-600</v>
      </c>
      <c r="C196" s="153">
        <f>ID!G36-(2*ID!G36)</f>
        <v>-600</v>
      </c>
      <c r="D196" s="153">
        <f>ID!H36-(2*ID!H36)</f>
        <v>-600</v>
      </c>
      <c r="E196" s="153">
        <f>ID!I36-(2*ID!I36)</f>
        <v>-600</v>
      </c>
      <c r="F196" s="153">
        <f>ID!J36-(2*ID!J36)</f>
        <v>-600</v>
      </c>
      <c r="G196" s="153">
        <f>AVERAGE(A196:F196)</f>
        <v>-600</v>
      </c>
      <c r="H196" s="153">
        <f>G196+B111</f>
        <v>-601.9</v>
      </c>
      <c r="I196" s="1205"/>
    </row>
    <row r="197" spans="1:9" x14ac:dyDescent="0.25">
      <c r="A197" s="153">
        <f>ID!E37-(2*ID!E37)</f>
        <v>-131</v>
      </c>
      <c r="B197" s="153">
        <f>ID!F37-(2*ID!F37)</f>
        <v>-130</v>
      </c>
      <c r="C197" s="153">
        <f>ID!G37-(2*ID!G37)</f>
        <v>-130</v>
      </c>
      <c r="D197" s="153">
        <f>ID!H37-(2*ID!H37)</f>
        <v>-130</v>
      </c>
      <c r="E197" s="153">
        <f>ID!I37-(2*ID!I37)</f>
        <v>-130</v>
      </c>
      <c r="F197" s="153">
        <f>ID!J37-(2*ID!J37)</f>
        <v>-130</v>
      </c>
      <c r="G197" s="153">
        <f>AVERAGE(A197:F197)</f>
        <v>-130.16666666666666</v>
      </c>
      <c r="H197" s="153">
        <f>G197+I111</f>
        <v>-130.56319999999999</v>
      </c>
      <c r="I197" s="1205"/>
    </row>
    <row r="202" spans="1:9" ht="27" customHeight="1" x14ac:dyDescent="0.25"/>
    <row r="218" ht="28.5" customHeight="1" x14ac:dyDescent="0.25"/>
    <row r="234" ht="28.5" customHeight="1" x14ac:dyDescent="0.25"/>
    <row r="248" spans="1:5" x14ac:dyDescent="0.25">
      <c r="A248" s="165"/>
      <c r="B248" s="165"/>
      <c r="C248" s="165"/>
      <c r="D248" s="165"/>
      <c r="E248" s="165"/>
    </row>
    <row r="249" spans="1:5" x14ac:dyDescent="0.25">
      <c r="A249" s="165"/>
      <c r="B249" s="165"/>
      <c r="C249" s="165"/>
      <c r="D249" s="165"/>
      <c r="E249" s="165"/>
    </row>
    <row r="250" spans="1:5" ht="13.8" x14ac:dyDescent="0.25">
      <c r="A250" s="1383"/>
      <c r="B250" s="1383"/>
      <c r="C250" s="1383"/>
      <c r="D250" s="1384"/>
      <c r="E250" s="1385"/>
    </row>
    <row r="251" spans="1:5" x14ac:dyDescent="0.25">
      <c r="A251" s="232"/>
      <c r="B251" s="1384"/>
      <c r="C251" s="1384"/>
      <c r="D251" s="1384"/>
      <c r="E251" s="1385"/>
    </row>
    <row r="252" spans="1:5" ht="14.4" x14ac:dyDescent="0.25">
      <c r="A252" s="693"/>
      <c r="B252" s="232"/>
      <c r="C252" s="232"/>
      <c r="D252" s="1384"/>
      <c r="E252" s="1385"/>
    </row>
    <row r="253" spans="1:5" x14ac:dyDescent="0.25">
      <c r="A253" s="694"/>
      <c r="B253" s="695"/>
      <c r="C253" s="695"/>
      <c r="D253" s="696"/>
      <c r="E253" s="695"/>
    </row>
    <row r="254" spans="1:5" x14ac:dyDescent="0.25">
      <c r="A254" s="694"/>
      <c r="B254" s="695"/>
      <c r="C254" s="695"/>
      <c r="D254" s="696"/>
      <c r="E254" s="695"/>
    </row>
    <row r="255" spans="1:5" x14ac:dyDescent="0.25">
      <c r="A255" s="694"/>
      <c r="B255" s="695"/>
      <c r="C255" s="695"/>
      <c r="D255" s="696"/>
      <c r="E255" s="695"/>
    </row>
    <row r="256" spans="1:5" x14ac:dyDescent="0.25">
      <c r="A256" s="694"/>
      <c r="B256" s="695"/>
      <c r="C256" s="695"/>
      <c r="D256" s="696"/>
      <c r="E256" s="695"/>
    </row>
    <row r="257" spans="1:5" x14ac:dyDescent="0.25">
      <c r="A257" s="694"/>
      <c r="B257" s="695"/>
      <c r="C257" s="695"/>
      <c r="D257" s="696"/>
      <c r="E257" s="695"/>
    </row>
    <row r="258" spans="1:5" x14ac:dyDescent="0.25">
      <c r="A258" s="694"/>
      <c r="B258" s="695"/>
      <c r="C258" s="695"/>
      <c r="D258" s="696"/>
      <c r="E258" s="695"/>
    </row>
    <row r="259" spans="1:5" x14ac:dyDescent="0.25">
      <c r="A259" s="694"/>
      <c r="B259" s="695"/>
      <c r="C259" s="695"/>
      <c r="D259" s="696"/>
      <c r="E259" s="695"/>
    </row>
    <row r="260" spans="1:5" x14ac:dyDescent="0.25">
      <c r="A260" s="694"/>
      <c r="B260" s="695"/>
      <c r="C260" s="695"/>
      <c r="D260" s="696"/>
      <c r="E260" s="695"/>
    </row>
    <row r="261" spans="1:5" x14ac:dyDescent="0.25">
      <c r="A261" s="694"/>
      <c r="B261" s="695"/>
      <c r="C261" s="695"/>
      <c r="D261" s="696"/>
      <c r="E261" s="695"/>
    </row>
    <row r="262" spans="1:5" x14ac:dyDescent="0.25">
      <c r="A262" s="694"/>
      <c r="B262" s="695"/>
      <c r="C262" s="695"/>
      <c r="D262" s="696"/>
      <c r="E262" s="695"/>
    </row>
    <row r="263" spans="1:5" x14ac:dyDescent="0.25">
      <c r="A263" s="694"/>
      <c r="B263" s="695"/>
      <c r="C263" s="695"/>
      <c r="D263" s="696"/>
      <c r="E263" s="695"/>
    </row>
    <row r="264" spans="1:5" x14ac:dyDescent="0.25">
      <c r="A264" s="165"/>
      <c r="B264" s="165"/>
      <c r="C264" s="165"/>
      <c r="D264" s="165"/>
      <c r="E264" s="165"/>
    </row>
    <row r="265" spans="1:5" x14ac:dyDescent="0.25">
      <c r="A265" s="165"/>
      <c r="B265" s="165"/>
      <c r="C265" s="165"/>
      <c r="D265" s="165"/>
      <c r="E265" s="165"/>
    </row>
    <row r="266" spans="1:5" ht="13.8" x14ac:dyDescent="0.25">
      <c r="A266" s="1383"/>
      <c r="B266" s="1383"/>
      <c r="C266" s="1383"/>
      <c r="D266" s="1384"/>
      <c r="E266" s="1385"/>
    </row>
    <row r="267" spans="1:5" x14ac:dyDescent="0.25">
      <c r="A267" s="232"/>
      <c r="B267" s="1384"/>
      <c r="C267" s="1384"/>
      <c r="D267" s="1384"/>
      <c r="E267" s="1385"/>
    </row>
    <row r="268" spans="1:5" ht="14.4" x14ac:dyDescent="0.25">
      <c r="A268" s="693"/>
      <c r="B268" s="232"/>
      <c r="C268" s="232"/>
      <c r="D268" s="1384"/>
      <c r="E268" s="1385"/>
    </row>
    <row r="269" spans="1:5" x14ac:dyDescent="0.25">
      <c r="A269" s="694"/>
      <c r="B269" s="695"/>
      <c r="C269" s="695"/>
      <c r="D269" s="696"/>
      <c r="E269" s="695"/>
    </row>
    <row r="270" spans="1:5" x14ac:dyDescent="0.25">
      <c r="A270" s="694"/>
      <c r="B270" s="695"/>
      <c r="C270" s="695"/>
      <c r="D270" s="696"/>
      <c r="E270" s="695"/>
    </row>
    <row r="271" spans="1:5" x14ac:dyDescent="0.25">
      <c r="A271" s="694"/>
      <c r="B271" s="695"/>
      <c r="C271" s="695"/>
      <c r="D271" s="696"/>
      <c r="E271" s="695"/>
    </row>
    <row r="272" spans="1:5" x14ac:dyDescent="0.25">
      <c r="A272" s="694"/>
      <c r="B272" s="695"/>
      <c r="C272" s="695"/>
      <c r="D272" s="696"/>
      <c r="E272" s="695"/>
    </row>
    <row r="273" spans="1:5" x14ac:dyDescent="0.25">
      <c r="A273" s="694"/>
      <c r="B273" s="695"/>
      <c r="C273" s="695"/>
      <c r="D273" s="696"/>
      <c r="E273" s="695"/>
    </row>
    <row r="274" spans="1:5" x14ac:dyDescent="0.25">
      <c r="A274" s="694"/>
      <c r="B274" s="695"/>
      <c r="C274" s="695"/>
      <c r="D274" s="696"/>
      <c r="E274" s="695"/>
    </row>
    <row r="275" spans="1:5" x14ac:dyDescent="0.25">
      <c r="A275" s="694"/>
      <c r="B275" s="695"/>
      <c r="C275" s="695"/>
      <c r="D275" s="696"/>
      <c r="E275" s="695"/>
    </row>
    <row r="276" spans="1:5" x14ac:dyDescent="0.25">
      <c r="A276" s="694"/>
      <c r="B276" s="695"/>
      <c r="C276" s="695"/>
      <c r="D276" s="696"/>
      <c r="E276" s="695"/>
    </row>
    <row r="277" spans="1:5" x14ac:dyDescent="0.25">
      <c r="A277" s="694"/>
      <c r="B277" s="695"/>
      <c r="C277" s="695"/>
      <c r="D277" s="696"/>
      <c r="E277" s="695"/>
    </row>
    <row r="278" spans="1:5" x14ac:dyDescent="0.25">
      <c r="A278" s="694"/>
      <c r="B278" s="695"/>
      <c r="C278" s="695"/>
      <c r="D278" s="696"/>
      <c r="E278" s="695"/>
    </row>
    <row r="279" spans="1:5" x14ac:dyDescent="0.25">
      <c r="A279" s="694"/>
      <c r="B279" s="695"/>
      <c r="C279" s="695"/>
      <c r="D279" s="696"/>
      <c r="E279" s="695"/>
    </row>
    <row r="280" spans="1:5" x14ac:dyDescent="0.25">
      <c r="A280" s="165"/>
      <c r="B280" s="165"/>
      <c r="C280" s="165"/>
      <c r="D280" s="165"/>
      <c r="E280" s="165"/>
    </row>
    <row r="281" spans="1:5" x14ac:dyDescent="0.25">
      <c r="A281" s="165"/>
      <c r="B281" s="165"/>
      <c r="C281" s="165"/>
      <c r="D281" s="165"/>
      <c r="E281" s="165"/>
    </row>
    <row r="282" spans="1:5" ht="13.8" x14ac:dyDescent="0.25">
      <c r="A282" s="1383"/>
      <c r="B282" s="1383"/>
      <c r="C282" s="1383"/>
      <c r="D282" s="1384"/>
      <c r="E282" s="1385"/>
    </row>
    <row r="283" spans="1:5" x14ac:dyDescent="0.25">
      <c r="A283" s="232"/>
      <c r="B283" s="1384"/>
      <c r="C283" s="1384"/>
      <c r="D283" s="1384"/>
      <c r="E283" s="1385"/>
    </row>
    <row r="284" spans="1:5" ht="14.4" x14ac:dyDescent="0.25">
      <c r="A284" s="693"/>
      <c r="B284" s="232"/>
      <c r="C284" s="232"/>
      <c r="D284" s="1384"/>
      <c r="E284" s="1385"/>
    </row>
    <row r="285" spans="1:5" x14ac:dyDescent="0.25">
      <c r="A285" s="694"/>
      <c r="B285" s="695"/>
      <c r="C285" s="695"/>
      <c r="D285" s="696"/>
      <c r="E285" s="695"/>
    </row>
    <row r="286" spans="1:5" x14ac:dyDescent="0.25">
      <c r="A286" s="694"/>
      <c r="B286" s="695"/>
      <c r="C286" s="695"/>
      <c r="D286" s="696"/>
      <c r="E286" s="695"/>
    </row>
    <row r="287" spans="1:5" x14ac:dyDescent="0.25">
      <c r="A287" s="694"/>
      <c r="B287" s="695"/>
      <c r="C287" s="695"/>
      <c r="D287" s="696"/>
      <c r="E287" s="695"/>
    </row>
    <row r="288" spans="1:5" x14ac:dyDescent="0.25">
      <c r="A288" s="694"/>
      <c r="B288" s="695"/>
      <c r="C288" s="695"/>
      <c r="D288" s="696"/>
      <c r="E288" s="695"/>
    </row>
    <row r="289" spans="1:5" x14ac:dyDescent="0.25">
      <c r="A289" s="694"/>
      <c r="B289" s="695"/>
      <c r="C289" s="695"/>
      <c r="D289" s="696"/>
      <c r="E289" s="695"/>
    </row>
    <row r="290" spans="1:5" x14ac:dyDescent="0.25">
      <c r="A290" s="694"/>
      <c r="B290" s="695"/>
      <c r="C290" s="695"/>
      <c r="D290" s="696"/>
      <c r="E290" s="695"/>
    </row>
    <row r="291" spans="1:5" x14ac:dyDescent="0.25">
      <c r="A291" s="694"/>
      <c r="B291" s="695"/>
      <c r="C291" s="695"/>
      <c r="D291" s="696"/>
      <c r="E291" s="695"/>
    </row>
    <row r="292" spans="1:5" x14ac:dyDescent="0.25">
      <c r="A292" s="694"/>
      <c r="B292" s="695"/>
      <c r="C292" s="695"/>
      <c r="D292" s="696"/>
      <c r="E292" s="695"/>
    </row>
    <row r="293" spans="1:5" x14ac:dyDescent="0.25">
      <c r="A293" s="694"/>
      <c r="B293" s="695"/>
      <c r="C293" s="695"/>
      <c r="D293" s="696"/>
      <c r="E293" s="695"/>
    </row>
    <row r="294" spans="1:5" x14ac:dyDescent="0.25">
      <c r="A294" s="694"/>
      <c r="B294" s="695"/>
      <c r="C294" s="695"/>
      <c r="D294" s="696"/>
      <c r="E294" s="695"/>
    </row>
    <row r="295" spans="1:5" x14ac:dyDescent="0.25">
      <c r="A295" s="694"/>
      <c r="B295" s="695"/>
      <c r="C295" s="695"/>
      <c r="D295" s="696"/>
      <c r="E295" s="695"/>
    </row>
    <row r="296" spans="1:5" x14ac:dyDescent="0.25">
      <c r="A296" s="165"/>
      <c r="B296" s="165"/>
      <c r="C296" s="165"/>
      <c r="D296" s="165"/>
      <c r="E296" s="165"/>
    </row>
    <row r="297" spans="1:5" x14ac:dyDescent="0.25">
      <c r="A297" s="165"/>
      <c r="B297" s="165"/>
      <c r="C297" s="165"/>
      <c r="D297" s="165"/>
      <c r="E297" s="165"/>
    </row>
    <row r="298" spans="1:5" ht="13.8" x14ac:dyDescent="0.25">
      <c r="A298" s="1383"/>
      <c r="B298" s="1383"/>
      <c r="C298" s="1383"/>
      <c r="D298" s="1384"/>
      <c r="E298" s="1385"/>
    </row>
    <row r="299" spans="1:5" x14ac:dyDescent="0.25">
      <c r="A299" s="232"/>
      <c r="B299" s="1384"/>
      <c r="C299" s="1384"/>
      <c r="D299" s="1384"/>
      <c r="E299" s="1385"/>
    </row>
    <row r="300" spans="1:5" ht="14.4" x14ac:dyDescent="0.25">
      <c r="A300" s="693"/>
      <c r="B300" s="232"/>
      <c r="C300" s="232"/>
      <c r="D300" s="1384"/>
      <c r="E300" s="1385"/>
    </row>
    <row r="301" spans="1:5" x14ac:dyDescent="0.25">
      <c r="A301" s="694"/>
      <c r="B301" s="695"/>
      <c r="C301" s="695"/>
      <c r="D301" s="696"/>
      <c r="E301" s="695"/>
    </row>
    <row r="302" spans="1:5" x14ac:dyDescent="0.25">
      <c r="A302" s="694"/>
      <c r="B302" s="695"/>
      <c r="C302" s="695"/>
      <c r="D302" s="696"/>
      <c r="E302" s="695"/>
    </row>
    <row r="303" spans="1:5" x14ac:dyDescent="0.25">
      <c r="A303" s="694"/>
      <c r="B303" s="695"/>
      <c r="C303" s="695"/>
      <c r="D303" s="696"/>
      <c r="E303" s="695"/>
    </row>
    <row r="304" spans="1:5" x14ac:dyDescent="0.25">
      <c r="A304" s="694"/>
      <c r="B304" s="695"/>
      <c r="C304" s="695"/>
      <c r="D304" s="696"/>
      <c r="E304" s="695"/>
    </row>
    <row r="305" spans="1:5" x14ac:dyDescent="0.25">
      <c r="A305" s="694"/>
      <c r="B305" s="695"/>
      <c r="C305" s="695"/>
      <c r="D305" s="696"/>
      <c r="E305" s="695"/>
    </row>
    <row r="306" spans="1:5" x14ac:dyDescent="0.25">
      <c r="A306" s="694"/>
      <c r="B306" s="695"/>
      <c r="C306" s="695"/>
      <c r="D306" s="696"/>
      <c r="E306" s="695"/>
    </row>
    <row r="307" spans="1:5" x14ac:dyDescent="0.25">
      <c r="A307" s="694"/>
      <c r="B307" s="695"/>
      <c r="C307" s="695"/>
      <c r="D307" s="696"/>
      <c r="E307" s="695"/>
    </row>
    <row r="308" spans="1:5" x14ac:dyDescent="0.25">
      <c r="A308" s="694"/>
      <c r="B308" s="695"/>
      <c r="C308" s="695"/>
      <c r="D308" s="696"/>
      <c r="E308" s="695"/>
    </row>
    <row r="309" spans="1:5" x14ac:dyDescent="0.25">
      <c r="A309" s="694"/>
      <c r="B309" s="695"/>
      <c r="C309" s="695"/>
      <c r="D309" s="696"/>
      <c r="E309" s="695"/>
    </row>
    <row r="310" spans="1:5" x14ac:dyDescent="0.25">
      <c r="A310" s="694"/>
      <c r="B310" s="695"/>
      <c r="C310" s="695"/>
      <c r="D310" s="696"/>
      <c r="E310" s="695"/>
    </row>
    <row r="311" spans="1:5" x14ac:dyDescent="0.25">
      <c r="A311" s="694"/>
      <c r="B311" s="695"/>
      <c r="C311" s="695"/>
      <c r="D311" s="696"/>
      <c r="E311" s="695"/>
    </row>
    <row r="312" spans="1:5" x14ac:dyDescent="0.25">
      <c r="A312" s="165"/>
      <c r="B312" s="165"/>
      <c r="C312" s="165"/>
      <c r="D312" s="165"/>
      <c r="E312" s="165"/>
    </row>
    <row r="313" spans="1:5" x14ac:dyDescent="0.25">
      <c r="A313" s="165"/>
      <c r="B313" s="165"/>
      <c r="C313" s="165"/>
      <c r="D313" s="165"/>
      <c r="E313" s="165"/>
    </row>
    <row r="314" spans="1:5" ht="13.8" x14ac:dyDescent="0.25">
      <c r="A314" s="1383"/>
      <c r="B314" s="1383"/>
      <c r="C314" s="1383"/>
      <c r="D314" s="1384"/>
      <c r="E314" s="1385"/>
    </row>
    <row r="315" spans="1:5" x14ac:dyDescent="0.25">
      <c r="A315" s="232"/>
      <c r="B315" s="1384"/>
      <c r="C315" s="1384"/>
      <c r="D315" s="1384"/>
      <c r="E315" s="1385"/>
    </row>
    <row r="316" spans="1:5" ht="14.4" x14ac:dyDescent="0.25">
      <c r="A316" s="693"/>
      <c r="B316" s="232"/>
      <c r="C316" s="232"/>
      <c r="D316" s="1384"/>
      <c r="E316" s="1385"/>
    </row>
    <row r="317" spans="1:5" x14ac:dyDescent="0.25">
      <c r="A317" s="694"/>
      <c r="B317" s="695"/>
      <c r="C317" s="695"/>
      <c r="D317" s="696"/>
      <c r="E317" s="695"/>
    </row>
    <row r="318" spans="1:5" x14ac:dyDescent="0.25">
      <c r="A318" s="694"/>
      <c r="B318" s="695"/>
      <c r="C318" s="695"/>
      <c r="D318" s="696"/>
      <c r="E318" s="695"/>
    </row>
    <row r="319" spans="1:5" x14ac:dyDescent="0.25">
      <c r="A319" s="694"/>
      <c r="B319" s="695"/>
      <c r="C319" s="695"/>
      <c r="D319" s="696"/>
      <c r="E319" s="695"/>
    </row>
    <row r="320" spans="1:5" x14ac:dyDescent="0.25">
      <c r="A320" s="694"/>
      <c r="B320" s="695"/>
      <c r="C320" s="695"/>
      <c r="D320" s="696"/>
      <c r="E320" s="695"/>
    </row>
    <row r="321" spans="1:5" x14ac:dyDescent="0.25">
      <c r="A321" s="694"/>
      <c r="B321" s="695"/>
      <c r="C321" s="695"/>
      <c r="D321" s="696"/>
      <c r="E321" s="695"/>
    </row>
    <row r="322" spans="1:5" x14ac:dyDescent="0.25">
      <c r="A322" s="694"/>
      <c r="B322" s="695"/>
      <c r="C322" s="695"/>
      <c r="D322" s="696"/>
      <c r="E322" s="695"/>
    </row>
    <row r="323" spans="1:5" x14ac:dyDescent="0.25">
      <c r="A323" s="694"/>
      <c r="B323" s="695"/>
      <c r="C323" s="695"/>
      <c r="D323" s="696"/>
      <c r="E323" s="695"/>
    </row>
    <row r="324" spans="1:5" x14ac:dyDescent="0.25">
      <c r="A324" s="694"/>
      <c r="B324" s="695"/>
      <c r="C324" s="695"/>
      <c r="D324" s="696"/>
      <c r="E324" s="695"/>
    </row>
    <row r="325" spans="1:5" x14ac:dyDescent="0.25">
      <c r="A325" s="694"/>
      <c r="B325" s="695"/>
      <c r="C325" s="695"/>
      <c r="D325" s="696"/>
      <c r="E325" s="695"/>
    </row>
    <row r="326" spans="1:5" x14ac:dyDescent="0.25">
      <c r="A326" s="694"/>
      <c r="B326" s="695"/>
      <c r="C326" s="695"/>
      <c r="D326" s="696"/>
      <c r="E326" s="695"/>
    </row>
    <row r="327" spans="1:5" x14ac:dyDescent="0.25">
      <c r="A327" s="694"/>
      <c r="B327" s="695"/>
      <c r="C327" s="695"/>
      <c r="D327" s="696"/>
      <c r="E327" s="695"/>
    </row>
  </sheetData>
  <mergeCells count="100">
    <mergeCell ref="Q2:Q4"/>
    <mergeCell ref="N3:O3"/>
    <mergeCell ref="A20:C20"/>
    <mergeCell ref="D20:D22"/>
    <mergeCell ref="E20:E22"/>
    <mergeCell ref="B21:C21"/>
    <mergeCell ref="G20:I20"/>
    <mergeCell ref="J20:J22"/>
    <mergeCell ref="K20:K22"/>
    <mergeCell ref="H21:I21"/>
    <mergeCell ref="M20:O20"/>
    <mergeCell ref="P20:P22"/>
    <mergeCell ref="Q20:Q22"/>
    <mergeCell ref="N21:O21"/>
    <mergeCell ref="J2:J4"/>
    <mergeCell ref="K2:K4"/>
    <mergeCell ref="H3:I3"/>
    <mergeCell ref="M2:O2"/>
    <mergeCell ref="P2:P4"/>
    <mergeCell ref="A2:C2"/>
    <mergeCell ref="D2:D4"/>
    <mergeCell ref="E2:E4"/>
    <mergeCell ref="B3:C3"/>
    <mergeCell ref="G2:I2"/>
    <mergeCell ref="Q37:Q39"/>
    <mergeCell ref="N38:O38"/>
    <mergeCell ref="A55:C55"/>
    <mergeCell ref="D55:D57"/>
    <mergeCell ref="E55:E57"/>
    <mergeCell ref="B56:C56"/>
    <mergeCell ref="G37:I37"/>
    <mergeCell ref="J37:J39"/>
    <mergeCell ref="K37:K39"/>
    <mergeCell ref="H38:I38"/>
    <mergeCell ref="A37:C37"/>
    <mergeCell ref="D37:D39"/>
    <mergeCell ref="E37:E39"/>
    <mergeCell ref="B38:C38"/>
    <mergeCell ref="J55:J57"/>
    <mergeCell ref="K55:K57"/>
    <mergeCell ref="H56:I56"/>
    <mergeCell ref="M37:O37"/>
    <mergeCell ref="P37:P39"/>
    <mergeCell ref="A72:C72"/>
    <mergeCell ref="D72:D74"/>
    <mergeCell ref="E72:E74"/>
    <mergeCell ref="B73:C73"/>
    <mergeCell ref="G55:I55"/>
    <mergeCell ref="P72:P74"/>
    <mergeCell ref="G72:I72"/>
    <mergeCell ref="J72:J74"/>
    <mergeCell ref="K72:K74"/>
    <mergeCell ref="H73:I73"/>
    <mergeCell ref="Q72:Q74"/>
    <mergeCell ref="N73:O73"/>
    <mergeCell ref="M55:O55"/>
    <mergeCell ref="P55:P57"/>
    <mergeCell ref="Q55:Q57"/>
    <mergeCell ref="N56:O56"/>
    <mergeCell ref="M72:O72"/>
    <mergeCell ref="A91:C91"/>
    <mergeCell ref="D91:D93"/>
    <mergeCell ref="E91:E93"/>
    <mergeCell ref="B92:C92"/>
    <mergeCell ref="A250:C250"/>
    <mergeCell ref="D250:D252"/>
    <mergeCell ref="E250:E252"/>
    <mergeCell ref="B251:C251"/>
    <mergeCell ref="A144:K144"/>
    <mergeCell ref="A109:B109"/>
    <mergeCell ref="A136:F136"/>
    <mergeCell ref="H136:M136"/>
    <mergeCell ref="A167:K167"/>
    <mergeCell ref="A166:K166"/>
    <mergeCell ref="L119:L120"/>
    <mergeCell ref="H118:L118"/>
    <mergeCell ref="A266:C266"/>
    <mergeCell ref="D266:D268"/>
    <mergeCell ref="E266:E268"/>
    <mergeCell ref="B267:C267"/>
    <mergeCell ref="A282:C282"/>
    <mergeCell ref="D282:D284"/>
    <mergeCell ref="E282:E284"/>
    <mergeCell ref="B283:C283"/>
    <mergeCell ref="A298:C298"/>
    <mergeCell ref="D298:D300"/>
    <mergeCell ref="E298:E300"/>
    <mergeCell ref="B299:C299"/>
    <mergeCell ref="A314:C314"/>
    <mergeCell ref="D314:D316"/>
    <mergeCell ref="E314:E316"/>
    <mergeCell ref="B315:C315"/>
    <mergeCell ref="N109:Q109"/>
    <mergeCell ref="A194:F194"/>
    <mergeCell ref="G194:G195"/>
    <mergeCell ref="H194:H195"/>
    <mergeCell ref="I194:I195"/>
    <mergeCell ref="N120:Q120"/>
    <mergeCell ref="I119:J119"/>
    <mergeCell ref="K119:K120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0"/>
  <sheetViews>
    <sheetView showGridLines="0" view="pageBreakPreview" topLeftCell="A25" zoomScaleNormal="100" zoomScaleSheetLayoutView="100" workbookViewId="0">
      <selection activeCell="E36" sqref="E36:J36"/>
    </sheetView>
  </sheetViews>
  <sheetFormatPr defaultColWidth="9.33203125" defaultRowHeight="15" x14ac:dyDescent="0.25"/>
  <cols>
    <col min="1" max="1" width="4" style="321" customWidth="1"/>
    <col min="2" max="2" width="5" style="321" customWidth="1"/>
    <col min="3" max="3" width="21" style="321" customWidth="1"/>
    <col min="4" max="6" width="9.6640625" style="321" customWidth="1"/>
    <col min="7" max="7" width="11.5546875" style="321" customWidth="1"/>
    <col min="8" max="9" width="9.6640625" style="321" customWidth="1"/>
    <col min="10" max="11" width="9.44140625" style="321" customWidth="1"/>
    <col min="12" max="12" width="12.6640625" style="321" customWidth="1"/>
    <col min="13" max="13" width="10.33203125" style="321" customWidth="1"/>
    <col min="14" max="14" width="9.44140625" style="321" customWidth="1"/>
    <col min="15" max="17" width="10.6640625" style="321" customWidth="1"/>
    <col min="18" max="18" width="9.33203125" style="321"/>
    <col min="19" max="19" width="11.6640625" style="321" bestFit="1" customWidth="1"/>
    <col min="20" max="20" width="11.44140625" style="321" customWidth="1"/>
    <col min="21" max="21" width="12.33203125" style="321" customWidth="1"/>
    <col min="22" max="24" width="9.33203125" style="321"/>
    <col min="25" max="25" width="9.5546875" style="321" customWidth="1"/>
    <col min="26" max="27" width="9.33203125" style="321"/>
    <col min="28" max="28" width="11.44140625" style="321" customWidth="1"/>
    <col min="29" max="16384" width="9.33203125" style="321"/>
  </cols>
  <sheetData>
    <row r="1" spans="1:29" ht="17.399999999999999" x14ac:dyDescent="0.25">
      <c r="B1" s="320"/>
      <c r="D1" s="320"/>
      <c r="E1" s="320"/>
      <c r="F1" s="320" t="s">
        <v>277</v>
      </c>
      <c r="H1" s="320"/>
      <c r="I1" s="320"/>
      <c r="J1" s="320"/>
      <c r="K1" s="320"/>
      <c r="L1" s="320"/>
      <c r="M1" s="320"/>
      <c r="N1" s="320"/>
      <c r="O1" s="320"/>
    </row>
    <row r="2" spans="1:29" ht="16.8" x14ac:dyDescent="0.25">
      <c r="B2" s="365"/>
      <c r="C2" s="365"/>
      <c r="E2" s="365"/>
      <c r="H2" s="366" t="str">
        <f>IF('kata-kata'!X10&gt;=70,'kata-kata'!C4,'kata-kata'!C5)</f>
        <v>Nomor Sertifikat : 17 /</v>
      </c>
      <c r="I2" s="405" t="s">
        <v>278</v>
      </c>
      <c r="J2" s="405"/>
      <c r="K2" s="365"/>
      <c r="L2" s="365"/>
      <c r="M2" s="365"/>
      <c r="N2" s="364"/>
      <c r="O2" s="322"/>
    </row>
    <row r="3" spans="1:29" x14ac:dyDescent="0.25"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</row>
    <row r="4" spans="1:29" ht="14.1" customHeight="1" x14ac:dyDescent="0.25">
      <c r="A4" s="239" t="s">
        <v>2</v>
      </c>
      <c r="B4" s="239"/>
      <c r="D4" s="240" t="s">
        <v>3</v>
      </c>
      <c r="E4" s="406" t="s">
        <v>279</v>
      </c>
      <c r="F4" s="407"/>
      <c r="G4" s="239"/>
      <c r="H4" s="239"/>
      <c r="I4" s="239"/>
      <c r="J4" s="239"/>
      <c r="K4" s="239"/>
      <c r="L4" s="239"/>
      <c r="M4" s="239"/>
      <c r="N4" s="239"/>
    </row>
    <row r="5" spans="1:29" ht="14.1" customHeight="1" x14ac:dyDescent="0.25">
      <c r="A5" s="239" t="s">
        <v>4</v>
      </c>
      <c r="B5" s="239"/>
      <c r="D5" s="240" t="s">
        <v>3</v>
      </c>
      <c r="E5" s="406" t="s">
        <v>280</v>
      </c>
      <c r="F5" s="407"/>
      <c r="G5" s="239"/>
      <c r="H5" s="239"/>
      <c r="I5" s="239"/>
      <c r="J5" s="239"/>
      <c r="K5" s="239"/>
      <c r="L5" s="239"/>
      <c r="M5" s="239"/>
      <c r="N5" s="239"/>
    </row>
    <row r="6" spans="1:29" ht="14.1" customHeight="1" x14ac:dyDescent="0.25">
      <c r="A6" s="239" t="s">
        <v>5</v>
      </c>
      <c r="B6" s="239"/>
      <c r="D6" s="240" t="s">
        <v>3</v>
      </c>
      <c r="E6" s="408" t="s">
        <v>281</v>
      </c>
      <c r="F6" s="407"/>
      <c r="G6" s="241"/>
      <c r="H6" s="239"/>
      <c r="I6" s="239"/>
      <c r="J6" s="239"/>
      <c r="K6" s="239"/>
      <c r="L6" s="239"/>
      <c r="M6" s="239"/>
      <c r="N6" s="239"/>
    </row>
    <row r="7" spans="1:29" ht="14.1" customHeight="1" x14ac:dyDescent="0.25">
      <c r="A7" s="239" t="s">
        <v>6</v>
      </c>
      <c r="B7" s="239"/>
      <c r="D7" s="240" t="s">
        <v>3</v>
      </c>
      <c r="E7" s="409" t="s">
        <v>282</v>
      </c>
      <c r="F7" s="407"/>
      <c r="G7" s="239"/>
      <c r="H7" s="239"/>
      <c r="J7" s="239"/>
      <c r="K7" s="239"/>
      <c r="L7" s="239"/>
      <c r="M7" s="239"/>
      <c r="N7" s="239"/>
      <c r="P7" s="324"/>
    </row>
    <row r="8" spans="1:29" ht="14.1" customHeight="1" x14ac:dyDescent="0.25">
      <c r="A8" s="239" t="s">
        <v>7</v>
      </c>
      <c r="B8" s="239"/>
      <c r="D8" s="240" t="s">
        <v>3</v>
      </c>
      <c r="E8" s="409" t="s">
        <v>283</v>
      </c>
      <c r="F8" s="407"/>
      <c r="G8" s="239"/>
      <c r="H8" s="239"/>
      <c r="I8" s="239"/>
      <c r="J8" s="239"/>
      <c r="K8" s="239"/>
      <c r="L8" s="239"/>
      <c r="M8" s="239"/>
      <c r="N8" s="239"/>
      <c r="P8" s="324"/>
    </row>
    <row r="9" spans="1:29" ht="14.1" customHeight="1" x14ac:dyDescent="0.25">
      <c r="A9" s="239" t="s">
        <v>8</v>
      </c>
      <c r="B9" s="239"/>
      <c r="D9" s="240" t="s">
        <v>3</v>
      </c>
      <c r="E9" s="406" t="s">
        <v>284</v>
      </c>
      <c r="F9" s="407"/>
      <c r="G9" s="239"/>
      <c r="H9" s="239"/>
      <c r="I9" s="239"/>
      <c r="J9" s="239"/>
      <c r="K9" s="239"/>
      <c r="L9" s="239"/>
      <c r="M9" s="239"/>
      <c r="N9" s="239"/>
    </row>
    <row r="10" spans="1:29" ht="14.1" customHeight="1" x14ac:dyDescent="0.25">
      <c r="A10" s="239" t="s">
        <v>9</v>
      </c>
      <c r="B10" s="239"/>
      <c r="D10" s="240" t="s">
        <v>3</v>
      </c>
      <c r="E10" s="406" t="s">
        <v>284</v>
      </c>
      <c r="F10" s="407"/>
      <c r="G10" s="239"/>
      <c r="H10" s="239"/>
      <c r="I10" s="239"/>
      <c r="J10" s="239"/>
      <c r="K10" s="239"/>
      <c r="L10" s="239"/>
      <c r="M10" s="239"/>
      <c r="N10" s="239"/>
    </row>
    <row r="11" spans="1:29" ht="14.1" customHeight="1" x14ac:dyDescent="0.25">
      <c r="A11" s="239" t="s">
        <v>10</v>
      </c>
      <c r="B11" s="239"/>
      <c r="D11" s="240" t="s">
        <v>3</v>
      </c>
      <c r="E11" s="242" t="s">
        <v>285</v>
      </c>
      <c r="F11" s="239"/>
      <c r="G11" s="239"/>
      <c r="H11" s="239"/>
      <c r="I11" s="239"/>
      <c r="J11" s="239"/>
      <c r="K11" s="239"/>
      <c r="L11" s="239"/>
      <c r="M11" s="239"/>
      <c r="N11" s="239"/>
    </row>
    <row r="12" spans="1:29" ht="12.75" customHeight="1" x14ac:dyDescent="0.25">
      <c r="A12" s="239"/>
      <c r="B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</row>
    <row r="13" spans="1:29" x14ac:dyDescent="0.25">
      <c r="A13" s="243" t="s">
        <v>12</v>
      </c>
      <c r="B13" s="243" t="s">
        <v>13</v>
      </c>
      <c r="D13" s="239"/>
      <c r="E13" s="239"/>
      <c r="F13" s="239"/>
      <c r="G13" s="239"/>
      <c r="H13" s="244"/>
      <c r="I13" s="239"/>
      <c r="J13" s="239"/>
      <c r="K13" s="239"/>
      <c r="L13" s="239"/>
      <c r="M13" s="239"/>
      <c r="N13" s="239"/>
      <c r="X13" s="579"/>
      <c r="Y13" s="579"/>
      <c r="Z13" s="579"/>
      <c r="AA13" s="579"/>
      <c r="AB13" s="579"/>
      <c r="AC13" s="579"/>
    </row>
    <row r="14" spans="1:29" ht="26.25" customHeight="1" x14ac:dyDescent="0.25">
      <c r="A14" s="243"/>
      <c r="B14" s="243"/>
      <c r="D14" s="239"/>
      <c r="E14" s="316" t="s">
        <v>14</v>
      </c>
      <c r="F14" s="316" t="s">
        <v>15</v>
      </c>
      <c r="G14" s="1381" t="s">
        <v>286</v>
      </c>
      <c r="H14" s="1381"/>
      <c r="I14" s="578"/>
      <c r="J14" s="239"/>
      <c r="K14" s="239"/>
      <c r="L14" s="239"/>
      <c r="M14" s="239"/>
      <c r="N14" s="239"/>
      <c r="AB14" s="579"/>
      <c r="AC14" s="579"/>
    </row>
    <row r="15" spans="1:29" x14ac:dyDescent="0.25">
      <c r="A15" s="239"/>
      <c r="B15" s="239" t="s">
        <v>16</v>
      </c>
      <c r="D15" s="240" t="s">
        <v>3</v>
      </c>
      <c r="E15" s="410">
        <v>23.5</v>
      </c>
      <c r="F15" s="411">
        <v>23.4</v>
      </c>
      <c r="G15" s="1440">
        <f>'DB Thermohygro '!M341</f>
        <v>23.198962552538845</v>
      </c>
      <c r="H15" s="1440"/>
      <c r="I15" s="239" t="str">
        <f>LK!F15</f>
        <v>°C</v>
      </c>
      <c r="K15" s="239"/>
      <c r="L15" s="239"/>
      <c r="M15" s="239"/>
      <c r="N15" s="239"/>
      <c r="AB15" s="579"/>
      <c r="AC15" s="579"/>
    </row>
    <row r="16" spans="1:29" x14ac:dyDescent="0.25">
      <c r="A16" s="239"/>
      <c r="B16" s="239" t="s">
        <v>18</v>
      </c>
      <c r="D16" s="240" t="s">
        <v>3</v>
      </c>
      <c r="E16" s="410">
        <v>57.4</v>
      </c>
      <c r="F16" s="411">
        <v>57.6</v>
      </c>
      <c r="G16" s="1440">
        <f>'DB Thermohygro '!M342</f>
        <v>56.268749999999997</v>
      </c>
      <c r="H16" s="1440"/>
      <c r="I16" s="239" t="str">
        <f>LK!F16</f>
        <v>%RH</v>
      </c>
      <c r="K16" s="239"/>
      <c r="L16" s="239"/>
      <c r="M16" s="239"/>
      <c r="N16" s="239"/>
      <c r="AB16" s="579"/>
      <c r="AC16" s="579"/>
    </row>
    <row r="17" spans="1:36" x14ac:dyDescent="0.25">
      <c r="A17" s="239"/>
      <c r="B17" s="239" t="s">
        <v>20</v>
      </c>
      <c r="D17" s="240" t="s">
        <v>3</v>
      </c>
      <c r="E17" s="1449">
        <v>219</v>
      </c>
      <c r="F17" s="1450"/>
      <c r="G17" s="953"/>
      <c r="H17" s="954"/>
      <c r="I17" s="239" t="s">
        <v>21</v>
      </c>
      <c r="K17" s="239"/>
      <c r="L17" s="239"/>
      <c r="M17" s="239"/>
      <c r="N17" s="239"/>
      <c r="AB17" s="579"/>
      <c r="AC17" s="579"/>
    </row>
    <row r="18" spans="1:36" x14ac:dyDescent="0.25">
      <c r="A18" s="239"/>
      <c r="B18" s="239"/>
      <c r="D18" s="240"/>
      <c r="E18" s="246"/>
      <c r="F18" s="239"/>
      <c r="G18" s="239"/>
      <c r="H18" s="239"/>
      <c r="I18" s="239"/>
      <c r="J18" s="239"/>
      <c r="K18" s="239"/>
      <c r="L18" s="239"/>
      <c r="M18" s="239"/>
      <c r="N18" s="239"/>
      <c r="AB18" s="579"/>
      <c r="AC18" s="579"/>
    </row>
    <row r="19" spans="1:36" ht="16.2" x14ac:dyDescent="0.25">
      <c r="A19" s="243" t="s">
        <v>22</v>
      </c>
      <c r="B19" s="243" t="str">
        <f>LK!B19</f>
        <v>Pemeriksaan Kondisi Fisik dan Fungsi Alat</v>
      </c>
      <c r="D19" s="239"/>
      <c r="E19" s="239"/>
      <c r="F19" s="239"/>
      <c r="G19" s="239"/>
      <c r="H19" s="247"/>
      <c r="I19" s="239"/>
      <c r="J19" s="239"/>
      <c r="K19" s="239"/>
      <c r="L19" s="239"/>
      <c r="M19" s="239"/>
      <c r="N19" s="239"/>
      <c r="R19" s="323"/>
      <c r="S19" s="323"/>
      <c r="V19" s="323"/>
      <c r="AB19" s="579"/>
      <c r="AC19" s="579"/>
    </row>
    <row r="20" spans="1:36" ht="16.2" x14ac:dyDescent="0.25">
      <c r="A20" s="243"/>
      <c r="B20" s="239" t="s">
        <v>24</v>
      </c>
      <c r="D20" s="240" t="s">
        <v>3</v>
      </c>
      <c r="E20" s="406" t="s">
        <v>287</v>
      </c>
      <c r="F20" s="239"/>
      <c r="G20" s="239"/>
      <c r="H20" s="247"/>
      <c r="I20" s="239"/>
      <c r="J20" s="239"/>
      <c r="K20" s="239"/>
      <c r="L20" s="239"/>
      <c r="M20" s="239"/>
      <c r="N20" s="239"/>
      <c r="R20" s="422"/>
      <c r="S20" s="422"/>
      <c r="V20" s="422"/>
      <c r="AE20" s="419"/>
      <c r="AF20" s="607" t="s">
        <v>253</v>
      </c>
      <c r="AG20" s="607">
        <f>IF(N25=AF20,4,6)</f>
        <v>6</v>
      </c>
      <c r="AH20" s="619" t="s">
        <v>288</v>
      </c>
      <c r="AI20" s="579"/>
      <c r="AJ20" s="579"/>
    </row>
    <row r="21" spans="1:36" ht="16.8" thickBot="1" x14ac:dyDescent="0.3">
      <c r="A21" s="239"/>
      <c r="B21" s="239" t="s">
        <v>26</v>
      </c>
      <c r="D21" s="240" t="s">
        <v>3</v>
      </c>
      <c r="E21" s="406" t="s">
        <v>287</v>
      </c>
      <c r="F21" s="239"/>
      <c r="G21" s="239"/>
      <c r="H21" s="247"/>
      <c r="I21" s="239"/>
      <c r="J21" s="239"/>
      <c r="K21" s="239"/>
      <c r="L21" s="239"/>
      <c r="M21" s="239"/>
      <c r="N21" s="239"/>
      <c r="R21" s="422"/>
      <c r="S21" s="422"/>
      <c r="T21" s="419"/>
      <c r="U21" s="419"/>
      <c r="V21" s="422"/>
      <c r="AE21" s="419"/>
      <c r="AF21" s="612" t="s">
        <v>289</v>
      </c>
      <c r="AG21" s="612"/>
      <c r="AH21" s="619" t="s">
        <v>290</v>
      </c>
      <c r="AI21" s="579"/>
      <c r="AJ21" s="579"/>
    </row>
    <row r="22" spans="1:36" ht="13.5" customHeight="1" x14ac:dyDescent="0.25">
      <c r="B22" s="239"/>
      <c r="C22" s="239"/>
      <c r="D22" s="239"/>
      <c r="E22" s="239"/>
      <c r="F22" s="248"/>
      <c r="G22" s="239"/>
      <c r="H22" s="247"/>
      <c r="I22" s="239"/>
      <c r="J22" s="239"/>
      <c r="K22" s="239"/>
      <c r="L22" s="239"/>
      <c r="M22" s="239"/>
      <c r="N22" s="239"/>
      <c r="R22" s="422"/>
      <c r="S22" s="422"/>
      <c r="T22" s="420"/>
      <c r="U22" s="419"/>
      <c r="V22" s="422"/>
      <c r="AE22" s="419"/>
      <c r="AF22" s="613">
        <f>PENYELIA!H26</f>
        <v>26.62906803325836</v>
      </c>
      <c r="AG22" s="608">
        <f>IF(AF22="-",3,IF(AF22&lt;=AF23,3,IF(AF22&gt;=AF23,0,)))</f>
        <v>3</v>
      </c>
      <c r="AH22" s="619" t="s">
        <v>291</v>
      </c>
      <c r="AI22" s="579"/>
      <c r="AJ22" s="579"/>
    </row>
    <row r="23" spans="1:36" ht="18" thickBot="1" x14ac:dyDescent="0.3">
      <c r="A23" s="243" t="s">
        <v>27</v>
      </c>
      <c r="B23" s="1439" t="s">
        <v>292</v>
      </c>
      <c r="C23" s="1439"/>
      <c r="D23" s="1439"/>
      <c r="E23" s="1439"/>
      <c r="F23" s="1439"/>
      <c r="G23" s="239"/>
      <c r="H23" s="421"/>
      <c r="J23" s="239"/>
      <c r="K23" s="239"/>
      <c r="L23" s="239"/>
      <c r="M23" s="239"/>
      <c r="N23" s="239"/>
      <c r="R23" s="422"/>
      <c r="S23" s="422"/>
      <c r="T23" s="418"/>
      <c r="U23" s="418"/>
      <c r="V23" s="422"/>
      <c r="AE23" s="419"/>
      <c r="AF23" s="611">
        <f>'kata-kata'!I14</f>
        <v>500</v>
      </c>
      <c r="AG23" s="609" t="str">
        <f>IF(AG22=4,AH27,AH26)</f>
        <v>NO</v>
      </c>
      <c r="AH23" s="619" t="s">
        <v>293</v>
      </c>
    </row>
    <row r="24" spans="1:36" ht="31.5" customHeight="1" x14ac:dyDescent="0.25">
      <c r="B24" s="317" t="s">
        <v>29</v>
      </c>
      <c r="C24" s="1432" t="s">
        <v>30</v>
      </c>
      <c r="D24" s="1433"/>
      <c r="E24" s="1433"/>
      <c r="F24" s="1433"/>
      <c r="G24" s="1434"/>
      <c r="H24" s="1432" t="s">
        <v>31</v>
      </c>
      <c r="I24" s="1434"/>
      <c r="J24" s="1441" t="s">
        <v>32</v>
      </c>
      <c r="K24" s="1442"/>
      <c r="L24" s="239"/>
      <c r="M24" s="239"/>
      <c r="N24" s="244"/>
      <c r="AE24" s="607" t="b">
        <f>IF(N25="G",AG25,IF(N25="NG",AG24))</f>
        <v>0</v>
      </c>
      <c r="AF24" s="614">
        <f>AG22</f>
        <v>3</v>
      </c>
      <c r="AG24" s="607">
        <f>AG22</f>
        <v>3</v>
      </c>
      <c r="AH24" s="419" t="s">
        <v>289</v>
      </c>
    </row>
    <row r="25" spans="1:36" ht="14.1" customHeight="1" thickBot="1" x14ac:dyDescent="0.3">
      <c r="B25" s="319">
        <v>1</v>
      </c>
      <c r="C25" s="249" t="s">
        <v>33</v>
      </c>
      <c r="D25" s="250"/>
      <c r="E25" s="251"/>
      <c r="F25" s="251"/>
      <c r="G25" s="251"/>
      <c r="H25" s="656" t="s">
        <v>129</v>
      </c>
      <c r="I25" s="276" t="str">
        <f>LK!J25</f>
        <v>MΩ</v>
      </c>
      <c r="J25" s="889">
        <v>2</v>
      </c>
      <c r="K25" s="289" t="s">
        <v>36</v>
      </c>
      <c r="N25" s="1443"/>
      <c r="O25" s="955"/>
      <c r="Q25" s="933" t="s">
        <v>253</v>
      </c>
      <c r="R25" s="930"/>
      <c r="S25" s="1447" t="s">
        <v>43</v>
      </c>
      <c r="T25" s="1438" t="s">
        <v>54</v>
      </c>
      <c r="AE25" s="419"/>
      <c r="AF25" s="612">
        <f>AF27</f>
        <v>1</v>
      </c>
      <c r="AG25" s="610">
        <f>AF24+AF25</f>
        <v>4</v>
      </c>
      <c r="AH25" s="419" t="s">
        <v>253</v>
      </c>
    </row>
    <row r="26" spans="1:36" ht="14.1" customHeight="1" x14ac:dyDescent="0.25">
      <c r="B26" s="319">
        <v>2</v>
      </c>
      <c r="C26" s="1444" t="s">
        <v>294</v>
      </c>
      <c r="D26" s="1445"/>
      <c r="E26" s="1445"/>
      <c r="F26" s="1445"/>
      <c r="G26" s="1446"/>
      <c r="H26" s="657">
        <v>0.1</v>
      </c>
      <c r="I26" s="276" t="str">
        <f>LK!J26</f>
        <v>Ω</v>
      </c>
      <c r="J26" s="277">
        <f>IF(C26='kata-kata'!C12,'kata-kata'!B12,IF(C26='kata-kata'!C13,'kata-kata'!B13,FALSE))</f>
        <v>0.3</v>
      </c>
      <c r="K26" s="289" t="s">
        <v>38</v>
      </c>
      <c r="N26" s="1443"/>
      <c r="O26" s="955"/>
      <c r="P26" s="579"/>
      <c r="Q26" s="931"/>
      <c r="R26" s="932"/>
      <c r="S26" s="1448"/>
      <c r="T26" s="1438"/>
      <c r="AE26" s="419"/>
      <c r="AF26" s="615">
        <v>100</v>
      </c>
      <c r="AG26" s="616" t="str">
        <f>IF(AF27=1,AH27,AH26)</f>
        <v>YES</v>
      </c>
      <c r="AH26" s="608" t="s">
        <v>295</v>
      </c>
    </row>
    <row r="27" spans="1:36" ht="14.1" customHeight="1" thickBot="1" x14ac:dyDescent="0.3">
      <c r="B27" s="319">
        <v>3</v>
      </c>
      <c r="C27" s="1419" t="s">
        <v>296</v>
      </c>
      <c r="D27" s="1420"/>
      <c r="E27" s="1420"/>
      <c r="F27" s="1420"/>
      <c r="G27" s="1421"/>
      <c r="H27" s="656">
        <v>12</v>
      </c>
      <c r="I27" s="276" t="str">
        <f>LK!J28</f>
        <v>µA</v>
      </c>
      <c r="J27" s="277">
        <f>IF(C27='kata-kata'!C14,'kata-kata'!B14,'kata-kata'!B15)</f>
        <v>500</v>
      </c>
      <c r="K27" s="289" t="s">
        <v>43</v>
      </c>
      <c r="N27" s="878"/>
      <c r="O27" s="955"/>
      <c r="P27" s="879"/>
      <c r="Q27" s="794" t="s">
        <v>297</v>
      </c>
      <c r="R27" s="880" t="s">
        <v>298</v>
      </c>
      <c r="S27" s="934">
        <v>12</v>
      </c>
      <c r="T27" s="881">
        <v>100</v>
      </c>
      <c r="AE27" s="419"/>
      <c r="AF27" s="611">
        <f>IF(O27&lt;=AF26,1,IF(O27="-",1,IF(O27&gt;=AF26,0)))</f>
        <v>1</v>
      </c>
      <c r="AG27" s="617"/>
      <c r="AH27" s="618" t="s">
        <v>299</v>
      </c>
    </row>
    <row r="28" spans="1:36" ht="13.5" customHeight="1" x14ac:dyDescent="0.25">
      <c r="B28" s="278"/>
      <c r="C28" s="278"/>
      <c r="D28" s="278"/>
      <c r="E28" s="278"/>
      <c r="F28" s="279"/>
      <c r="G28" s="278"/>
      <c r="H28" s="280"/>
      <c r="I28" s="278"/>
      <c r="J28" s="239"/>
      <c r="K28" s="239"/>
      <c r="L28" s="239"/>
      <c r="M28" s="239"/>
      <c r="N28" s="239"/>
      <c r="O28" s="955"/>
      <c r="R28" s="422"/>
    </row>
    <row r="29" spans="1:36" x14ac:dyDescent="0.25">
      <c r="A29" s="252" t="s">
        <v>49</v>
      </c>
      <c r="B29" s="252" t="str">
        <f>LK!B32</f>
        <v>Pengujian Kinerja</v>
      </c>
      <c r="D29" s="239"/>
      <c r="E29" s="239"/>
      <c r="F29" s="239"/>
      <c r="G29" s="239"/>
      <c r="H29" s="239"/>
      <c r="I29" s="239"/>
      <c r="J29" s="239"/>
      <c r="K29" s="239"/>
      <c r="L29" s="239"/>
      <c r="M29" s="239"/>
    </row>
    <row r="30" spans="1:36" ht="21" customHeight="1" x14ac:dyDescent="0.25">
      <c r="B30" s="1429" t="s">
        <v>51</v>
      </c>
      <c r="C30" s="1429" t="s">
        <v>30</v>
      </c>
      <c r="D30" s="1412" t="s">
        <v>300</v>
      </c>
      <c r="E30" s="1432" t="s">
        <v>53</v>
      </c>
      <c r="F30" s="1433"/>
      <c r="G30" s="1433"/>
      <c r="H30" s="1433"/>
      <c r="I30" s="1433"/>
      <c r="J30" s="1434"/>
      <c r="K30" s="1412" t="s">
        <v>301</v>
      </c>
      <c r="L30" s="1412" t="s">
        <v>53</v>
      </c>
      <c r="M30" s="1417" t="s">
        <v>142</v>
      </c>
      <c r="N30" s="1382"/>
      <c r="S30" s="423"/>
      <c r="U30" s="424"/>
    </row>
    <row r="31" spans="1:36" ht="24.75" customHeight="1" x14ac:dyDescent="0.25">
      <c r="B31" s="1430"/>
      <c r="C31" s="1430"/>
      <c r="D31" s="1413"/>
      <c r="E31" s="315" t="s">
        <v>56</v>
      </c>
      <c r="F31" s="315" t="s">
        <v>57</v>
      </c>
      <c r="G31" s="315" t="s">
        <v>58</v>
      </c>
      <c r="H31" s="315" t="s">
        <v>59</v>
      </c>
      <c r="I31" s="315" t="s">
        <v>60</v>
      </c>
      <c r="J31" s="315" t="s">
        <v>61</v>
      </c>
      <c r="K31" s="1413"/>
      <c r="L31" s="1413"/>
      <c r="M31" s="1418"/>
      <c r="N31" s="1382"/>
      <c r="U31" s="424"/>
    </row>
    <row r="32" spans="1:36" ht="23.25" customHeight="1" x14ac:dyDescent="0.25">
      <c r="B32" s="314">
        <v>1</v>
      </c>
      <c r="C32" s="253" t="s">
        <v>302</v>
      </c>
      <c r="D32" s="313" t="str">
        <f>LK!D35</f>
        <v>Maks</v>
      </c>
      <c r="E32" s="412">
        <v>8</v>
      </c>
      <c r="F32" s="412">
        <v>8</v>
      </c>
      <c r="G32" s="412">
        <v>8</v>
      </c>
      <c r="H32" s="412">
        <v>8</v>
      </c>
      <c r="I32" s="412">
        <v>8</v>
      </c>
      <c r="J32" s="412">
        <v>8</v>
      </c>
      <c r="K32" s="290">
        <f>AVERAGE(E32:J32)</f>
        <v>8</v>
      </c>
      <c r="L32" s="290">
        <f>AF32</f>
        <v>8</v>
      </c>
      <c r="M32" s="281">
        <f>STDEV(E32:J32)</f>
        <v>0</v>
      </c>
      <c r="N32" s="291"/>
      <c r="AF32" s="606">
        <f>IF(E32="-","-",K32+'Input Data Lux'!C82)</f>
        <v>8</v>
      </c>
    </row>
    <row r="33" spans="1:32" ht="40.5" customHeight="1" x14ac:dyDescent="0.25">
      <c r="B33" s="1427">
        <v>2</v>
      </c>
      <c r="C33" s="1415" t="s">
        <v>66</v>
      </c>
      <c r="D33" s="313" t="str">
        <f>LK!D37</f>
        <v>High Speed Maks</v>
      </c>
      <c r="E33" s="943">
        <v>99000</v>
      </c>
      <c r="F33" s="943">
        <v>99000</v>
      </c>
      <c r="G33" s="943">
        <v>99000</v>
      </c>
      <c r="H33" s="943">
        <v>99000</v>
      </c>
      <c r="I33" s="943">
        <v>99000</v>
      </c>
      <c r="J33" s="943">
        <v>99000</v>
      </c>
      <c r="K33" s="290">
        <f>AVERAGE(E33:J33)</f>
        <v>99000</v>
      </c>
      <c r="L33" s="290">
        <f>AF33</f>
        <v>98996.832154345582</v>
      </c>
      <c r="M33" s="281">
        <f>STDEV(E33:J33)</f>
        <v>0</v>
      </c>
      <c r="N33" s="291"/>
      <c r="AF33" s="606">
        <f>IF(E33="-","-",K33+'Input Data Tachometer'!AF6)</f>
        <v>98996.832154345582</v>
      </c>
    </row>
    <row r="34" spans="1:32" ht="40.5" customHeight="1" x14ac:dyDescent="0.25">
      <c r="B34" s="1428"/>
      <c r="C34" s="1416"/>
      <c r="D34" s="313" t="str">
        <f>LK!D39</f>
        <v>Low Speed Maks</v>
      </c>
      <c r="E34" s="943">
        <v>30000</v>
      </c>
      <c r="F34" s="943">
        <v>30000</v>
      </c>
      <c r="G34" s="943">
        <v>30000</v>
      </c>
      <c r="H34" s="943">
        <v>30000</v>
      </c>
      <c r="I34" s="943">
        <v>30000</v>
      </c>
      <c r="J34" s="943">
        <v>30000</v>
      </c>
      <c r="K34" s="290">
        <f>AVERAGE(E34:J34)</f>
        <v>30000</v>
      </c>
      <c r="L34" s="290">
        <f>IFERROR(AF34,"-")</f>
        <v>29999.020942907177</v>
      </c>
      <c r="M34" s="281">
        <f>STDEV(E34:J34)</f>
        <v>0</v>
      </c>
      <c r="N34" s="291"/>
      <c r="AF34" s="606">
        <f>IF(E34="-","-",'Input Data Tachometer'!W28)</f>
        <v>29999.020942907177</v>
      </c>
    </row>
    <row r="35" spans="1:32" s="325" customFormat="1" ht="31.5" customHeight="1" x14ac:dyDescent="0.25">
      <c r="B35" s="292">
        <v>3</v>
      </c>
      <c r="C35" s="313" t="s">
        <v>71</v>
      </c>
      <c r="D35" s="313" t="s">
        <v>63</v>
      </c>
      <c r="E35" s="412">
        <v>6</v>
      </c>
      <c r="F35" s="412">
        <v>6</v>
      </c>
      <c r="G35" s="412">
        <v>6</v>
      </c>
      <c r="H35" s="412">
        <v>6</v>
      </c>
      <c r="I35" s="412">
        <v>6</v>
      </c>
      <c r="J35" s="412">
        <v>6</v>
      </c>
      <c r="K35" s="290">
        <f t="shared" ref="K35" si="0">AVERAGE(E35:J35)</f>
        <v>6</v>
      </c>
      <c r="L35" s="290">
        <f>AF35</f>
        <v>5.9967018600153557</v>
      </c>
      <c r="M35" s="281">
        <f t="shared" ref="M35" si="1">STDEV(E35:J35)</f>
        <v>0</v>
      </c>
      <c r="N35" s="293"/>
      <c r="O35" s="321"/>
      <c r="P35" s="321"/>
      <c r="AF35" s="606">
        <f>IF(E35="-","-",'Input Data Tekanan Semprot'!B116)</f>
        <v>5.9967018600153557</v>
      </c>
    </row>
    <row r="36" spans="1:32" ht="30" customHeight="1" x14ac:dyDescent="0.25">
      <c r="B36" s="254">
        <v>4</v>
      </c>
      <c r="C36" s="318" t="s">
        <v>303</v>
      </c>
      <c r="D36" s="318" t="str">
        <f>LK!D43</f>
        <v>Maks</v>
      </c>
      <c r="E36" s="1203">
        <v>600</v>
      </c>
      <c r="F36" s="1203">
        <v>600</v>
      </c>
      <c r="G36" s="1203">
        <v>600</v>
      </c>
      <c r="H36" s="1203">
        <v>600</v>
      </c>
      <c r="I36" s="1203">
        <v>600</v>
      </c>
      <c r="J36" s="1203">
        <v>600</v>
      </c>
      <c r="K36" s="1204">
        <f>AVERAGE(E36:J36)</f>
        <v>600</v>
      </c>
      <c r="L36" s="281">
        <f>AF36</f>
        <v>601.9</v>
      </c>
      <c r="M36" s="281">
        <f>STDEV(E36:J36)</f>
        <v>0</v>
      </c>
      <c r="N36" s="291"/>
      <c r="P36" s="323"/>
      <c r="AF36" s="606">
        <f>IF(E36="-","-",' Input Data Tekanan Hisap'!B139)</f>
        <v>601.9</v>
      </c>
    </row>
    <row r="37" spans="1:32" ht="27.6" x14ac:dyDescent="0.25">
      <c r="B37" s="254">
        <v>5</v>
      </c>
      <c r="C37" s="318" t="s">
        <v>304</v>
      </c>
      <c r="D37" s="318" t="str">
        <f>LK!D43</f>
        <v>Maks</v>
      </c>
      <c r="E37" s="1203">
        <v>131</v>
      </c>
      <c r="F37" s="1203">
        <v>130</v>
      </c>
      <c r="G37" s="1203">
        <v>130</v>
      </c>
      <c r="H37" s="1203">
        <v>130</v>
      </c>
      <c r="I37" s="1203">
        <v>130</v>
      </c>
      <c r="J37" s="1203">
        <v>130</v>
      </c>
      <c r="K37" s="1204">
        <f>AVERAGE(E37:J37)</f>
        <v>130.16666666666666</v>
      </c>
      <c r="L37" s="281">
        <f>AF37</f>
        <v>130.56319999999999</v>
      </c>
      <c r="M37" s="281">
        <f>STDEV(E37:J37)</f>
        <v>0.40824829046386296</v>
      </c>
      <c r="N37" s="239"/>
      <c r="AF37" s="606">
        <f>IF(E37="-","-",' Input Data Tekanan Hisap'!I139)</f>
        <v>130.56319999999999</v>
      </c>
    </row>
    <row r="38" spans="1:32" x14ac:dyDescent="0.25">
      <c r="B38" s="255"/>
      <c r="C38" s="244"/>
      <c r="D38" s="244"/>
      <c r="E38" s="768"/>
      <c r="F38" s="769"/>
      <c r="G38" s="769"/>
      <c r="H38" s="769"/>
      <c r="I38" s="769"/>
      <c r="J38" s="769"/>
      <c r="K38" s="257"/>
      <c r="L38" s="258"/>
      <c r="M38" s="258"/>
      <c r="N38" s="258"/>
      <c r="O38" s="326"/>
      <c r="P38" s="323"/>
    </row>
    <row r="39" spans="1:32" x14ac:dyDescent="0.25">
      <c r="A39" s="252" t="s">
        <v>77</v>
      </c>
      <c r="B39" s="252" t="s">
        <v>78</v>
      </c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P39" s="327"/>
    </row>
    <row r="40" spans="1:32" x14ac:dyDescent="0.25">
      <c r="B40" s="312" t="s">
        <v>305</v>
      </c>
      <c r="C40" s="244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P40" s="327"/>
    </row>
    <row r="41" spans="1:32" x14ac:dyDescent="0.25">
      <c r="B41" s="312" t="s">
        <v>306</v>
      </c>
      <c r="C41" s="244"/>
      <c r="D41" s="244"/>
      <c r="E41" s="244"/>
      <c r="F41" s="244"/>
      <c r="G41" s="244"/>
      <c r="H41" s="244"/>
      <c r="I41" s="244"/>
      <c r="J41" s="244"/>
      <c r="K41" s="244"/>
      <c r="L41" s="244"/>
      <c r="M41" s="244"/>
      <c r="P41" s="327"/>
      <c r="Q41" s="328"/>
    </row>
    <row r="42" spans="1:32" x14ac:dyDescent="0.25">
      <c r="B42" s="312" t="str">
        <f>'kata-kata'!B18</f>
        <v>Hasil pengujian Keselamatan Listrik tertelusur ke Satuan Internasional ( SI ) melalui PT. Kaliman</v>
      </c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P42" s="327"/>
    </row>
    <row r="43" spans="1:32" x14ac:dyDescent="0.25">
      <c r="B43" s="312" t="str">
        <f>'Input Data Lux'!H128</f>
        <v>Hasil pengujian Illumination tertelusur ke Satuan Internasional ( SI ) melalui Pusat Penelitian Metrologi - LIPI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P43" s="327"/>
      <c r="R43" s="325"/>
    </row>
    <row r="44" spans="1:32" ht="15.75" customHeight="1" x14ac:dyDescent="0.25">
      <c r="B44" s="1411" t="str">
        <f>IF('Input Data Tachometer'!AF33=1,'kata-kata'!B21,'kata-kata'!B22)</f>
        <v>Hasil pengujian Kecepatan Bor Gigi tertelusur ke Satuan Internasional ( SI ) PT. Kaliman</v>
      </c>
      <c r="C44" s="1411"/>
      <c r="D44" s="1411"/>
      <c r="E44" s="1411"/>
      <c r="F44" s="1411"/>
      <c r="G44" s="1411"/>
      <c r="H44" s="1411"/>
      <c r="I44" s="1411"/>
      <c r="J44" s="1411"/>
      <c r="K44" s="1411"/>
      <c r="L44" s="1411"/>
      <c r="M44" s="1411"/>
      <c r="P44" s="327"/>
    </row>
    <row r="45" spans="1:32" x14ac:dyDescent="0.25">
      <c r="B45" s="239" t="str">
        <f>' Input Data Tekanan Hisap'!A166</f>
        <v>Hasil pengujian Tekanan Semprot tertelusur ke Satuan Internasional ( SI ) melalui PT. Kaliman</v>
      </c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P45" s="327"/>
    </row>
    <row r="46" spans="1:32" x14ac:dyDescent="0.25">
      <c r="B46" s="239" t="str">
        <f>' Input Data Tekanan Hisap'!A167</f>
        <v xml:space="preserve">Hasil pengujian Tekanan Hisap tertelusur ke Satuan Internasional ( SI ) melalui PT. Kaliman </v>
      </c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P46" s="327"/>
    </row>
    <row r="47" spans="1:32" ht="18" customHeight="1" x14ac:dyDescent="0.25">
      <c r="B47" s="1414" t="str">
        <f>PENYELIA!T7</f>
        <v>Tidak dilakukan pengukuran kelistrikan dikarenakan alat tidak boleh di matikan</v>
      </c>
      <c r="C47" s="1414"/>
      <c r="D47" s="1414"/>
      <c r="E47" s="1414"/>
      <c r="F47" s="1414"/>
      <c r="G47" s="1414"/>
      <c r="H47" s="1414"/>
      <c r="I47" s="1414"/>
      <c r="J47" s="1414"/>
      <c r="K47" s="1414"/>
      <c r="L47" s="244"/>
      <c r="M47" s="244"/>
      <c r="N47" s="244"/>
      <c r="P47" s="327"/>
    </row>
    <row r="48" spans="1:32" ht="18" customHeight="1" x14ac:dyDescent="0.25">
      <c r="B48" s="1437"/>
      <c r="C48" s="1437"/>
      <c r="D48" s="1437"/>
      <c r="E48" s="1437"/>
      <c r="F48" s="1437"/>
      <c r="G48" s="1437"/>
      <c r="H48" s="1437"/>
      <c r="I48" s="1437"/>
      <c r="J48" s="1437"/>
      <c r="K48" s="1437"/>
      <c r="L48" s="244"/>
      <c r="M48" s="244"/>
      <c r="N48" s="244"/>
      <c r="P48" s="327"/>
    </row>
    <row r="49" spans="1:21" ht="3.75" customHeight="1" x14ac:dyDescent="0.25">
      <c r="B49" s="252"/>
      <c r="C49" s="312"/>
      <c r="D49" s="244"/>
      <c r="E49" s="244"/>
      <c r="F49" s="244"/>
      <c r="G49" s="244"/>
      <c r="H49" s="244"/>
      <c r="I49" s="244"/>
      <c r="J49" s="244"/>
      <c r="K49" s="244"/>
      <c r="L49" s="244"/>
      <c r="M49" s="244"/>
      <c r="N49" s="244"/>
      <c r="P49" s="327"/>
    </row>
    <row r="50" spans="1:21" x14ac:dyDescent="0.25">
      <c r="A50" s="252" t="s">
        <v>84</v>
      </c>
      <c r="B50" s="260" t="str">
        <f>LK!B55</f>
        <v>Alat Ukur Yang Digunakan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P50" s="327"/>
    </row>
    <row r="51" spans="1:21" x14ac:dyDescent="0.25">
      <c r="B51" s="1436" t="s">
        <v>184</v>
      </c>
      <c r="C51" s="1436"/>
      <c r="D51" s="1436"/>
      <c r="E51" s="1436"/>
      <c r="F51" s="1436"/>
      <c r="G51" s="1436"/>
      <c r="H51" s="1436"/>
      <c r="I51" s="1436"/>
      <c r="J51" s="1436"/>
      <c r="K51" s="239"/>
      <c r="L51" s="239"/>
      <c r="M51" s="239"/>
      <c r="N51" s="239"/>
      <c r="P51" s="327"/>
    </row>
    <row r="52" spans="1:21" x14ac:dyDescent="0.25">
      <c r="B52" s="1436" t="s">
        <v>270</v>
      </c>
      <c r="C52" s="1436"/>
      <c r="D52" s="1436"/>
      <c r="E52" s="1436"/>
      <c r="F52" s="1436"/>
      <c r="G52" s="1436"/>
      <c r="H52" s="1436"/>
      <c r="I52" s="1436"/>
      <c r="J52" s="1436"/>
      <c r="K52" s="239"/>
      <c r="L52" s="239"/>
      <c r="M52" s="239"/>
      <c r="N52" s="239"/>
      <c r="P52" s="327"/>
    </row>
    <row r="53" spans="1:21" ht="14.25" customHeight="1" x14ac:dyDescent="0.25">
      <c r="A53" s="329"/>
      <c r="B53" s="1436" t="s">
        <v>148</v>
      </c>
      <c r="C53" s="1436"/>
      <c r="D53" s="1436"/>
      <c r="E53" s="1436"/>
      <c r="F53" s="1436"/>
      <c r="G53" s="1436"/>
      <c r="H53" s="1436"/>
      <c r="I53" s="1436"/>
      <c r="J53" s="1436"/>
      <c r="K53" s="239"/>
      <c r="L53" s="239"/>
      <c r="M53" s="239"/>
      <c r="N53" s="239"/>
      <c r="P53" s="327"/>
      <c r="S53" s="330"/>
      <c r="T53" s="331"/>
      <c r="U53" s="331"/>
    </row>
    <row r="54" spans="1:21" x14ac:dyDescent="0.25">
      <c r="B54" s="1436" t="s">
        <v>223</v>
      </c>
      <c r="C54" s="1436"/>
      <c r="D54" s="1436"/>
      <c r="E54" s="1436"/>
      <c r="F54" s="1436"/>
      <c r="G54" s="1436"/>
      <c r="H54" s="1436"/>
      <c r="I54" s="1436"/>
      <c r="J54" s="1436"/>
      <c r="K54" s="263"/>
      <c r="L54" s="263"/>
      <c r="M54" s="263"/>
      <c r="N54" s="239"/>
    </row>
    <row r="55" spans="1:21" x14ac:dyDescent="0.25">
      <c r="B55" s="1436" t="s">
        <v>307</v>
      </c>
      <c r="C55" s="1436"/>
      <c r="D55" s="1436"/>
      <c r="E55" s="1436"/>
      <c r="F55" s="1436"/>
      <c r="G55" s="1436"/>
      <c r="H55" s="1436"/>
      <c r="I55" s="1436"/>
      <c r="J55" s="1436"/>
      <c r="K55" s="263"/>
      <c r="L55" s="239"/>
      <c r="M55" s="239"/>
      <c r="N55" s="239"/>
    </row>
    <row r="56" spans="1:21" x14ac:dyDescent="0.25">
      <c r="B56" s="239"/>
      <c r="C56" s="264"/>
      <c r="D56" s="264"/>
      <c r="E56" s="264"/>
      <c r="F56" s="264"/>
      <c r="G56" s="264"/>
      <c r="H56" s="264"/>
      <c r="I56" s="264"/>
      <c r="J56" s="264"/>
      <c r="K56" s="264"/>
      <c r="L56" s="239"/>
      <c r="M56" s="239"/>
      <c r="N56" s="239"/>
    </row>
    <row r="57" spans="1:21" ht="14.25" customHeight="1" x14ac:dyDescent="0.25">
      <c r="A57" s="243" t="s">
        <v>100</v>
      </c>
      <c r="B57" s="265" t="s">
        <v>101</v>
      </c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</row>
    <row r="58" spans="1:21" ht="15" customHeight="1" x14ac:dyDescent="0.25">
      <c r="B58" s="1435" t="str">
        <f>LOOKUP(H2,'kata-kata'!C4:C5,'kata-kata'!D4:D5)</f>
        <v>Alat yang diuji dalam batas toleransi dan dinyatakan LAIK PAKAI, dimana hasil atau skor akhir sama dengan atau melampaui 70 % berdasarkan Keputusan Direktur Jenderal Pelayanan Kesehatan No : HK.02.02/V/0412/2020</v>
      </c>
      <c r="C58" s="1435"/>
      <c r="D58" s="1435"/>
      <c r="E58" s="1435"/>
      <c r="F58" s="1435"/>
      <c r="G58" s="1435"/>
      <c r="H58" s="1435"/>
      <c r="I58" s="1435"/>
      <c r="J58" s="1435"/>
      <c r="K58" s="1435"/>
      <c r="L58" s="1435"/>
      <c r="M58" s="352"/>
      <c r="N58" s="352"/>
    </row>
    <row r="59" spans="1:21" ht="15" customHeight="1" x14ac:dyDescent="0.25">
      <c r="B59" s="1435"/>
      <c r="C59" s="1435"/>
      <c r="D59" s="1435"/>
      <c r="E59" s="1435"/>
      <c r="F59" s="1435"/>
      <c r="G59" s="1435"/>
      <c r="H59" s="1435"/>
      <c r="I59" s="1435"/>
      <c r="J59" s="1435"/>
      <c r="K59" s="1435"/>
      <c r="L59" s="1435"/>
      <c r="M59" s="352"/>
      <c r="N59" s="352"/>
    </row>
    <row r="60" spans="1:21" ht="11.25" customHeight="1" x14ac:dyDescent="0.25">
      <c r="B60" s="239"/>
      <c r="C60" s="263"/>
      <c r="D60" s="239"/>
      <c r="E60" s="239"/>
      <c r="F60" s="239"/>
      <c r="G60" s="239"/>
      <c r="H60" s="239"/>
      <c r="I60" s="239"/>
      <c r="J60" s="239"/>
      <c r="K60" s="239"/>
      <c r="L60" s="239"/>
      <c r="M60" s="239"/>
      <c r="N60" s="239"/>
    </row>
    <row r="61" spans="1:21" ht="15.6" x14ac:dyDescent="0.25">
      <c r="A61" s="252" t="s">
        <v>103</v>
      </c>
      <c r="B61" s="260" t="s">
        <v>104</v>
      </c>
      <c r="D61" s="239"/>
      <c r="E61" s="239"/>
      <c r="F61" s="239"/>
      <c r="G61" s="239"/>
      <c r="H61" s="239"/>
      <c r="I61" s="239"/>
      <c r="J61" s="239"/>
      <c r="K61" s="266"/>
      <c r="L61" s="239"/>
      <c r="M61" s="266"/>
      <c r="N61" s="266"/>
      <c r="O61" s="332"/>
    </row>
    <row r="62" spans="1:21" ht="15.6" x14ac:dyDescent="0.25">
      <c r="B62" s="1431" t="s">
        <v>308</v>
      </c>
      <c r="C62" s="1431"/>
      <c r="D62" s="1431"/>
      <c r="E62" s="1431"/>
      <c r="F62" s="239"/>
      <c r="G62" s="239"/>
      <c r="H62" s="239"/>
      <c r="I62" s="239"/>
      <c r="J62" s="239"/>
      <c r="K62" s="266"/>
      <c r="L62" s="239"/>
      <c r="M62" s="266"/>
      <c r="N62" s="266"/>
      <c r="O62" s="332"/>
    </row>
    <row r="63" spans="1:21" ht="10.199999999999999" customHeight="1" x14ac:dyDescent="0.25"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  <c r="M63" s="239"/>
      <c r="N63" s="239"/>
      <c r="O63" s="333"/>
    </row>
    <row r="64" spans="1:21" x14ac:dyDescent="0.25">
      <c r="B64" s="1425" t="s">
        <v>105</v>
      </c>
      <c r="C64" s="1426"/>
      <c r="D64" s="1423" t="s">
        <v>309</v>
      </c>
      <c r="E64" s="1424"/>
      <c r="F64" s="263"/>
      <c r="G64" s="263"/>
      <c r="H64" s="263"/>
      <c r="I64" s="263"/>
      <c r="J64" s="263"/>
      <c r="K64" s="263"/>
      <c r="L64" s="263"/>
      <c r="M64" s="263"/>
      <c r="N64" s="263"/>
      <c r="O64" s="334"/>
    </row>
    <row r="65" spans="2:15" ht="11.25" customHeight="1" x14ac:dyDescent="0.25"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34"/>
    </row>
    <row r="66" spans="2:15" x14ac:dyDescent="0.25">
      <c r="F66" s="335"/>
      <c r="G66" s="336"/>
      <c r="H66" s="323"/>
      <c r="I66" s="323"/>
      <c r="J66" s="323"/>
      <c r="K66" s="323"/>
      <c r="L66" s="323"/>
    </row>
    <row r="67" spans="2:15" x14ac:dyDescent="0.25">
      <c r="F67" s="337"/>
      <c r="G67" s="336"/>
      <c r="H67" s="323"/>
      <c r="I67" s="323"/>
      <c r="J67" s="323"/>
      <c r="K67" s="323"/>
      <c r="L67" s="323"/>
    </row>
    <row r="68" spans="2:15" x14ac:dyDescent="0.25">
      <c r="F68" s="337"/>
      <c r="G68" s="335"/>
      <c r="I68" s="323"/>
      <c r="J68" s="323"/>
      <c r="K68" s="323"/>
      <c r="L68" s="323"/>
    </row>
    <row r="69" spans="2:15" x14ac:dyDescent="0.25">
      <c r="F69" s="337"/>
      <c r="G69" s="335"/>
      <c r="K69" s="323"/>
      <c r="L69" s="323"/>
    </row>
    <row r="70" spans="2:15" ht="15" customHeight="1" x14ac:dyDescent="0.25">
      <c r="K70" s="323"/>
      <c r="L70" s="323"/>
    </row>
    <row r="71" spans="2:15" ht="15" customHeight="1" x14ac:dyDescent="0.25"/>
    <row r="72" spans="2:15" ht="15" customHeight="1" x14ac:dyDescent="0.25">
      <c r="M72" s="338"/>
      <c r="N72" s="338"/>
    </row>
    <row r="74" spans="2:15" ht="15.6" x14ac:dyDescent="0.25">
      <c r="B74" s="332"/>
      <c r="K74" s="339"/>
      <c r="L74" s="339"/>
    </row>
    <row r="75" spans="2:15" ht="15.6" x14ac:dyDescent="0.25">
      <c r="B75" s="332"/>
      <c r="C75" s="340"/>
      <c r="D75" s="340"/>
      <c r="E75" s="340"/>
    </row>
    <row r="76" spans="2:15" ht="15.6" x14ac:dyDescent="0.25">
      <c r="B76" s="340"/>
      <c r="M76" s="323"/>
      <c r="N76" s="323"/>
    </row>
    <row r="77" spans="2:15" x14ac:dyDescent="0.25">
      <c r="B77" s="323"/>
      <c r="M77" s="323"/>
      <c r="N77" s="323"/>
    </row>
    <row r="87" spans="2:15" ht="15.6" x14ac:dyDescent="0.25">
      <c r="B87" s="332"/>
    </row>
    <row r="91" spans="2:15" ht="15.6" x14ac:dyDescent="0.25">
      <c r="B91" s="332"/>
      <c r="O91" s="581" t="s">
        <v>79</v>
      </c>
    </row>
    <row r="94" spans="2:15" ht="15.6" x14ac:dyDescent="0.25">
      <c r="C94" s="332"/>
      <c r="G94" s="342"/>
    </row>
    <row r="95" spans="2:15" ht="15.6" x14ac:dyDescent="0.25">
      <c r="B95" s="332"/>
      <c r="C95" s="343"/>
      <c r="D95" s="343"/>
      <c r="E95" s="343"/>
      <c r="G95" s="342"/>
    </row>
    <row r="96" spans="2:15" x14ac:dyDescent="0.25">
      <c r="B96" s="1422"/>
      <c r="D96" s="344"/>
      <c r="E96" s="344"/>
    </row>
    <row r="97" spans="2:14" x14ac:dyDescent="0.25">
      <c r="B97" s="1422"/>
    </row>
    <row r="98" spans="2:14" x14ac:dyDescent="0.25">
      <c r="B98" s="345"/>
    </row>
    <row r="99" spans="2:14" x14ac:dyDescent="0.25">
      <c r="B99" s="323"/>
    </row>
    <row r="100" spans="2:14" ht="17.399999999999999" x14ac:dyDescent="0.25">
      <c r="B100" s="323"/>
      <c r="H100" s="346"/>
    </row>
    <row r="101" spans="2:14" ht="17.399999999999999" x14ac:dyDescent="0.25">
      <c r="B101" s="323"/>
      <c r="H101" s="346"/>
    </row>
    <row r="102" spans="2:14" ht="17.399999999999999" x14ac:dyDescent="0.25">
      <c r="B102" s="323"/>
      <c r="H102" s="346"/>
    </row>
    <row r="103" spans="2:14" ht="17.399999999999999" x14ac:dyDescent="0.25">
      <c r="B103" s="323"/>
      <c r="H103" s="346"/>
    </row>
    <row r="104" spans="2:14" ht="17.399999999999999" x14ac:dyDescent="0.25">
      <c r="B104" s="323"/>
      <c r="H104" s="346"/>
    </row>
    <row r="105" spans="2:14" x14ac:dyDescent="0.25">
      <c r="B105" s="323"/>
      <c r="G105" s="341"/>
    </row>
    <row r="106" spans="2:14" x14ac:dyDescent="0.25">
      <c r="B106" s="323"/>
    </row>
    <row r="107" spans="2:14" x14ac:dyDescent="0.25">
      <c r="B107" s="323"/>
      <c r="F107" s="343"/>
      <c r="G107" s="343"/>
      <c r="H107" s="343"/>
    </row>
    <row r="108" spans="2:14" x14ac:dyDescent="0.25">
      <c r="C108" s="341"/>
      <c r="F108" s="344"/>
      <c r="G108" s="344"/>
      <c r="H108" s="344"/>
      <c r="I108" s="323"/>
    </row>
    <row r="109" spans="2:14" ht="15.6" x14ac:dyDescent="0.25">
      <c r="B109" s="347"/>
      <c r="C109" s="341"/>
      <c r="D109" s="323"/>
      <c r="E109" s="323"/>
      <c r="I109" s="323"/>
    </row>
    <row r="110" spans="2:14" x14ac:dyDescent="0.25">
      <c r="B110" s="323"/>
      <c r="C110" s="341"/>
      <c r="D110" s="323"/>
      <c r="E110" s="323"/>
      <c r="I110" s="323"/>
      <c r="M110" s="323"/>
      <c r="N110" s="323"/>
    </row>
    <row r="111" spans="2:14" x14ac:dyDescent="0.25">
      <c r="B111" s="348"/>
      <c r="C111" s="342"/>
      <c r="D111" s="323"/>
      <c r="E111" s="323"/>
      <c r="I111" s="323"/>
      <c r="L111" s="323"/>
      <c r="M111" s="323"/>
      <c r="N111" s="323"/>
    </row>
    <row r="112" spans="2:14" x14ac:dyDescent="0.25">
      <c r="B112" s="348"/>
      <c r="C112" s="341"/>
      <c r="D112" s="323"/>
      <c r="E112" s="323"/>
      <c r="I112" s="339"/>
      <c r="L112" s="323"/>
      <c r="M112" s="323"/>
      <c r="N112" s="323"/>
    </row>
    <row r="113" spans="2:14" x14ac:dyDescent="0.25">
      <c r="B113" s="348"/>
      <c r="C113" s="341"/>
      <c r="D113" s="348"/>
      <c r="E113" s="348"/>
      <c r="I113" s="339"/>
      <c r="L113" s="323"/>
      <c r="M113" s="329"/>
      <c r="N113" s="329"/>
    </row>
    <row r="114" spans="2:14" x14ac:dyDescent="0.25">
      <c r="B114" s="348"/>
      <c r="C114" s="341"/>
      <c r="D114" s="323"/>
      <c r="E114" s="323"/>
      <c r="I114" s="339"/>
      <c r="L114" s="348"/>
      <c r="M114" s="329"/>
      <c r="N114" s="329"/>
    </row>
    <row r="115" spans="2:14" x14ac:dyDescent="0.25">
      <c r="B115" s="348"/>
      <c r="C115" s="341"/>
      <c r="D115" s="323"/>
      <c r="E115" s="323"/>
      <c r="I115" s="339"/>
      <c r="L115" s="348"/>
      <c r="M115" s="329"/>
      <c r="N115" s="329"/>
    </row>
    <row r="116" spans="2:14" x14ac:dyDescent="0.25">
      <c r="B116" s="348"/>
      <c r="C116" s="341"/>
      <c r="D116" s="323"/>
      <c r="E116" s="323"/>
      <c r="I116" s="339"/>
      <c r="L116" s="348"/>
      <c r="M116" s="329"/>
      <c r="N116" s="329"/>
    </row>
    <row r="117" spans="2:14" x14ac:dyDescent="0.25">
      <c r="B117" s="348"/>
      <c r="C117" s="323"/>
      <c r="D117" s="323"/>
      <c r="E117" s="323"/>
      <c r="I117" s="339"/>
      <c r="L117" s="348"/>
      <c r="M117" s="329"/>
      <c r="N117" s="329"/>
    </row>
    <row r="118" spans="2:14" x14ac:dyDescent="0.25">
      <c r="B118" s="348"/>
      <c r="C118" s="323"/>
      <c r="D118" s="323"/>
      <c r="E118" s="323"/>
      <c r="I118" s="339"/>
      <c r="L118" s="348"/>
      <c r="M118" s="329"/>
      <c r="N118" s="329"/>
    </row>
    <row r="119" spans="2:14" x14ac:dyDescent="0.25">
      <c r="B119" s="348"/>
      <c r="D119" s="323"/>
      <c r="E119" s="323"/>
      <c r="I119" s="339"/>
      <c r="L119" s="323"/>
      <c r="M119" s="329"/>
      <c r="N119" s="329"/>
    </row>
    <row r="120" spans="2:14" x14ac:dyDescent="0.25">
      <c r="B120" s="348"/>
      <c r="D120" s="323"/>
      <c r="E120" s="323"/>
      <c r="L120" s="323"/>
      <c r="M120" s="329"/>
      <c r="N120" s="329"/>
    </row>
    <row r="121" spans="2:14" x14ac:dyDescent="0.25">
      <c r="B121" s="348"/>
      <c r="D121" s="349"/>
      <c r="E121" s="349"/>
      <c r="M121" s="329"/>
      <c r="N121" s="329"/>
    </row>
    <row r="122" spans="2:14" x14ac:dyDescent="0.25">
      <c r="B122" s="348"/>
      <c r="D122" s="349"/>
      <c r="E122" s="349"/>
      <c r="F122" s="323"/>
      <c r="G122" s="323"/>
      <c r="H122" s="323"/>
      <c r="I122" s="323"/>
      <c r="J122" s="323"/>
      <c r="K122" s="323"/>
      <c r="L122" s="323"/>
      <c r="M122" s="329"/>
      <c r="N122" s="329"/>
    </row>
    <row r="123" spans="2:14" x14ac:dyDescent="0.25">
      <c r="B123" s="348"/>
      <c r="D123" s="349"/>
      <c r="E123" s="349"/>
      <c r="F123" s="323"/>
      <c r="G123" s="348"/>
      <c r="H123" s="323"/>
      <c r="I123" s="323"/>
      <c r="J123" s="323"/>
      <c r="K123" s="323"/>
      <c r="L123" s="323"/>
      <c r="M123" s="329"/>
      <c r="N123" s="329"/>
    </row>
    <row r="124" spans="2:14" x14ac:dyDescent="0.25">
      <c r="B124" s="348"/>
      <c r="D124" s="323"/>
      <c r="E124" s="323"/>
      <c r="F124" s="350"/>
      <c r="G124" s="350"/>
      <c r="H124" s="350"/>
      <c r="I124" s="323"/>
      <c r="J124" s="323"/>
      <c r="K124" s="323"/>
      <c r="L124" s="323"/>
      <c r="M124" s="329"/>
      <c r="N124" s="329"/>
    </row>
    <row r="125" spans="2:14" x14ac:dyDescent="0.25">
      <c r="B125" s="348"/>
      <c r="D125" s="323"/>
      <c r="E125" s="323"/>
      <c r="F125" s="350"/>
      <c r="G125" s="350"/>
      <c r="H125" s="350"/>
      <c r="I125" s="329"/>
      <c r="J125" s="350"/>
      <c r="K125" s="350"/>
      <c r="L125" s="348"/>
      <c r="M125" s="329"/>
      <c r="N125" s="329"/>
    </row>
    <row r="126" spans="2:14" x14ac:dyDescent="0.25">
      <c r="B126" s="348"/>
      <c r="D126" s="323"/>
      <c r="E126" s="323"/>
      <c r="F126" s="350"/>
      <c r="G126" s="350"/>
      <c r="H126" s="350"/>
      <c r="I126" s="329"/>
      <c r="J126" s="350"/>
      <c r="K126" s="350"/>
      <c r="L126" s="348"/>
      <c r="M126" s="329"/>
      <c r="N126" s="329"/>
    </row>
    <row r="127" spans="2:14" x14ac:dyDescent="0.25">
      <c r="B127" s="348"/>
      <c r="D127" s="323"/>
      <c r="E127" s="323"/>
      <c r="F127" s="351"/>
      <c r="G127" s="351"/>
      <c r="H127" s="351"/>
      <c r="I127" s="329"/>
      <c r="J127" s="350"/>
      <c r="K127" s="350"/>
      <c r="L127" s="323"/>
      <c r="M127" s="329"/>
      <c r="N127" s="329"/>
    </row>
    <row r="128" spans="2:14" x14ac:dyDescent="0.25">
      <c r="B128" s="348"/>
      <c r="D128" s="323"/>
      <c r="E128" s="323"/>
      <c r="F128" s="351"/>
      <c r="G128" s="351"/>
      <c r="H128" s="351"/>
      <c r="I128" s="329"/>
      <c r="J128" s="329"/>
      <c r="K128" s="329"/>
      <c r="L128" s="323"/>
      <c r="M128" s="329"/>
      <c r="N128" s="329"/>
    </row>
    <row r="129" spans="2:14" x14ac:dyDescent="0.25">
      <c r="B129" s="348"/>
      <c r="D129" s="323"/>
      <c r="E129" s="323"/>
      <c r="F129" s="351"/>
      <c r="G129" s="351"/>
      <c r="H129" s="351"/>
      <c r="I129" s="329"/>
      <c r="J129" s="329"/>
      <c r="K129" s="329"/>
      <c r="L129" s="348"/>
      <c r="M129" s="329"/>
      <c r="N129" s="329"/>
    </row>
    <row r="130" spans="2:14" x14ac:dyDescent="0.25">
      <c r="B130" s="348"/>
      <c r="D130" s="323"/>
      <c r="E130" s="323"/>
      <c r="F130" s="350"/>
      <c r="G130" s="350"/>
      <c r="H130" s="350"/>
      <c r="I130" s="329"/>
      <c r="J130" s="329"/>
      <c r="K130" s="329"/>
      <c r="L130" s="323"/>
      <c r="M130" s="329"/>
      <c r="N130" s="329"/>
    </row>
    <row r="132" spans="2:14" x14ac:dyDescent="0.25">
      <c r="B132" s="348"/>
      <c r="D132" s="323"/>
      <c r="E132" s="323"/>
      <c r="F132" s="350"/>
      <c r="G132" s="350"/>
      <c r="H132" s="350"/>
      <c r="I132" s="329"/>
      <c r="J132" s="350"/>
      <c r="K132" s="350"/>
      <c r="L132" s="323"/>
      <c r="M132" s="329"/>
      <c r="N132" s="329"/>
    </row>
    <row r="133" spans="2:14" x14ac:dyDescent="0.25">
      <c r="B133" s="348"/>
      <c r="D133" s="323"/>
      <c r="E133" s="323"/>
      <c r="F133" s="350"/>
      <c r="G133" s="350"/>
      <c r="H133" s="350"/>
      <c r="I133" s="329"/>
      <c r="J133" s="350"/>
      <c r="K133" s="350"/>
      <c r="L133" s="348"/>
      <c r="M133" s="329"/>
      <c r="N133" s="329"/>
    </row>
    <row r="134" spans="2:14" x14ac:dyDescent="0.25">
      <c r="B134" s="348"/>
      <c r="D134" s="323"/>
      <c r="E134" s="323"/>
      <c r="F134" s="349"/>
      <c r="G134" s="349"/>
      <c r="H134" s="349"/>
      <c r="I134" s="329"/>
      <c r="J134" s="350"/>
      <c r="K134" s="350"/>
      <c r="L134" s="323"/>
      <c r="M134" s="329"/>
      <c r="N134" s="329"/>
    </row>
    <row r="135" spans="2:14" x14ac:dyDescent="0.25">
      <c r="B135" s="348"/>
      <c r="D135" s="323"/>
      <c r="E135" s="323"/>
      <c r="F135" s="349"/>
      <c r="G135" s="349"/>
      <c r="H135" s="349"/>
      <c r="I135" s="349"/>
      <c r="J135" s="349"/>
      <c r="K135" s="349"/>
      <c r="L135" s="323"/>
      <c r="M135" s="329"/>
      <c r="N135" s="329"/>
    </row>
    <row r="136" spans="2:14" x14ac:dyDescent="0.25">
      <c r="B136" s="348"/>
      <c r="D136" s="323"/>
      <c r="E136" s="323"/>
      <c r="F136" s="349"/>
      <c r="G136" s="349"/>
      <c r="H136" s="349"/>
      <c r="I136" s="349"/>
      <c r="J136" s="349"/>
      <c r="K136" s="349"/>
      <c r="L136" s="348"/>
      <c r="M136" s="329"/>
      <c r="N136" s="329"/>
    </row>
    <row r="137" spans="2:14" x14ac:dyDescent="0.25">
      <c r="B137" s="348"/>
      <c r="D137" s="323"/>
      <c r="E137" s="323"/>
      <c r="F137" s="329"/>
      <c r="G137" s="329"/>
      <c r="H137" s="329"/>
      <c r="I137" s="349"/>
      <c r="J137" s="349"/>
      <c r="K137" s="349"/>
      <c r="L137" s="323"/>
      <c r="M137" s="329"/>
      <c r="N137" s="329"/>
    </row>
    <row r="138" spans="2:14" x14ac:dyDescent="0.25">
      <c r="B138" s="323"/>
      <c r="D138" s="323"/>
      <c r="E138" s="323"/>
      <c r="F138" s="329"/>
      <c r="G138" s="329"/>
      <c r="H138" s="329"/>
      <c r="I138" s="329"/>
      <c r="J138" s="350"/>
      <c r="K138" s="350"/>
      <c r="L138" s="323"/>
      <c r="M138" s="323"/>
      <c r="N138" s="323"/>
    </row>
    <row r="139" spans="2:14" ht="15.6" x14ac:dyDescent="0.25">
      <c r="B139" s="347"/>
      <c r="D139" s="323"/>
      <c r="E139" s="323"/>
      <c r="F139" s="329"/>
      <c r="G139" s="329"/>
      <c r="H139" s="329"/>
      <c r="I139" s="329"/>
      <c r="J139" s="350"/>
      <c r="K139" s="350"/>
      <c r="L139" s="348"/>
      <c r="M139" s="323"/>
      <c r="N139" s="323"/>
    </row>
    <row r="140" spans="2:14" x14ac:dyDescent="0.25">
      <c r="B140" s="323"/>
      <c r="D140" s="323"/>
      <c r="E140" s="323"/>
      <c r="F140" s="351"/>
      <c r="G140" s="351"/>
      <c r="H140" s="351"/>
      <c r="I140" s="329"/>
      <c r="J140" s="350"/>
      <c r="K140" s="350"/>
      <c r="L140" s="323"/>
      <c r="M140" s="323"/>
      <c r="N140" s="323"/>
    </row>
    <row r="141" spans="2:14" x14ac:dyDescent="0.25">
      <c r="B141" s="323"/>
      <c r="F141" s="351"/>
      <c r="G141" s="351"/>
      <c r="H141" s="351"/>
      <c r="I141" s="329"/>
      <c r="J141" s="350"/>
      <c r="K141" s="350"/>
      <c r="L141" s="323"/>
      <c r="M141" s="323"/>
      <c r="N141" s="323"/>
    </row>
    <row r="142" spans="2:14" ht="15.6" x14ac:dyDescent="0.25">
      <c r="B142" s="585"/>
      <c r="F142" s="351"/>
      <c r="G142" s="351"/>
      <c r="H142" s="351"/>
      <c r="I142" s="329"/>
      <c r="J142" s="350"/>
      <c r="K142" s="350"/>
      <c r="L142" s="348"/>
      <c r="M142" s="323"/>
      <c r="N142" s="323"/>
    </row>
    <row r="143" spans="2:14" x14ac:dyDescent="0.25">
      <c r="F143" s="350"/>
      <c r="G143" s="350"/>
      <c r="H143" s="350"/>
      <c r="I143" s="329"/>
      <c r="J143" s="350"/>
      <c r="K143" s="350"/>
      <c r="L143" s="323"/>
      <c r="M143" s="323"/>
    </row>
    <row r="144" spans="2:14" x14ac:dyDescent="0.25">
      <c r="F144" s="350"/>
      <c r="G144" s="350"/>
      <c r="H144" s="350"/>
      <c r="I144" s="329"/>
      <c r="J144" s="350"/>
      <c r="K144" s="350"/>
      <c r="L144" s="323"/>
    </row>
    <row r="145" spans="2:13" x14ac:dyDescent="0.25">
      <c r="F145" s="350"/>
      <c r="G145" s="350"/>
      <c r="H145" s="350"/>
      <c r="I145" s="329"/>
      <c r="J145" s="350"/>
      <c r="K145" s="350"/>
      <c r="L145" s="348"/>
    </row>
    <row r="146" spans="2:13" x14ac:dyDescent="0.25">
      <c r="F146" s="350"/>
      <c r="G146" s="350"/>
      <c r="H146" s="350"/>
      <c r="I146" s="329"/>
      <c r="J146" s="350"/>
      <c r="K146" s="350"/>
      <c r="L146" s="323"/>
    </row>
    <row r="147" spans="2:13" x14ac:dyDescent="0.25">
      <c r="F147" s="350"/>
      <c r="G147" s="350"/>
      <c r="H147" s="350"/>
      <c r="I147" s="329"/>
      <c r="J147" s="329"/>
      <c r="K147" s="329"/>
      <c r="L147" s="323"/>
    </row>
    <row r="148" spans="2:13" ht="15.6" x14ac:dyDescent="0.25">
      <c r="B148" s="347"/>
      <c r="F148" s="350"/>
      <c r="G148" s="350"/>
      <c r="H148" s="350"/>
      <c r="I148" s="329"/>
      <c r="J148" s="329"/>
      <c r="K148" s="329"/>
      <c r="L148" s="348"/>
      <c r="M148" s="339"/>
    </row>
    <row r="149" spans="2:13" x14ac:dyDescent="0.25">
      <c r="F149" s="323"/>
      <c r="G149" s="323"/>
      <c r="H149" s="323"/>
      <c r="I149" s="329"/>
      <c r="J149" s="329"/>
      <c r="K149" s="329"/>
      <c r="L149" s="323"/>
    </row>
    <row r="150" spans="2:13" x14ac:dyDescent="0.25">
      <c r="F150" s="323"/>
      <c r="G150" s="323"/>
      <c r="H150" s="323"/>
      <c r="I150" s="323"/>
      <c r="J150" s="323"/>
      <c r="K150" s="323"/>
      <c r="L150" s="323"/>
    </row>
    <row r="151" spans="2:13" x14ac:dyDescent="0.25">
      <c r="F151" s="323"/>
      <c r="G151" s="323"/>
      <c r="H151" s="323"/>
      <c r="I151" s="323"/>
      <c r="J151" s="323"/>
      <c r="K151" s="323"/>
      <c r="L151" s="323"/>
    </row>
    <row r="152" spans="2:13" x14ac:dyDescent="0.25">
      <c r="F152" s="323"/>
      <c r="G152" s="323"/>
      <c r="H152" s="323"/>
      <c r="I152" s="323"/>
      <c r="J152" s="323"/>
      <c r="K152" s="323"/>
      <c r="L152" s="323"/>
    </row>
    <row r="153" spans="2:13" x14ac:dyDescent="0.25">
      <c r="I153" s="323"/>
      <c r="J153" s="323"/>
      <c r="K153" s="323"/>
      <c r="L153" s="323"/>
    </row>
    <row r="154" spans="2:13" x14ac:dyDescent="0.25">
      <c r="K154" s="323"/>
      <c r="L154" s="323"/>
    </row>
    <row r="155" spans="2:13" x14ac:dyDescent="0.25">
      <c r="K155" s="323"/>
      <c r="L155" s="323"/>
    </row>
    <row r="160" spans="2:13" x14ac:dyDescent="0.25">
      <c r="K160" s="339"/>
      <c r="L160" s="339"/>
    </row>
  </sheetData>
  <sheetProtection formatCells="0" formatColumns="0" formatRows="0" insertColumns="0" insertRows="0" deleteColumns="0" deleteRows="0" selectLockedCells="1"/>
  <mergeCells count="36">
    <mergeCell ref="T25:T26"/>
    <mergeCell ref="B23:F23"/>
    <mergeCell ref="G14:H14"/>
    <mergeCell ref="G15:H15"/>
    <mergeCell ref="G16:H16"/>
    <mergeCell ref="C24:G24"/>
    <mergeCell ref="H24:I24"/>
    <mergeCell ref="J24:K24"/>
    <mergeCell ref="N25:N26"/>
    <mergeCell ref="C26:G26"/>
    <mergeCell ref="S25:S26"/>
    <mergeCell ref="E17:F17"/>
    <mergeCell ref="C27:G27"/>
    <mergeCell ref="B96:B97"/>
    <mergeCell ref="D64:E64"/>
    <mergeCell ref="B64:C64"/>
    <mergeCell ref="B33:B34"/>
    <mergeCell ref="B30:B31"/>
    <mergeCell ref="B62:E62"/>
    <mergeCell ref="E30:J30"/>
    <mergeCell ref="C30:C31"/>
    <mergeCell ref="B58:L59"/>
    <mergeCell ref="B51:J51"/>
    <mergeCell ref="B52:J52"/>
    <mergeCell ref="B53:J53"/>
    <mergeCell ref="B55:J55"/>
    <mergeCell ref="B54:J54"/>
    <mergeCell ref="B48:K48"/>
    <mergeCell ref="B44:M44"/>
    <mergeCell ref="N30:N31"/>
    <mergeCell ref="D30:D31"/>
    <mergeCell ref="L30:L31"/>
    <mergeCell ref="B47:K47"/>
    <mergeCell ref="C33:C34"/>
    <mergeCell ref="M30:M31"/>
    <mergeCell ref="K30:K31"/>
  </mergeCells>
  <phoneticPr fontId="0" type="noConversion"/>
  <dataValidations count="3">
    <dataValidation type="list" allowBlank="1" showInputMessage="1" sqref="O2 C56" xr:uid="{00000000-0002-0000-0100-000000000000}">
      <formula1>#REF!</formula1>
    </dataValidation>
    <dataValidation type="list" allowBlank="1" showInputMessage="1" showErrorMessage="1" sqref="K51:M51 K54:M54" xr:uid="{00000000-0002-0000-0100-000001000000}">
      <formula1>#REF!</formula1>
    </dataValidation>
    <dataValidation allowBlank="1" showInputMessage="1" sqref="H2" xr:uid="{00000000-0002-0000-0100-000002000000}"/>
  </dataValidations>
  <printOptions horizontalCentered="1"/>
  <pageMargins left="0.51181102362204722" right="0.23622047244094491" top="0.39370078740157483" bottom="0.23622047244094491" header="0.23622047244094491" footer="0.23622047244094491"/>
  <pageSetup paperSize="9" scale="69" orientation="portrait" horizontalDpi="4294967294" verticalDpi="360" r:id="rId1"/>
  <headerFooter>
    <oddHeader xml:space="preserve">&amp;R&amp;"-,Regular"&amp;8KL.089 - 19 </oddHeader>
  </headerFooter>
  <rowBreaks count="1" manualBreakCount="1">
    <brk id="64" max="12" man="1"/>
  </rowBreaks>
  <drawing r:id="rId2"/>
  <legacyDrawing r:id="rId3"/>
  <oleObjects>
    <mc:AlternateContent xmlns:mc="http://schemas.openxmlformats.org/markup-compatibility/2006">
      <mc:Choice Requires="x14">
        <oleObject progId="Equation.3" shapeId="1112" r:id="rId4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2" r:id="rId4"/>
      </mc:Fallback>
    </mc:AlternateContent>
    <mc:AlternateContent xmlns:mc="http://schemas.openxmlformats.org/markup-compatibility/2006">
      <mc:Choice Requires="x14">
        <oleObject progId="Equation.3" shapeId="1113" r:id="rId6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3" r:id="rId6"/>
      </mc:Fallback>
    </mc:AlternateContent>
    <mc:AlternateContent xmlns:mc="http://schemas.openxmlformats.org/markup-compatibility/2006">
      <mc:Choice Requires="x14">
        <oleObject progId="Equation.3" shapeId="1114" r:id="rId7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4" r:id="rId7"/>
      </mc:Fallback>
    </mc:AlternateContent>
    <mc:AlternateContent xmlns:mc="http://schemas.openxmlformats.org/markup-compatibility/2006">
      <mc:Choice Requires="x14">
        <oleObject progId="Equation.3" shapeId="1115" r:id="rId8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5" r:id="rId8"/>
      </mc:Fallback>
    </mc:AlternateContent>
    <mc:AlternateContent xmlns:mc="http://schemas.openxmlformats.org/markup-compatibility/2006">
      <mc:Choice Requires="x14">
        <oleObject progId="Equation.3" shapeId="1116" r:id="rId9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6" r:id="rId9"/>
      </mc:Fallback>
    </mc:AlternateContent>
    <mc:AlternateContent xmlns:mc="http://schemas.openxmlformats.org/markup-compatibility/2006">
      <mc:Choice Requires="x14">
        <oleObject progId="Equation.3" shapeId="1117" r:id="rId10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7" r:id="rId10"/>
      </mc:Fallback>
    </mc:AlternateContent>
    <mc:AlternateContent xmlns:mc="http://schemas.openxmlformats.org/markup-compatibility/2006">
      <mc:Choice Requires="x14">
        <oleObject progId="Equation.3" shapeId="1118" r:id="rId11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8" r:id="rId11"/>
      </mc:Fallback>
    </mc:AlternateContent>
    <mc:AlternateContent xmlns:mc="http://schemas.openxmlformats.org/markup-compatibility/2006">
      <mc:Choice Requires="x14">
        <oleObject progId="Equation.3" shapeId="1119" r:id="rId12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19" r:id="rId12"/>
      </mc:Fallback>
    </mc:AlternateContent>
    <mc:AlternateContent xmlns:mc="http://schemas.openxmlformats.org/markup-compatibility/2006">
      <mc:Choice Requires="x14">
        <oleObject progId="Equation.3" shapeId="1120" r:id="rId13">
          <objectPr defaultSize="0" autoPict="0" r:id="rId5">
            <anchor moveWithCells="1" sizeWithCells="1">
              <from>
                <xdr:col>8</xdr:col>
                <xdr:colOff>0</xdr:colOff>
                <xdr:row>27</xdr:row>
                <xdr:rowOff>0</xdr:rowOff>
              </from>
              <to>
                <xdr:col>8</xdr:col>
                <xdr:colOff>0</xdr:colOff>
                <xdr:row>27</xdr:row>
                <xdr:rowOff>0</xdr:rowOff>
              </to>
            </anchor>
          </objectPr>
        </oleObject>
      </mc:Choice>
      <mc:Fallback>
        <oleObject progId="Equation.3" shapeId="1120" r:id="rId13"/>
      </mc:Fallback>
    </mc:AlternateContent>
    <mc:AlternateContent xmlns:mc="http://schemas.openxmlformats.org/markup-compatibility/2006">
      <mc:Choice Requires="x14">
        <oleObject progId="Equation.3" shapeId="1128" r:id="rId14">
          <objectPr defaultSize="0" autoPict="0" r:id="rId5">
            <anchor moveWithCells="1" sizeWithCells="1">
              <from>
                <xdr:col>13</xdr:col>
                <xdr:colOff>99060</xdr:colOff>
                <xdr:row>27</xdr:row>
                <xdr:rowOff>0</xdr:rowOff>
              </from>
              <to>
                <xdr:col>13</xdr:col>
                <xdr:colOff>441960</xdr:colOff>
                <xdr:row>27</xdr:row>
                <xdr:rowOff>0</xdr:rowOff>
              </to>
            </anchor>
          </objectPr>
        </oleObject>
      </mc:Choice>
      <mc:Fallback>
        <oleObject progId="Equation.3" shapeId="1128" r:id="rId1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xr:uid="{00000000-0002-0000-0100-000005000000}">
          <x14:formula1>
            <xm:f>'DB Thermohygro '!$A$357:$A$374</xm:f>
          </x14:formula1>
          <xm:sqref>B55:J55</xm:sqref>
        </x14:dataValidation>
        <x14:dataValidation type="list" allowBlank="1" showInputMessage="1" showErrorMessage="1" xr:uid="{00000000-0002-0000-0100-000006000000}">
          <x14:formula1>
            <xm:f>'kata-kata'!$C$12:$C$13</xm:f>
          </x14:formula1>
          <xm:sqref>C26</xm:sqref>
        </x14:dataValidation>
        <x14:dataValidation type="list" allowBlank="1" showInputMessage="1" showErrorMessage="1" xr:uid="{00000000-0002-0000-0100-000007000000}">
          <x14:formula1>
            <xm:f>'kata-kata'!$C$14:$C$15</xm:f>
          </x14:formula1>
          <xm:sqref>C27:G27</xm:sqref>
        </x14:dataValidation>
        <x14:dataValidation type="list" allowBlank="1" showInputMessage="1" showErrorMessage="1" xr:uid="{00000000-0002-0000-0100-000008000000}">
          <x14:formula1>
            <xm:f>'kata-kata'!$B$4:$B$5</xm:f>
          </x14:formula1>
          <xm:sqref>E20:E21</xm:sqref>
        </x14:dataValidation>
        <x14:dataValidation type="list" allowBlank="1" showInputMessage="1" showErrorMessage="1" xr:uid="{00000000-0002-0000-0100-00000A000000}">
          <x14:formula1>
            <xm:f>'Input Data Tachometer'!$V$33:$V$42</xm:f>
          </x14:formula1>
          <xm:sqref>B51:J51</xm:sqref>
        </x14:dataValidation>
        <x14:dataValidation type="list" allowBlank="1" showInputMessage="1" showErrorMessage="1" xr:uid="{00000000-0002-0000-0100-00000B000000}">
          <x14:formula1>
            <xm:f>' Input Data Tekanan Hisap'!$A$145:$A$159</xm:f>
          </x14:formula1>
          <xm:sqref>B54:J54</xm:sqref>
        </x14:dataValidation>
        <x14:dataValidation type="list" allowBlank="1" showInputMessage="1" showErrorMessage="1" xr:uid="{00000000-0002-0000-0100-00000C000000}">
          <x14:formula1>
            <xm:f>'Input Data Lux'!$A$116:$A$127</xm:f>
          </x14:formula1>
          <xm:sqref>B53:J53</xm:sqref>
        </x14:dataValidation>
        <x14:dataValidation type="list" allowBlank="1" showInputMessage="1" showErrorMessage="1" xr:uid="{4853DA25-14BD-43A0-9199-61C73E1BE822}">
          <x14:formula1>
            <xm:f>ESA!$A$166:$A$177</xm:f>
          </x14:formula1>
          <xm:sqref>B52:J52</xm:sqref>
        </x14:dataValidation>
        <x14:dataValidation type="list" allowBlank="1" showInputMessage="1" xr:uid="{00000000-0002-0000-0100-000009000000}">
          <x14:formula1>
            <xm:f>'kata-kata'!$P$11:$P$31</xm:f>
          </x14:formula1>
          <xm:sqref>B62:E62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AAE-4A98-4B15-BF19-785FED53769F}">
  <sheetPr>
    <tabColor rgb="FF00B050"/>
  </sheetPr>
  <dimension ref="A1:O61"/>
  <sheetViews>
    <sheetView zoomScale="70" zoomScaleNormal="100" zoomScaleSheetLayoutView="90" workbookViewId="0">
      <selection activeCell="B60" sqref="B60"/>
    </sheetView>
  </sheetViews>
  <sheetFormatPr defaultColWidth="9.33203125" defaultRowHeight="13.2" x14ac:dyDescent="0.25"/>
  <cols>
    <col min="1" max="1" width="18.33203125" style="956" customWidth="1"/>
    <col min="2" max="2" width="26.33203125" style="956" customWidth="1"/>
    <col min="3" max="3" width="3.33203125" style="956" customWidth="1"/>
    <col min="4" max="4" width="11.5546875" style="956" customWidth="1"/>
    <col min="5" max="5" width="9.44140625" style="956" customWidth="1"/>
    <col min="6" max="6" width="22.5546875" style="956" customWidth="1"/>
    <col min="7" max="7" width="9.33203125" style="956"/>
    <col min="8" max="8" width="18.6640625" style="956" customWidth="1"/>
    <col min="9" max="9" width="12.33203125" style="956" customWidth="1"/>
    <col min="10" max="16384" width="9.33203125" style="956"/>
  </cols>
  <sheetData>
    <row r="1" spans="1:15" x14ac:dyDescent="0.25">
      <c r="H1" s="957"/>
      <c r="I1" s="958"/>
      <c r="J1" s="958"/>
    </row>
    <row r="2" spans="1:15" ht="30" x14ac:dyDescent="0.25">
      <c r="A2" s="1453" t="s">
        <v>310</v>
      </c>
      <c r="B2" s="1453"/>
      <c r="C2" s="1453"/>
      <c r="D2" s="1453"/>
      <c r="E2" s="1453"/>
      <c r="F2" s="1453"/>
      <c r="H2" s="959"/>
      <c r="I2" s="1454"/>
      <c r="J2" s="1455"/>
    </row>
    <row r="3" spans="1:15" ht="13.8" x14ac:dyDescent="0.25">
      <c r="A3" s="1456" t="str">
        <f>"Nomor : 18 /"&amp;" "&amp;ID!I2</f>
        <v>Nomor : 18 / 19 / III - 25 / E - 009.678 DL</v>
      </c>
      <c r="B3" s="1456"/>
      <c r="C3" s="1456"/>
      <c r="D3" s="1456"/>
      <c r="E3" s="1456"/>
      <c r="F3" s="1456"/>
    </row>
    <row r="4" spans="1:15" x14ac:dyDescent="0.25">
      <c r="C4" s="956" t="s">
        <v>311</v>
      </c>
      <c r="D4" s="1457" t="str">
        <f>ID!E11</f>
        <v>MK.089-19</v>
      </c>
      <c r="E4" s="1457"/>
      <c r="F4" s="1457"/>
      <c r="H4" s="960"/>
      <c r="I4" s="960"/>
      <c r="J4" s="960"/>
    </row>
    <row r="5" spans="1:15" ht="14.4" x14ac:dyDescent="0.3">
      <c r="H5" s="1458"/>
      <c r="I5" s="1458"/>
      <c r="J5" s="1458"/>
    </row>
    <row r="6" spans="1:15" ht="13.8" x14ac:dyDescent="0.25">
      <c r="A6" s="961" t="s">
        <v>312</v>
      </c>
      <c r="B6" s="962" t="s">
        <v>313</v>
      </c>
      <c r="C6" s="963"/>
      <c r="D6" s="1451" t="s">
        <v>314</v>
      </c>
      <c r="E6" s="1452"/>
      <c r="F6" s="964" t="str">
        <f>MID(A3,SEARCH("E - ",A3),LEN(A3))</f>
        <v>E - 009.678 DL</v>
      </c>
    </row>
    <row r="7" spans="1:15" ht="13.8" x14ac:dyDescent="0.25">
      <c r="A7" s="965"/>
      <c r="B7" s="965"/>
      <c r="C7" s="965"/>
    </row>
    <row r="8" spans="1:15" ht="13.8" x14ac:dyDescent="0.25">
      <c r="A8" s="1460" t="s">
        <v>2</v>
      </c>
      <c r="B8" s="1460"/>
      <c r="C8" s="966" t="s">
        <v>3</v>
      </c>
      <c r="D8" s="1461" t="str">
        <f>LH!E4</f>
        <v>GNATUS</v>
      </c>
      <c r="E8" s="1460"/>
      <c r="F8" s="1460"/>
      <c r="I8" s="1462"/>
      <c r="J8" s="1462"/>
    </row>
    <row r="9" spans="1:15" ht="14.25" customHeight="1" x14ac:dyDescent="0.25">
      <c r="A9" s="1460" t="s">
        <v>315</v>
      </c>
      <c r="B9" s="1460"/>
      <c r="C9" s="966" t="s">
        <v>3</v>
      </c>
      <c r="D9" s="1461" t="str">
        <f>LH!E5</f>
        <v>SYNCRUS LS</v>
      </c>
      <c r="E9" s="1460"/>
      <c r="F9" s="1460"/>
      <c r="I9" s="1462"/>
      <c r="J9" s="1462"/>
    </row>
    <row r="10" spans="1:15" ht="15" customHeight="1" x14ac:dyDescent="0.3">
      <c r="A10" s="1460" t="s">
        <v>316</v>
      </c>
      <c r="B10" s="1460"/>
      <c r="C10" s="966" t="s">
        <v>3</v>
      </c>
      <c r="D10" s="1461" t="str">
        <f>LH!E6</f>
        <v>081298408556</v>
      </c>
      <c r="E10" s="1460"/>
      <c r="F10" s="1460"/>
      <c r="I10" s="1463"/>
      <c r="J10" s="1464"/>
      <c r="O10" s="967"/>
    </row>
    <row r="11" spans="1:15" s="958" customFormat="1" ht="14.4" hidden="1" x14ac:dyDescent="0.3">
      <c r="A11" s="1465" t="s">
        <v>317</v>
      </c>
      <c r="B11" s="1465"/>
      <c r="C11" s="968" t="s">
        <v>3</v>
      </c>
      <c r="D11" s="969" t="str">
        <f>I11&amp;"    "&amp;J11&amp;""</f>
        <v xml:space="preserve">    </v>
      </c>
      <c r="E11" s="969"/>
      <c r="F11" s="970">
        <f>J11</f>
        <v>0</v>
      </c>
      <c r="I11" s="971"/>
      <c r="J11" s="972"/>
      <c r="O11" s="972"/>
    </row>
    <row r="12" spans="1:15" s="958" customFormat="1" ht="14.4" hidden="1" x14ac:dyDescent="0.3">
      <c r="A12" s="1465" t="s">
        <v>177</v>
      </c>
      <c r="B12" s="1465"/>
      <c r="C12" s="968" t="s">
        <v>3</v>
      </c>
      <c r="D12" s="973">
        <f>[1]LH!E8</f>
        <v>1</v>
      </c>
      <c r="E12" s="973"/>
      <c r="F12" s="970"/>
      <c r="I12" s="974"/>
      <c r="J12" s="972"/>
      <c r="O12" s="972"/>
    </row>
    <row r="13" spans="1:15" ht="14.4" x14ac:dyDescent="0.3">
      <c r="A13" s="975"/>
      <c r="B13" s="975"/>
      <c r="C13" s="965"/>
      <c r="I13" s="1459"/>
      <c r="J13" s="1459"/>
      <c r="O13" s="967"/>
    </row>
    <row r="14" spans="1:15" ht="28.5" customHeight="1" x14ac:dyDescent="0.3">
      <c r="A14" s="976" t="s">
        <v>318</v>
      </c>
      <c r="B14" s="977"/>
      <c r="C14" s="965"/>
      <c r="D14" s="1451" t="s">
        <v>319</v>
      </c>
      <c r="E14" s="1452"/>
      <c r="F14" s="978"/>
      <c r="I14" s="1464"/>
      <c r="J14" s="1464"/>
      <c r="O14" s="967"/>
    </row>
    <row r="15" spans="1:15" ht="14.4" x14ac:dyDescent="0.25">
      <c r="A15" s="979"/>
      <c r="B15" s="965"/>
      <c r="C15" s="965"/>
      <c r="D15" s="965"/>
      <c r="E15" s="965"/>
      <c r="I15" s="1467"/>
      <c r="J15" s="1467"/>
    </row>
    <row r="16" spans="1:15" s="958" customFormat="1" ht="42.75" customHeight="1" x14ac:dyDescent="0.3">
      <c r="A16" s="1468" t="s">
        <v>320</v>
      </c>
      <c r="B16" s="1468"/>
      <c r="C16" s="980" t="s">
        <v>3</v>
      </c>
      <c r="D16" s="1469" t="s">
        <v>321</v>
      </c>
      <c r="E16" s="1469"/>
      <c r="F16" s="1469"/>
      <c r="H16" s="981"/>
      <c r="I16" s="1470"/>
      <c r="J16" s="1471"/>
    </row>
    <row r="17" spans="1:10" ht="14.4" x14ac:dyDescent="0.3">
      <c r="A17" s="1460" t="str">
        <f>"Nama Ruang "</f>
        <v xml:space="preserve">Nama Ruang </v>
      </c>
      <c r="B17" s="1460"/>
      <c r="C17" s="966" t="s">
        <v>3</v>
      </c>
      <c r="D17" s="1472" t="str">
        <f>LH!E10</f>
        <v>LPFK BJB</v>
      </c>
      <c r="E17" s="1473"/>
      <c r="F17" s="1473"/>
      <c r="H17" s="1474"/>
      <c r="I17" s="1474"/>
      <c r="J17" s="1474"/>
    </row>
    <row r="18" spans="1:10" ht="14.4" x14ac:dyDescent="0.3">
      <c r="A18" s="1460" t="s">
        <v>6</v>
      </c>
      <c r="B18" s="1460"/>
      <c r="C18" s="966" t="s">
        <v>3</v>
      </c>
      <c r="D18" s="1466" t="str">
        <f>LH!E7</f>
        <v>31 Januari 2020</v>
      </c>
      <c r="E18" s="1466"/>
      <c r="F18" s="1466"/>
      <c r="H18" s="982"/>
      <c r="I18" s="982"/>
      <c r="J18" s="982"/>
    </row>
    <row r="19" spans="1:10" ht="14.25" customHeight="1" x14ac:dyDescent="0.25">
      <c r="A19" s="1460" t="str">
        <f>"Tanggal "&amp;B50</f>
        <v>Tanggal Pengujian</v>
      </c>
      <c r="B19" s="1460"/>
      <c r="C19" s="966" t="s">
        <v>3</v>
      </c>
      <c r="D19" s="1466" t="str">
        <f>LH!E8</f>
        <v>32 Januari 2020</v>
      </c>
      <c r="E19" s="1466"/>
      <c r="F19" s="1466"/>
    </row>
    <row r="20" spans="1:10" ht="13.8" x14ac:dyDescent="0.25">
      <c r="A20" s="1460" t="str">
        <f>"Penanggungjawab "&amp;B50</f>
        <v>Penanggungjawab Pengujian</v>
      </c>
      <c r="B20" s="1460"/>
      <c r="C20" s="966" t="s">
        <v>3</v>
      </c>
      <c r="D20" s="1460" t="str">
        <f>LH!B60</f>
        <v>Wardimanul Abrar</v>
      </c>
      <c r="E20" s="1460"/>
      <c r="F20" s="1460"/>
    </row>
    <row r="21" spans="1:10" ht="14.4" x14ac:dyDescent="0.3">
      <c r="A21" s="1460" t="str">
        <f>"Lokasi "&amp;B50</f>
        <v>Lokasi Pengujian</v>
      </c>
      <c r="B21" s="1460"/>
      <c r="C21" s="966" t="s">
        <v>3</v>
      </c>
      <c r="D21" s="1472" t="str">
        <f>LH!E9</f>
        <v>LPFK BJB</v>
      </c>
      <c r="E21" s="1473"/>
      <c r="F21" s="1473"/>
      <c r="H21" s="983"/>
    </row>
    <row r="22" spans="1:10" ht="31.5" customHeight="1" x14ac:dyDescent="0.25">
      <c r="A22" s="1473" t="str">
        <f>"Hasil "&amp;B50</f>
        <v>Hasil Pengujian</v>
      </c>
      <c r="B22" s="1473"/>
      <c r="C22" s="984" t="s">
        <v>3</v>
      </c>
      <c r="D22" s="1475" t="s">
        <v>322</v>
      </c>
      <c r="E22" s="1475"/>
      <c r="F22" s="1475"/>
    </row>
    <row r="23" spans="1:10" ht="13.8" x14ac:dyDescent="0.25">
      <c r="A23" s="1460" t="s">
        <v>10</v>
      </c>
      <c r="B23" s="1460"/>
      <c r="C23" s="966" t="s">
        <v>3</v>
      </c>
      <c r="D23" s="1460" t="str">
        <f>D4</f>
        <v>MK.089-19</v>
      </c>
      <c r="E23" s="1460"/>
      <c r="F23" s="1460"/>
    </row>
    <row r="26" spans="1:10" ht="26.25" customHeight="1" x14ac:dyDescent="0.25">
      <c r="D26" s="985" t="s">
        <v>323</v>
      </c>
      <c r="E26" s="1477">
        <f ca="1">TODAY()</f>
        <v>44664</v>
      </c>
      <c r="F26" s="1477"/>
    </row>
    <row r="27" spans="1:10" ht="13.8" x14ac:dyDescent="0.25">
      <c r="D27" s="1460" t="s">
        <v>324</v>
      </c>
      <c r="E27" s="1460"/>
      <c r="F27" s="1460"/>
    </row>
    <row r="28" spans="1:10" ht="13.8" x14ac:dyDescent="0.25">
      <c r="D28" s="1460" t="s">
        <v>325</v>
      </c>
      <c r="E28" s="1460"/>
      <c r="F28" s="1460"/>
    </row>
    <row r="29" spans="1:10" ht="13.8" x14ac:dyDescent="0.25">
      <c r="D29" s="986"/>
      <c r="E29" s="986"/>
    </row>
    <row r="30" spans="1:10" ht="13.8" x14ac:dyDescent="0.25">
      <c r="D30" s="986"/>
      <c r="E30" s="986"/>
    </row>
    <row r="31" spans="1:10" ht="13.8" x14ac:dyDescent="0.25">
      <c r="D31" s="986"/>
      <c r="E31" s="986"/>
    </row>
    <row r="32" spans="1:10" ht="13.8" x14ac:dyDescent="0.25">
      <c r="D32" s="1460" t="s">
        <v>326</v>
      </c>
      <c r="E32" s="1460"/>
      <c r="F32" s="1460"/>
    </row>
    <row r="33" spans="1:6" ht="13.8" x14ac:dyDescent="0.25">
      <c r="D33" s="1476" t="s">
        <v>327</v>
      </c>
      <c r="E33" s="1476"/>
      <c r="F33" s="1476"/>
    </row>
    <row r="36" spans="1:6" x14ac:dyDescent="0.25">
      <c r="A36" s="987"/>
      <c r="B36" s="987"/>
      <c r="C36" s="987"/>
      <c r="D36" s="987"/>
      <c r="E36" s="987"/>
      <c r="F36" s="987"/>
    </row>
    <row r="42" spans="1:6" ht="13.8" thickBot="1" x14ac:dyDescent="0.3"/>
    <row r="43" spans="1:6" ht="31.5" customHeight="1" x14ac:dyDescent="0.25">
      <c r="A43" s="988" t="s">
        <v>328</v>
      </c>
      <c r="B43" s="989" t="str">
        <f>MID(ID!I2,SEARCH("E - ",ID!I2),LEN(ID!I2))</f>
        <v>E - 009.678 DL</v>
      </c>
    </row>
    <row r="44" spans="1:6" x14ac:dyDescent="0.25">
      <c r="A44" s="990"/>
      <c r="B44" s="991"/>
    </row>
    <row r="45" spans="1:6" ht="24" customHeight="1" x14ac:dyDescent="0.25">
      <c r="A45" s="992" t="s">
        <v>329</v>
      </c>
      <c r="B45" s="993" t="str">
        <f>ID!F1</f>
        <v>INPUT DATA PENGUJIAN DENTAL UNIT</v>
      </c>
    </row>
    <row r="46" spans="1:6" ht="39" customHeight="1" x14ac:dyDescent="0.25">
      <c r="A46" s="992" t="s">
        <v>330</v>
      </c>
      <c r="B46" s="994" t="str">
        <f>IF(B45="INPUT DATA PENGUJIAN DENTAL UNIT",B47,B48)</f>
        <v>SERTIFIKAT KALIBRASI</v>
      </c>
    </row>
    <row r="47" spans="1:6" ht="22.5" customHeight="1" x14ac:dyDescent="0.25">
      <c r="A47" s="992" t="s">
        <v>331</v>
      </c>
      <c r="B47" s="991" t="s">
        <v>332</v>
      </c>
    </row>
    <row r="48" spans="1:6" x14ac:dyDescent="0.25">
      <c r="A48" s="990"/>
      <c r="B48" s="991" t="s">
        <v>310</v>
      </c>
    </row>
    <row r="49" spans="1:2" x14ac:dyDescent="0.25">
      <c r="A49" s="990"/>
      <c r="B49" s="991"/>
    </row>
    <row r="50" spans="1:2" ht="48" customHeight="1" x14ac:dyDescent="0.25">
      <c r="A50" s="992" t="s">
        <v>333</v>
      </c>
      <c r="B50" s="991" t="str">
        <f>IF(RIGHT(A2,10)=" KALIBRASI","Kalibrasi","Pengujian")</f>
        <v>Pengujian</v>
      </c>
    </row>
    <row r="51" spans="1:2" x14ac:dyDescent="0.25">
      <c r="A51" s="990"/>
      <c r="B51" s="991"/>
    </row>
    <row r="52" spans="1:2" s="996" customFormat="1" ht="34.5" customHeight="1" x14ac:dyDescent="0.25">
      <c r="A52" s="992" t="s">
        <v>334</v>
      </c>
      <c r="B52" s="995" t="s">
        <v>335</v>
      </c>
    </row>
    <row r="53" spans="1:2" x14ac:dyDescent="0.25">
      <c r="A53" s="990"/>
      <c r="B53" s="991"/>
    </row>
    <row r="54" spans="1:2" ht="50.25" customHeight="1" x14ac:dyDescent="0.25">
      <c r="A54" s="997" t="s">
        <v>336</v>
      </c>
      <c r="B54" s="998" t="e">
        <f>DATE(YEAR(D19)+1,MONTH(D19),DAY(D19))</f>
        <v>#VALUE!</v>
      </c>
    </row>
    <row r="55" spans="1:2" ht="27" customHeight="1" x14ac:dyDescent="0.25">
      <c r="A55" s="992" t="s">
        <v>337</v>
      </c>
      <c r="B55" s="999" t="e">
        <f>TEXT(B54,"d mmmm yyyy")</f>
        <v>#VALUE!</v>
      </c>
    </row>
    <row r="56" spans="1:2" x14ac:dyDescent="0.25">
      <c r="A56" s="990"/>
      <c r="B56" s="991"/>
    </row>
    <row r="57" spans="1:2" ht="30" customHeight="1" x14ac:dyDescent="0.25">
      <c r="A57" s="997" t="s">
        <v>338</v>
      </c>
      <c r="B57" s="1000" t="e">
        <f>IF(B46=B47,B58,B59)</f>
        <v>#VALUE!</v>
      </c>
    </row>
    <row r="58" spans="1:2" ht="13.8" x14ac:dyDescent="0.25">
      <c r="A58" s="990" t="s">
        <v>339</v>
      </c>
      <c r="B58" s="1001" t="e">
        <f>CONCATENATE(B60,B55)</f>
        <v>#VALUE!</v>
      </c>
    </row>
    <row r="59" spans="1:2" ht="13.8" x14ac:dyDescent="0.25">
      <c r="A59" s="990"/>
      <c r="B59" s="1001" t="e">
        <f>CONCATENATE(B61,B55)</f>
        <v>#VALUE!</v>
      </c>
    </row>
    <row r="60" spans="1:2" ht="42" customHeight="1" x14ac:dyDescent="0.25">
      <c r="A60" s="1002" t="s">
        <v>331</v>
      </c>
      <c r="B60" s="1001" t="s">
        <v>340</v>
      </c>
    </row>
    <row r="61" spans="1:2" ht="39.75" customHeight="1" thickBot="1" x14ac:dyDescent="0.3">
      <c r="A61" s="1003"/>
      <c r="B61" s="1004" t="s">
        <v>341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746D631F-ECCA-4D60-BEBA-6807456F725C}">
      <formula1>"SERTIFIKAT KALIBRASI,SERTIFIKAT PENGUJIAN"</formula1>
    </dataValidation>
    <dataValidation type="list" allowBlank="1" showInputMessage="1" showErrorMessage="1" sqref="J11" xr:uid="{BA34F54D-74FA-4867-92D4-68CC352062AC}">
      <formula1>$M$2:$M$22</formula1>
    </dataValidation>
    <dataValidation type="list" allowBlank="1" showInputMessage="1" showErrorMessage="1" sqref="J12" xr:uid="{C63E98C9-4AC0-44CD-82C8-39EC107185D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view="pageBreakPreview" topLeftCell="A10" zoomScale="98" zoomScaleNormal="86" zoomScaleSheetLayoutView="98" workbookViewId="0">
      <selection activeCell="F31" sqref="F31"/>
    </sheetView>
  </sheetViews>
  <sheetFormatPr defaultRowHeight="13.2" x14ac:dyDescent="0.25"/>
  <cols>
    <col min="1" max="1" width="9.33203125" bestFit="1" customWidth="1"/>
    <col min="2" max="2" width="14.33203125" bestFit="1" customWidth="1"/>
    <col min="3" max="3" width="15.5546875" customWidth="1"/>
    <col min="7" max="7" width="9.33203125" bestFit="1" customWidth="1"/>
    <col min="8" max="8" width="14.6640625" customWidth="1"/>
    <col min="9" max="9" width="14" bestFit="1" customWidth="1"/>
    <col min="10" max="11" width="9.33203125" bestFit="1" customWidth="1"/>
    <col min="12" max="13" width="10.6640625" customWidth="1"/>
    <col min="14" max="14" width="16.5546875" customWidth="1"/>
    <col min="15" max="15" width="15.5546875" customWidth="1"/>
    <col min="16" max="18" width="9.33203125" bestFit="1" customWidth="1"/>
    <col min="20" max="20" width="11.33203125" customWidth="1"/>
    <col min="21" max="21" width="11.44140625" customWidth="1"/>
    <col min="22" max="22" width="11.6640625" customWidth="1"/>
    <col min="23" max="23" width="9.6640625" bestFit="1" customWidth="1"/>
    <col min="24" max="25" width="9.33203125" bestFit="1" customWidth="1"/>
    <col min="29" max="29" width="15.44140625" customWidth="1"/>
  </cols>
  <sheetData>
    <row r="1" spans="1:28" x14ac:dyDescent="0.25">
      <c r="A1" s="1"/>
      <c r="C1" s="1478" t="s">
        <v>342</v>
      </c>
      <c r="D1" s="1479"/>
      <c r="E1" s="1479"/>
      <c r="F1" s="1479"/>
      <c r="G1" s="1479"/>
      <c r="H1" s="1479"/>
      <c r="I1" s="1479"/>
      <c r="J1" s="1479"/>
      <c r="K1" s="1479"/>
      <c r="L1" s="1479"/>
      <c r="M1" s="1479"/>
      <c r="N1" s="1479"/>
      <c r="O1" s="1479"/>
      <c r="P1" s="1479"/>
      <c r="Q1" s="1479"/>
      <c r="R1" s="1479"/>
      <c r="S1" s="1479"/>
      <c r="T1" s="1479"/>
      <c r="U1" s="1479"/>
      <c r="V1" s="1479"/>
      <c r="W1" s="1479"/>
      <c r="X1" s="1479"/>
      <c r="Y1" s="1480"/>
    </row>
    <row r="2" spans="1:28" ht="15.6" thickBot="1" x14ac:dyDescent="0.3">
      <c r="A2" s="1"/>
      <c r="C2" s="659"/>
      <c r="D2" s="282"/>
      <c r="E2" s="282"/>
      <c r="F2" s="282"/>
      <c r="G2" s="282"/>
      <c r="H2" s="282"/>
      <c r="I2" s="282"/>
      <c r="J2" s="282"/>
      <c r="K2" s="282"/>
      <c r="L2" s="282"/>
      <c r="M2" s="283"/>
      <c r="O2" s="284" t="s">
        <v>343</v>
      </c>
      <c r="P2" s="286"/>
      <c r="Q2" s="321">
        <f>IF(ID!B54=' Input Data Tekanan Hisap'!A147,1,0.5)</f>
        <v>0.5</v>
      </c>
      <c r="R2" s="282"/>
      <c r="S2" s="282"/>
      <c r="T2" s="282"/>
      <c r="U2" s="282"/>
      <c r="V2" s="282"/>
      <c r="W2" s="282"/>
      <c r="X2" s="282"/>
      <c r="Y2" s="283"/>
    </row>
    <row r="3" spans="1:28" ht="14.4" x14ac:dyDescent="0.3">
      <c r="A3" s="1"/>
      <c r="C3" s="285" t="s">
        <v>62</v>
      </c>
      <c r="M3" s="2"/>
      <c r="O3" s="3" t="s">
        <v>344</v>
      </c>
      <c r="P3" s="4" t="s">
        <v>345</v>
      </c>
      <c r="Q3" s="5" t="s">
        <v>346</v>
      </c>
      <c r="R3" s="4" t="s">
        <v>347</v>
      </c>
      <c r="S3" s="6" t="s">
        <v>348</v>
      </c>
      <c r="T3" s="4" t="s">
        <v>349</v>
      </c>
      <c r="U3" s="5" t="s">
        <v>350</v>
      </c>
      <c r="V3" s="4" t="s">
        <v>351</v>
      </c>
      <c r="W3" s="5" t="s">
        <v>352</v>
      </c>
      <c r="X3" s="4" t="s">
        <v>353</v>
      </c>
      <c r="Y3" s="7" t="s">
        <v>354</v>
      </c>
    </row>
    <row r="4" spans="1:28" ht="14.4" x14ac:dyDescent="0.3">
      <c r="A4" s="1"/>
      <c r="C4" s="3" t="s">
        <v>344</v>
      </c>
      <c r="D4" s="4" t="s">
        <v>345</v>
      </c>
      <c r="E4" s="5" t="s">
        <v>346</v>
      </c>
      <c r="F4" s="4" t="s">
        <v>347</v>
      </c>
      <c r="G4" s="6" t="s">
        <v>348</v>
      </c>
      <c r="H4" s="4" t="s">
        <v>349</v>
      </c>
      <c r="I4" s="5" t="s">
        <v>350</v>
      </c>
      <c r="J4" s="4" t="s">
        <v>351</v>
      </c>
      <c r="K4" s="5" t="s">
        <v>352</v>
      </c>
      <c r="L4" s="4" t="s">
        <v>353</v>
      </c>
      <c r="M4" s="7" t="s">
        <v>354</v>
      </c>
      <c r="O4" s="8" t="s">
        <v>355</v>
      </c>
      <c r="P4" s="9" t="s">
        <v>356</v>
      </c>
      <c r="Q4" s="10" t="s">
        <v>357</v>
      </c>
      <c r="R4" s="11">
        <f>ID!M35</f>
        <v>0</v>
      </c>
      <c r="S4" s="12">
        <f>SQRT(6)</f>
        <v>2.4494897427831779</v>
      </c>
      <c r="T4" s="9">
        <v>5</v>
      </c>
      <c r="U4" s="13">
        <f>R4/S4</f>
        <v>0</v>
      </c>
      <c r="V4" s="14">
        <v>1</v>
      </c>
      <c r="W4" s="13">
        <f>U4*V4</f>
        <v>0</v>
      </c>
      <c r="X4" s="22">
        <f>W4^2</f>
        <v>0</v>
      </c>
      <c r="Y4" s="22">
        <f>W4^4/T4</f>
        <v>0</v>
      </c>
      <c r="AA4" s="633"/>
      <c r="AB4" s="633"/>
    </row>
    <row r="5" spans="1:28" x14ac:dyDescent="0.25">
      <c r="A5" s="1"/>
      <c r="C5" s="8" t="s">
        <v>355</v>
      </c>
      <c r="D5" s="9" t="s">
        <v>358</v>
      </c>
      <c r="E5" s="10" t="s">
        <v>357</v>
      </c>
      <c r="F5" s="11">
        <f>ID!M32</f>
        <v>0</v>
      </c>
      <c r="G5" s="12">
        <f>SQRT(6)</f>
        <v>2.4494897427831779</v>
      </c>
      <c r="H5" s="9">
        <v>5</v>
      </c>
      <c r="I5" s="13">
        <f>F5/G5</f>
        <v>0</v>
      </c>
      <c r="J5" s="14">
        <v>1</v>
      </c>
      <c r="K5" s="13">
        <f>I5*J5</f>
        <v>0</v>
      </c>
      <c r="L5" s="15">
        <f>K5^2</f>
        <v>0</v>
      </c>
      <c r="M5" s="16">
        <f>K5^4/H5</f>
        <v>0</v>
      </c>
      <c r="O5" s="377" t="s">
        <v>359</v>
      </c>
      <c r="P5" s="379" t="s">
        <v>356</v>
      </c>
      <c r="Q5" s="380" t="s">
        <v>360</v>
      </c>
      <c r="R5" s="381">
        <f>0.5*Q2</f>
        <v>0.25</v>
      </c>
      <c r="S5" s="382">
        <f>SQRT(3)</f>
        <v>1.7320508075688772</v>
      </c>
      <c r="T5" s="379">
        <f t="shared" ref="T5:T7" si="0">0.5*(100/10)^2</f>
        <v>50</v>
      </c>
      <c r="U5" s="383">
        <f>R5/S5</f>
        <v>0.14433756729740646</v>
      </c>
      <c r="V5" s="379">
        <v>1</v>
      </c>
      <c r="W5" s="383">
        <f>U5*V5</f>
        <v>0.14433756729740646</v>
      </c>
      <c r="X5" s="384">
        <f t="shared" ref="X5" si="1">W5^2</f>
        <v>2.0833333333333339E-2</v>
      </c>
      <c r="Y5" s="384">
        <f t="shared" ref="Y5" si="2">W5^4/T5</f>
        <v>8.6805555555555606E-6</v>
      </c>
      <c r="AA5" s="634"/>
      <c r="AB5" s="634"/>
    </row>
    <row r="6" spans="1:28" x14ac:dyDescent="0.25">
      <c r="A6" s="1"/>
      <c r="C6" s="377" t="s">
        <v>359</v>
      </c>
      <c r="D6" s="379" t="s">
        <v>358</v>
      </c>
      <c r="E6" s="380" t="s">
        <v>360</v>
      </c>
      <c r="F6" s="381">
        <f>0.5</f>
        <v>0.5</v>
      </c>
      <c r="G6" s="382">
        <f>SQRT(3)</f>
        <v>1.7320508075688772</v>
      </c>
      <c r="H6" s="379">
        <f>0.5*(100/10)^2</f>
        <v>50</v>
      </c>
      <c r="I6" s="383">
        <f>F6/G6</f>
        <v>0.28867513459481292</v>
      </c>
      <c r="J6" s="379">
        <v>1</v>
      </c>
      <c r="K6" s="383">
        <f>I6*J6</f>
        <v>0.28867513459481292</v>
      </c>
      <c r="L6" s="384">
        <f>K6^2</f>
        <v>8.3333333333333356E-2</v>
      </c>
      <c r="M6" s="400">
        <f>K6^4/H6</f>
        <v>1.3888888888888897E-4</v>
      </c>
      <c r="O6" s="393" t="s">
        <v>361</v>
      </c>
      <c r="P6" s="379" t="s">
        <v>356</v>
      </c>
      <c r="Q6" s="379" t="s">
        <v>360</v>
      </c>
      <c r="R6" s="394">
        <f>'Input Data Tekanan Semprot'!B98</f>
        <v>1.0981031788332531E-3</v>
      </c>
      <c r="S6" s="394">
        <f>SQRT(3)</f>
        <v>1.7320508075688772</v>
      </c>
      <c r="T6" s="379">
        <f t="shared" si="0"/>
        <v>50</v>
      </c>
      <c r="U6" s="395">
        <f>R6/S6</f>
        <v>6.3399016589736244E-4</v>
      </c>
      <c r="V6" s="379">
        <v>1</v>
      </c>
      <c r="W6" s="395">
        <f>U6*V6</f>
        <v>6.3399016589736244E-4</v>
      </c>
      <c r="X6" s="390">
        <f>W6^2</f>
        <v>4.0194353045456516E-7</v>
      </c>
      <c r="Y6" s="391">
        <f>W6^4/T6</f>
        <v>3.2311720334855989E-15</v>
      </c>
      <c r="AA6" s="165"/>
      <c r="AB6" s="165"/>
    </row>
    <row r="7" spans="1:28" x14ac:dyDescent="0.25">
      <c r="A7" s="1"/>
      <c r="C7" s="357" t="s">
        <v>361</v>
      </c>
      <c r="D7" s="353" t="s">
        <v>358</v>
      </c>
      <c r="E7" s="353" t="s">
        <v>360</v>
      </c>
      <c r="F7" s="358">
        <v>0</v>
      </c>
      <c r="G7" s="358">
        <f>SQRT(3)</f>
        <v>1.7320508075688772</v>
      </c>
      <c r="H7" s="353">
        <v>50</v>
      </c>
      <c r="I7" s="359">
        <f>F7/G7</f>
        <v>0</v>
      </c>
      <c r="J7" s="353">
        <v>1</v>
      </c>
      <c r="K7" s="359">
        <f>I7*J7</f>
        <v>0</v>
      </c>
      <c r="L7" s="356">
        <f>K7^2</f>
        <v>0</v>
      </c>
      <c r="M7" s="360">
        <f>K7^4/H7</f>
        <v>0</v>
      </c>
      <c r="O7" s="378" t="s">
        <v>362</v>
      </c>
      <c r="P7" s="379" t="s">
        <v>356</v>
      </c>
      <c r="Q7" s="380" t="s">
        <v>357</v>
      </c>
      <c r="R7" s="388">
        <f>'Input Data Tekanan Semprot'!B99</f>
        <v>3.6812890618028956E-3</v>
      </c>
      <c r="S7" s="389">
        <v>2</v>
      </c>
      <c r="T7" s="379">
        <f t="shared" si="0"/>
        <v>50</v>
      </c>
      <c r="U7" s="383">
        <f>R7/S7</f>
        <v>1.8406445309014478E-3</v>
      </c>
      <c r="V7" s="379">
        <v>1</v>
      </c>
      <c r="W7" s="383">
        <f>U7*V7</f>
        <v>1.8406445309014478E-3</v>
      </c>
      <c r="X7" s="390">
        <f>W7^2</f>
        <v>3.3879722891374109E-6</v>
      </c>
      <c r="Y7" s="391">
        <f>W7^4/T7</f>
        <v>2.295671246392598E-13</v>
      </c>
    </row>
    <row r="8" spans="1:28" x14ac:dyDescent="0.25">
      <c r="A8" s="1"/>
      <c r="C8" s="361" t="s">
        <v>362</v>
      </c>
      <c r="D8" s="353" t="s">
        <v>358</v>
      </c>
      <c r="E8" s="354" t="s">
        <v>357</v>
      </c>
      <c r="F8" s="362">
        <v>0</v>
      </c>
      <c r="G8" s="363">
        <v>2</v>
      </c>
      <c r="H8" s="353">
        <v>50</v>
      </c>
      <c r="I8" s="355">
        <f>F8/G8</f>
        <v>0</v>
      </c>
      <c r="J8" s="353">
        <v>1</v>
      </c>
      <c r="K8" s="355">
        <f>I8*J8</f>
        <v>0</v>
      </c>
      <c r="L8" s="356">
        <f>K8^2</f>
        <v>0</v>
      </c>
      <c r="M8" s="360">
        <f>K8^4/H8</f>
        <v>0</v>
      </c>
      <c r="O8" s="27"/>
      <c r="P8" s="9"/>
      <c r="Q8" s="9"/>
      <c r="R8" s="9"/>
      <c r="S8" s="24"/>
      <c r="T8" s="9"/>
      <c r="U8" s="25"/>
      <c r="V8" s="9"/>
      <c r="W8" s="25"/>
      <c r="X8" s="22"/>
      <c r="Y8" s="26"/>
    </row>
    <row r="9" spans="1:28" ht="14.4" x14ac:dyDescent="0.3">
      <c r="A9" s="1"/>
      <c r="C9" s="27"/>
      <c r="D9" s="9"/>
      <c r="E9" s="9"/>
      <c r="F9" s="9"/>
      <c r="G9" s="24"/>
      <c r="H9" s="9"/>
      <c r="I9" s="25"/>
      <c r="J9" s="9"/>
      <c r="K9" s="25"/>
      <c r="L9" s="22"/>
      <c r="M9" s="26"/>
      <c r="O9" s="30" t="s">
        <v>363</v>
      </c>
      <c r="P9" s="31"/>
      <c r="Q9" s="31"/>
      <c r="R9" s="31"/>
      <c r="S9" s="32"/>
      <c r="T9" s="31"/>
      <c r="U9" s="31"/>
      <c r="V9" s="31"/>
      <c r="W9" s="31"/>
      <c r="X9" s="33">
        <f>SUM(X4:X7)</f>
        <v>2.0837123249152933E-2</v>
      </c>
      <c r="Y9" s="34">
        <f>SUM(Y4:Y7)</f>
        <v>8.680555788353857E-6</v>
      </c>
    </row>
    <row r="10" spans="1:28" ht="16.2" x14ac:dyDescent="0.35">
      <c r="A10" s="1"/>
      <c r="C10" s="30" t="s">
        <v>363</v>
      </c>
      <c r="D10" s="31"/>
      <c r="E10" s="31"/>
      <c r="F10" s="31"/>
      <c r="G10" s="32"/>
      <c r="H10" s="31"/>
      <c r="I10" s="31"/>
      <c r="J10" s="31"/>
      <c r="K10" s="31"/>
      <c r="L10" s="33">
        <f>SUM(L5:L8)</f>
        <v>8.3333333333333356E-2</v>
      </c>
      <c r="M10" s="34">
        <f>SUM(M5:M8)</f>
        <v>1.3888888888888897E-4</v>
      </c>
      <c r="O10" s="35" t="s">
        <v>364</v>
      </c>
      <c r="P10" s="36"/>
      <c r="Q10" s="36"/>
      <c r="R10" s="36"/>
      <c r="S10" s="37"/>
      <c r="T10" s="36"/>
      <c r="U10" s="38" t="s">
        <v>365</v>
      </c>
      <c r="V10" s="36"/>
      <c r="W10" s="36"/>
      <c r="X10" s="39">
        <f>SQRT(X9)</f>
        <v>0.14435069535389475</v>
      </c>
      <c r="Y10" s="40"/>
    </row>
    <row r="11" spans="1:28" ht="18" x14ac:dyDescent="0.35">
      <c r="A11" s="1"/>
      <c r="C11" s="35" t="s">
        <v>364</v>
      </c>
      <c r="D11" s="36"/>
      <c r="E11" s="36"/>
      <c r="F11" s="36"/>
      <c r="G11" s="37"/>
      <c r="H11" s="36"/>
      <c r="I11" s="38" t="s">
        <v>365</v>
      </c>
      <c r="J11" s="36"/>
      <c r="K11" s="36"/>
      <c r="L11" s="39">
        <f>SQRT(L10)</f>
        <v>0.28867513459481292</v>
      </c>
      <c r="M11" s="40"/>
      <c r="O11" s="30" t="s">
        <v>366</v>
      </c>
      <c r="P11" s="41"/>
      <c r="Q11" s="41"/>
      <c r="R11" s="41"/>
      <c r="S11" s="42"/>
      <c r="T11" s="41"/>
      <c r="U11" s="43" t="s">
        <v>367</v>
      </c>
      <c r="V11" s="41"/>
      <c r="W11" s="41"/>
      <c r="X11" s="44">
        <f>X10^4/(Y9)</f>
        <v>50.018191909198784</v>
      </c>
      <c r="Y11" s="45"/>
    </row>
    <row r="12" spans="1:28" ht="18" x14ac:dyDescent="0.35">
      <c r="A12" s="1"/>
      <c r="C12" s="30" t="s">
        <v>366</v>
      </c>
      <c r="D12" s="41"/>
      <c r="E12" s="41"/>
      <c r="F12" s="41"/>
      <c r="G12" s="42"/>
      <c r="H12" s="41"/>
      <c r="I12" s="43" t="s">
        <v>367</v>
      </c>
      <c r="J12" s="41"/>
      <c r="K12" s="41"/>
      <c r="L12" s="44">
        <f>L11^4/(M10)</f>
        <v>50</v>
      </c>
      <c r="M12" s="45"/>
      <c r="O12" s="35" t="s">
        <v>368</v>
      </c>
      <c r="P12" s="36"/>
      <c r="Q12" s="36"/>
      <c r="R12" s="36"/>
      <c r="S12" s="37"/>
      <c r="T12" s="36"/>
      <c r="U12" s="46" t="s">
        <v>369</v>
      </c>
      <c r="V12" s="36"/>
      <c r="W12" s="36"/>
      <c r="X12" s="47">
        <f>1.95996+(2.37356/X11)+(2.818745/X11^2)+(2.546662/X11^3)+(1.761829/X11^4)+(0.245458/X11^5)+(1.000764/X11^6)</f>
        <v>2.0085612458457005</v>
      </c>
      <c r="Y12" s="40"/>
    </row>
    <row r="13" spans="1:28" ht="15.6" x14ac:dyDescent="0.3">
      <c r="A13" s="1"/>
      <c r="C13" s="35" t="s">
        <v>368</v>
      </c>
      <c r="D13" s="36"/>
      <c r="E13" s="36"/>
      <c r="F13" s="36"/>
      <c r="G13" s="37"/>
      <c r="H13" s="36"/>
      <c r="I13" s="46" t="s">
        <v>369</v>
      </c>
      <c r="J13" s="36"/>
      <c r="K13" s="36"/>
      <c r="L13" s="47">
        <f>1.95996+(2.37356/L12)+(2.818745/L12^2)+(2.546662/L12^3)+(1.761829/L12^4)+(0.245458/L12^5)+(1.000764/L12^6)</f>
        <v>2.008579354038154</v>
      </c>
      <c r="M13" s="40"/>
      <c r="O13" s="48" t="s">
        <v>370</v>
      </c>
      <c r="P13" s="49"/>
      <c r="Q13" s="49"/>
      <c r="R13" s="49"/>
      <c r="S13" s="50"/>
      <c r="T13" s="49"/>
      <c r="U13" s="51" t="s">
        <v>371</v>
      </c>
      <c r="V13" s="49"/>
      <c r="W13" s="49"/>
      <c r="X13" s="623">
        <f>(X10*X12)</f>
        <v>0.28993721249871202</v>
      </c>
      <c r="Y13" s="53" t="s">
        <v>356</v>
      </c>
    </row>
    <row r="14" spans="1:28" ht="15" thickBot="1" x14ac:dyDescent="0.35">
      <c r="A14" s="1"/>
      <c r="C14" s="48" t="s">
        <v>370</v>
      </c>
      <c r="D14" s="49"/>
      <c r="E14" s="49"/>
      <c r="F14" s="49"/>
      <c r="G14" s="50"/>
      <c r="H14" s="49"/>
      <c r="I14" s="51" t="s">
        <v>371</v>
      </c>
      <c r="J14" s="49"/>
      <c r="K14" s="49"/>
      <c r="L14" s="52">
        <f>L11*L13</f>
        <v>0.57982691537132647</v>
      </c>
      <c r="M14" s="53" t="s">
        <v>358</v>
      </c>
      <c r="O14" s="288" t="s">
        <v>372</v>
      </c>
      <c r="P14" s="287"/>
      <c r="Q14" s="54">
        <f>'Input Data Tachometer'!AF35</f>
        <v>0.05</v>
      </c>
      <c r="R14" s="54"/>
      <c r="S14" s="54"/>
      <c r="T14" s="54"/>
      <c r="U14" s="54"/>
      <c r="V14" s="54"/>
      <c r="W14" s="54"/>
      <c r="X14" s="632">
        <f>(X13/PENYELIA!F35)*100</f>
        <v>4.8349445956609483</v>
      </c>
      <c r="Y14" s="416" t="s">
        <v>373</v>
      </c>
    </row>
    <row r="15" spans="1:28" x14ac:dyDescent="0.25">
      <c r="A15" s="1"/>
      <c r="C15" s="285" t="s">
        <v>374</v>
      </c>
      <c r="D15" s="284"/>
      <c r="E15">
        <f>'Input Data Tachometer'!AF35</f>
        <v>0.05</v>
      </c>
      <c r="M15" s="2"/>
      <c r="O15" s="1"/>
      <c r="Y15" s="2"/>
    </row>
    <row r="16" spans="1:28" ht="14.4" x14ac:dyDescent="0.3">
      <c r="A16" s="1"/>
      <c r="C16" s="3" t="s">
        <v>344</v>
      </c>
      <c r="D16" s="4" t="s">
        <v>345</v>
      </c>
      <c r="E16" s="5" t="s">
        <v>346</v>
      </c>
      <c r="F16" s="4" t="s">
        <v>347</v>
      </c>
      <c r="G16" s="6" t="s">
        <v>348</v>
      </c>
      <c r="H16" s="4" t="s">
        <v>349</v>
      </c>
      <c r="I16" s="5" t="s">
        <v>350</v>
      </c>
      <c r="J16" s="4" t="s">
        <v>351</v>
      </c>
      <c r="K16" s="5" t="s">
        <v>352</v>
      </c>
      <c r="L16" s="4" t="s">
        <v>353</v>
      </c>
      <c r="M16" s="7" t="s">
        <v>354</v>
      </c>
      <c r="O16" s="3" t="s">
        <v>344</v>
      </c>
      <c r="P16" s="4" t="s">
        <v>345</v>
      </c>
      <c r="Q16" s="5" t="s">
        <v>346</v>
      </c>
      <c r="R16" s="4" t="s">
        <v>347</v>
      </c>
      <c r="S16" s="6" t="s">
        <v>348</v>
      </c>
      <c r="T16" s="4" t="s">
        <v>349</v>
      </c>
      <c r="U16" s="5" t="s">
        <v>350</v>
      </c>
      <c r="V16" s="4" t="s">
        <v>351</v>
      </c>
      <c r="W16" s="5" t="s">
        <v>352</v>
      </c>
      <c r="X16" s="4" t="s">
        <v>353</v>
      </c>
      <c r="Y16" s="7" t="s">
        <v>354</v>
      </c>
    </row>
    <row r="17" spans="1:25" x14ac:dyDescent="0.25">
      <c r="A17" s="1"/>
      <c r="C17" s="8" t="s">
        <v>355</v>
      </c>
      <c r="D17" s="9" t="s">
        <v>375</v>
      </c>
      <c r="E17" s="10" t="s">
        <v>357</v>
      </c>
      <c r="F17" s="11">
        <f>ID!M34</f>
        <v>0</v>
      </c>
      <c r="G17" s="12">
        <f>SQRT(6)</f>
        <v>2.4494897427831779</v>
      </c>
      <c r="H17" s="9">
        <v>5</v>
      </c>
      <c r="I17" s="13">
        <f>F17/G17</f>
        <v>0</v>
      </c>
      <c r="J17" s="14">
        <v>1</v>
      </c>
      <c r="K17" s="13">
        <f>I17*J17</f>
        <v>0</v>
      </c>
      <c r="L17" s="15">
        <f>K17^2</f>
        <v>0</v>
      </c>
      <c r="M17" s="16">
        <f>K17^4/H17</f>
        <v>0</v>
      </c>
      <c r="O17" s="8" t="s">
        <v>355</v>
      </c>
      <c r="P17" s="9" t="s">
        <v>375</v>
      </c>
      <c r="Q17" s="10" t="s">
        <v>357</v>
      </c>
      <c r="R17" s="11">
        <f>ID!M33</f>
        <v>0</v>
      </c>
      <c r="S17" s="12">
        <f>SQRT(6)</f>
        <v>2.4494897427831779</v>
      </c>
      <c r="T17" s="9">
        <v>5</v>
      </c>
      <c r="U17" s="13">
        <f>R17/S17</f>
        <v>0</v>
      </c>
      <c r="V17" s="14">
        <v>1</v>
      </c>
      <c r="W17" s="13">
        <f>U17*V17</f>
        <v>0</v>
      </c>
      <c r="X17" s="15">
        <f>W17^2</f>
        <v>0</v>
      </c>
      <c r="Y17" s="16">
        <f>W17^4/T17</f>
        <v>0</v>
      </c>
    </row>
    <row r="18" spans="1:25" x14ac:dyDescent="0.25">
      <c r="A18" s="1"/>
      <c r="C18" s="17" t="s">
        <v>359</v>
      </c>
      <c r="D18" s="9" t="s">
        <v>375</v>
      </c>
      <c r="E18" s="18" t="s">
        <v>360</v>
      </c>
      <c r="F18" s="19">
        <f>0.5*E15</f>
        <v>2.5000000000000001E-2</v>
      </c>
      <c r="G18" s="20">
        <f>SQRT(3)</f>
        <v>1.7320508075688772</v>
      </c>
      <c r="H18" s="379">
        <f t="shared" ref="H18:H20" si="3">0.5*(100/10)^2</f>
        <v>50</v>
      </c>
      <c r="I18" s="21">
        <f>F18/G18</f>
        <v>1.4433756729740645E-2</v>
      </c>
      <c r="J18" s="9">
        <v>1</v>
      </c>
      <c r="K18" s="21">
        <f>I18*J18</f>
        <v>1.4433756729740645E-2</v>
      </c>
      <c r="L18" s="22">
        <f>K18^2</f>
        <v>2.0833333333333337E-4</v>
      </c>
      <c r="M18" s="23">
        <f>K18^4/H18</f>
        <v>8.6805555555555585E-10</v>
      </c>
      <c r="O18" s="17" t="s">
        <v>359</v>
      </c>
      <c r="P18" s="9" t="s">
        <v>375</v>
      </c>
      <c r="Q18" s="18" t="s">
        <v>360</v>
      </c>
      <c r="R18" s="19">
        <f>0.5*Q14</f>
        <v>2.5000000000000001E-2</v>
      </c>
      <c r="S18" s="20">
        <f>SQRT(3)</f>
        <v>1.7320508075688772</v>
      </c>
      <c r="T18" s="379">
        <f t="shared" ref="T18:T20" si="4">0.5*(100/10)^2</f>
        <v>50</v>
      </c>
      <c r="U18" s="21">
        <f>R18/S18</f>
        <v>1.4433756729740645E-2</v>
      </c>
      <c r="V18" s="9">
        <v>1</v>
      </c>
      <c r="W18" s="21">
        <f>U18*V18</f>
        <v>1.4433756729740645E-2</v>
      </c>
      <c r="X18" s="22">
        <f>W18^2</f>
        <v>2.0833333333333337E-4</v>
      </c>
      <c r="Y18" s="23">
        <f>W18^4/T18</f>
        <v>8.6805555555555585E-10</v>
      </c>
    </row>
    <row r="19" spans="1:25" x14ac:dyDescent="0.25">
      <c r="A19" s="1"/>
      <c r="C19" s="8" t="s">
        <v>361</v>
      </c>
      <c r="D19" s="9" t="s">
        <v>375</v>
      </c>
      <c r="E19" s="9" t="s">
        <v>360</v>
      </c>
      <c r="F19" s="24">
        <f>'Input Data Tachometer'!W7</f>
        <v>0.35239730432063354</v>
      </c>
      <c r="G19" s="24">
        <f>SQRT(3)</f>
        <v>1.7320508075688772</v>
      </c>
      <c r="H19" s="379">
        <f t="shared" si="3"/>
        <v>50</v>
      </c>
      <c r="I19" s="25">
        <f>F19/G19</f>
        <v>0.20345667851121627</v>
      </c>
      <c r="J19" s="9">
        <v>1</v>
      </c>
      <c r="K19" s="25">
        <f>I19*J19</f>
        <v>0.20345667851121627</v>
      </c>
      <c r="L19" s="22">
        <f>K19^2</f>
        <v>4.1394620030816412E-2</v>
      </c>
      <c r="M19" s="26">
        <f>K19^4/H19</f>
        <v>3.4270291349913347E-5</v>
      </c>
      <c r="O19" s="8" t="s">
        <v>361</v>
      </c>
      <c r="P19" s="9" t="s">
        <v>375</v>
      </c>
      <c r="Q19" s="9" t="s">
        <v>360</v>
      </c>
      <c r="R19" s="24">
        <f>'Input Data Tachometer'!AF7</f>
        <v>0.74950486018839257</v>
      </c>
      <c r="S19" s="24">
        <f>SQRT(3)</f>
        <v>1.7320508075688772</v>
      </c>
      <c r="T19" s="379">
        <f t="shared" si="4"/>
        <v>50</v>
      </c>
      <c r="U19" s="25">
        <f>R19/S19</f>
        <v>0.43272683278870128</v>
      </c>
      <c r="V19" s="9">
        <v>1</v>
      </c>
      <c r="W19" s="25">
        <f>U19*V19</f>
        <v>0.43272683278870128</v>
      </c>
      <c r="X19" s="22">
        <f>W19^2</f>
        <v>0.18725251181534064</v>
      </c>
      <c r="Y19" s="26">
        <f>W19^4/T19</f>
        <v>7.0127006362308579E-4</v>
      </c>
    </row>
    <row r="20" spans="1:25" x14ac:dyDescent="0.25">
      <c r="A20" s="1"/>
      <c r="C20" s="27" t="s">
        <v>362</v>
      </c>
      <c r="D20" s="9" t="s">
        <v>375</v>
      </c>
      <c r="E20" s="18" t="s">
        <v>357</v>
      </c>
      <c r="F20" s="28">
        <f>'Input Data Tachometer'!W8</f>
        <v>0.49058777662915243</v>
      </c>
      <c r="G20" s="29">
        <v>2</v>
      </c>
      <c r="H20" s="379">
        <f t="shared" si="3"/>
        <v>50</v>
      </c>
      <c r="I20" s="21">
        <f>F20/G20</f>
        <v>0.24529388831457621</v>
      </c>
      <c r="J20" s="9">
        <v>1</v>
      </c>
      <c r="K20" s="21">
        <f>I20*J20</f>
        <v>0.24529388831457621</v>
      </c>
      <c r="L20" s="22">
        <f>K20^2</f>
        <v>6.0169091644483787E-2</v>
      </c>
      <c r="M20" s="26">
        <f>K20^4/H20</f>
        <v>7.2406391786445772E-5</v>
      </c>
      <c r="O20" s="27" t="s">
        <v>362</v>
      </c>
      <c r="P20" s="9" t="s">
        <v>375</v>
      </c>
      <c r="Q20" s="18" t="s">
        <v>357</v>
      </c>
      <c r="R20" s="28">
        <f>'Input Data Tachometer'!AF8</f>
        <v>1.2068807138532662</v>
      </c>
      <c r="S20" s="29">
        <v>2</v>
      </c>
      <c r="T20" s="379">
        <f t="shared" si="4"/>
        <v>50</v>
      </c>
      <c r="U20" s="21">
        <f>R20/S20</f>
        <v>0.60344035692663311</v>
      </c>
      <c r="V20" s="9">
        <v>1</v>
      </c>
      <c r="W20" s="21">
        <f>U20*V20</f>
        <v>0.60344035692663311</v>
      </c>
      <c r="X20" s="22">
        <f>W20^2</f>
        <v>0.36414026436774238</v>
      </c>
      <c r="Y20" s="26">
        <f>W20^4/T20</f>
        <v>2.651962642676186E-3</v>
      </c>
    </row>
    <row r="21" spans="1:25" x14ac:dyDescent="0.25">
      <c r="A21" s="1"/>
      <c r="C21" s="27"/>
      <c r="D21" s="9"/>
      <c r="E21" s="9"/>
      <c r="F21" s="9"/>
      <c r="G21" s="24"/>
      <c r="H21" s="9"/>
      <c r="I21" s="25"/>
      <c r="J21" s="9"/>
      <c r="K21" s="25"/>
      <c r="L21" s="22"/>
      <c r="M21" s="26"/>
      <c r="O21" s="27"/>
      <c r="P21" s="9"/>
      <c r="Q21" s="9"/>
      <c r="R21" s="9"/>
      <c r="S21" s="24"/>
      <c r="T21" s="9"/>
      <c r="U21" s="25"/>
      <c r="V21" s="9"/>
      <c r="W21" s="25"/>
      <c r="X21" s="22"/>
      <c r="Y21" s="26"/>
    </row>
    <row r="22" spans="1:25" ht="14.4" x14ac:dyDescent="0.3">
      <c r="A22" s="1"/>
      <c r="C22" s="30" t="s">
        <v>363</v>
      </c>
      <c r="D22" s="31"/>
      <c r="E22" s="31"/>
      <c r="F22" s="31"/>
      <c r="G22" s="32"/>
      <c r="H22" s="31"/>
      <c r="I22" s="31"/>
      <c r="J22" s="31"/>
      <c r="K22" s="31"/>
      <c r="L22" s="33">
        <f>SUM(L17:L20)</f>
        <v>0.10177204500863353</v>
      </c>
      <c r="M22" s="34">
        <f>SUM(M17:M20)</f>
        <v>1.0667755119191468E-4</v>
      </c>
      <c r="O22" s="30" t="s">
        <v>363</v>
      </c>
      <c r="P22" s="31"/>
      <c r="Q22" s="31"/>
      <c r="R22" s="31"/>
      <c r="S22" s="32"/>
      <c r="T22" s="31"/>
      <c r="U22" s="31"/>
      <c r="V22" s="31"/>
      <c r="W22" s="31"/>
      <c r="X22" s="33">
        <f>SUM(X17:X20)</f>
        <v>0.55160110951641639</v>
      </c>
      <c r="Y22" s="34">
        <f>SUM(Y17:Y20)</f>
        <v>3.3532335743548273E-3</v>
      </c>
    </row>
    <row r="23" spans="1:25" ht="16.2" x14ac:dyDescent="0.35">
      <c r="A23" s="1"/>
      <c r="C23" s="35" t="s">
        <v>364</v>
      </c>
      <c r="D23" s="36"/>
      <c r="E23" s="36"/>
      <c r="F23" s="36"/>
      <c r="G23" s="37"/>
      <c r="H23" s="36"/>
      <c r="I23" s="38" t="s">
        <v>365</v>
      </c>
      <c r="J23" s="36"/>
      <c r="K23" s="36"/>
      <c r="L23" s="39">
        <f>SQRT(L22)</f>
        <v>0.3190173114560298</v>
      </c>
      <c r="M23" s="40"/>
      <c r="O23" s="35" t="s">
        <v>364</v>
      </c>
      <c r="P23" s="36"/>
      <c r="Q23" s="36"/>
      <c r="R23" s="36"/>
      <c r="S23" s="37"/>
      <c r="T23" s="36"/>
      <c r="U23" s="38" t="s">
        <v>365</v>
      </c>
      <c r="V23" s="36"/>
      <c r="W23" s="36"/>
      <c r="X23" s="39">
        <f>SQRT(X22)</f>
        <v>0.74269853205484149</v>
      </c>
      <c r="Y23" s="40"/>
    </row>
    <row r="24" spans="1:25" s="165" customFormat="1" ht="18" x14ac:dyDescent="0.35">
      <c r="A24" s="703"/>
      <c r="C24" s="704" t="s">
        <v>366</v>
      </c>
      <c r="D24" s="705"/>
      <c r="E24" s="705"/>
      <c r="F24" s="705"/>
      <c r="G24" s="706"/>
      <c r="H24" s="705"/>
      <c r="I24" s="707" t="s">
        <v>367</v>
      </c>
      <c r="J24" s="705"/>
      <c r="K24" s="705"/>
      <c r="L24" s="708">
        <f>L23^4/(M22)</f>
        <v>97.092115721759711</v>
      </c>
      <c r="M24" s="709"/>
      <c r="O24" s="704" t="s">
        <v>366</v>
      </c>
      <c r="P24" s="705"/>
      <c r="Q24" s="705"/>
      <c r="R24" s="705"/>
      <c r="S24" s="706"/>
      <c r="T24" s="705"/>
      <c r="U24" s="707" t="s">
        <v>367</v>
      </c>
      <c r="V24" s="705"/>
      <c r="W24" s="705"/>
      <c r="X24" s="708">
        <f>X23^4/(Y22)</f>
        <v>90.737426210544513</v>
      </c>
      <c r="Y24" s="709"/>
    </row>
    <row r="25" spans="1:25" ht="15.6" x14ac:dyDescent="0.3">
      <c r="A25" s="1"/>
      <c r="C25" s="35" t="s">
        <v>368</v>
      </c>
      <c r="D25" s="36"/>
      <c r="E25" s="36"/>
      <c r="F25" s="36"/>
      <c r="G25" s="37"/>
      <c r="H25" s="36"/>
      <c r="I25" s="46" t="s">
        <v>369</v>
      </c>
      <c r="J25" s="36"/>
      <c r="K25" s="36"/>
      <c r="L25" s="47">
        <f>1.95996+(2.37356/L24)+(2.818745/L24^2)+(2.546662/L24^3)+(1.761829/L24^4)+(0.245458/L24^5)+(1.000764/L24^6)</f>
        <v>1.9847082889411791</v>
      </c>
      <c r="M25" s="40"/>
      <c r="O25" s="35" t="s">
        <v>368</v>
      </c>
      <c r="P25" s="36"/>
      <c r="Q25" s="36"/>
      <c r="R25" s="36"/>
      <c r="S25" s="37"/>
      <c r="T25" s="36"/>
      <c r="U25" s="46" t="s">
        <v>369</v>
      </c>
      <c r="V25" s="36"/>
      <c r="W25" s="36"/>
      <c r="X25" s="47">
        <f>1.95996+(2.37356/X24)+(2.818745/X24^2)+(2.546662/X24^3)+(1.761829/X24^4)+(0.245458/X24^5)+(1.000764/X24^6)</f>
        <v>1.9864643503087649</v>
      </c>
      <c r="Y25" s="40"/>
    </row>
    <row r="26" spans="1:25" ht="15" thickBot="1" x14ac:dyDescent="0.35">
      <c r="A26" s="1"/>
      <c r="C26" s="48" t="s">
        <v>370</v>
      </c>
      <c r="D26" s="49"/>
      <c r="E26" s="49"/>
      <c r="F26" s="49"/>
      <c r="G26" s="50"/>
      <c r="H26" s="49"/>
      <c r="I26" s="51" t="s">
        <v>371</v>
      </c>
      <c r="J26" s="49"/>
      <c r="K26" s="49"/>
      <c r="L26" s="52">
        <f>L23*L25</f>
        <v>0.63315630236251208</v>
      </c>
      <c r="M26" s="53" t="s">
        <v>375</v>
      </c>
      <c r="O26" s="225" t="s">
        <v>370</v>
      </c>
      <c r="P26" s="226"/>
      <c r="Q26" s="226"/>
      <c r="R26" s="226"/>
      <c r="S26" s="227"/>
      <c r="T26" s="226"/>
      <c r="U26" s="228" t="s">
        <v>371</v>
      </c>
      <c r="V26" s="226"/>
      <c r="W26" s="226"/>
      <c r="X26" s="229">
        <f>X23*X25</f>
        <v>1.4753441569535941</v>
      </c>
      <c r="Y26" s="230" t="s">
        <v>375</v>
      </c>
    </row>
    <row r="27" spans="1:25" ht="17.25" customHeight="1" x14ac:dyDescent="0.25">
      <c r="A27" s="1"/>
      <c r="C27" s="1482" t="s">
        <v>376</v>
      </c>
      <c r="D27" s="1483"/>
      <c r="E27" s="1483"/>
      <c r="F27" s="766">
        <f>' Input Data Tekanan Hisap'!L166</f>
        <v>0.5</v>
      </c>
      <c r="M27" s="2"/>
      <c r="O27" s="1481" t="s">
        <v>377</v>
      </c>
      <c r="P27" s="1481"/>
      <c r="Q27">
        <f>F27</f>
        <v>0.5</v>
      </c>
    </row>
    <row r="28" spans="1:25" ht="14.4" x14ac:dyDescent="0.3">
      <c r="A28" s="1"/>
      <c r="C28" s="3" t="s">
        <v>344</v>
      </c>
      <c r="D28" s="4" t="s">
        <v>345</v>
      </c>
      <c r="E28" s="5" t="s">
        <v>346</v>
      </c>
      <c r="F28" s="4" t="s">
        <v>347</v>
      </c>
      <c r="G28" s="6" t="s">
        <v>348</v>
      </c>
      <c r="H28" s="4" t="s">
        <v>349</v>
      </c>
      <c r="I28" s="5" t="s">
        <v>350</v>
      </c>
      <c r="J28" s="4" t="s">
        <v>351</v>
      </c>
      <c r="K28" s="5" t="s">
        <v>352</v>
      </c>
      <c r="L28" s="4" t="s">
        <v>353</v>
      </c>
      <c r="M28" s="7" t="s">
        <v>354</v>
      </c>
      <c r="O28" s="3" t="s">
        <v>344</v>
      </c>
      <c r="P28" s="4" t="s">
        <v>345</v>
      </c>
      <c r="Q28" s="5" t="s">
        <v>346</v>
      </c>
      <c r="R28" s="4" t="s">
        <v>347</v>
      </c>
      <c r="S28" s="6" t="s">
        <v>348</v>
      </c>
      <c r="T28" s="4" t="s">
        <v>349</v>
      </c>
      <c r="U28" s="5" t="s">
        <v>350</v>
      </c>
      <c r="V28" s="4" t="s">
        <v>351</v>
      </c>
      <c r="W28" s="5" t="s">
        <v>352</v>
      </c>
      <c r="X28" s="4" t="s">
        <v>353</v>
      </c>
      <c r="Y28" s="7" t="s">
        <v>354</v>
      </c>
    </row>
    <row r="29" spans="1:25" x14ac:dyDescent="0.25">
      <c r="A29" s="1"/>
      <c r="C29" s="8" t="s">
        <v>355</v>
      </c>
      <c r="D29" s="9" t="s">
        <v>199</v>
      </c>
      <c r="E29" s="10" t="s">
        <v>357</v>
      </c>
      <c r="F29" s="11">
        <f>ID!M36</f>
        <v>0</v>
      </c>
      <c r="G29" s="12">
        <f>SQRT(6)</f>
        <v>2.4494897427831779</v>
      </c>
      <c r="H29" s="9">
        <v>5</v>
      </c>
      <c r="I29" s="13">
        <f>F29/G29</f>
        <v>0</v>
      </c>
      <c r="J29" s="14">
        <v>1</v>
      </c>
      <c r="K29" s="13">
        <f>I29*J29</f>
        <v>0</v>
      </c>
      <c r="L29" s="15">
        <f>K29^2</f>
        <v>0</v>
      </c>
      <c r="M29" s="16">
        <f>K29^4/H29</f>
        <v>0</v>
      </c>
      <c r="O29" s="8" t="s">
        <v>355</v>
      </c>
      <c r="P29" s="9" t="s">
        <v>199</v>
      </c>
      <c r="Q29" s="10" t="s">
        <v>357</v>
      </c>
      <c r="R29" s="11">
        <f>ID!M37</f>
        <v>0.40824829046386296</v>
      </c>
      <c r="S29" s="12">
        <f>SQRT(6)</f>
        <v>2.4494897427831779</v>
      </c>
      <c r="T29" s="9">
        <v>5</v>
      </c>
      <c r="U29" s="13">
        <f>R29/S29</f>
        <v>0.16666666666666666</v>
      </c>
      <c r="V29" s="14">
        <v>1</v>
      </c>
      <c r="W29" s="13">
        <f>U29*V29</f>
        <v>0.16666666666666666</v>
      </c>
      <c r="X29" s="15">
        <f>W29^2</f>
        <v>2.7777777777777776E-2</v>
      </c>
      <c r="Y29" s="16">
        <f>W29^4/T29</f>
        <v>1.5432098765432098E-4</v>
      </c>
    </row>
    <row r="30" spans="1:25" x14ac:dyDescent="0.25">
      <c r="A30" s="1"/>
      <c r="C30" s="17" t="s">
        <v>359</v>
      </c>
      <c r="D30" s="9" t="s">
        <v>199</v>
      </c>
      <c r="E30" s="18" t="s">
        <v>360</v>
      </c>
      <c r="F30" s="19">
        <f>0.5*F27</f>
        <v>0.25</v>
      </c>
      <c r="G30" s="20">
        <f>SQRT(3)</f>
        <v>1.7320508075688772</v>
      </c>
      <c r="H30" s="379">
        <f t="shared" ref="H30:H32" si="5">0.5*(100/10)^2</f>
        <v>50</v>
      </c>
      <c r="I30" s="21">
        <f>F30/G30</f>
        <v>0.14433756729740646</v>
      </c>
      <c r="J30" s="9">
        <v>1</v>
      </c>
      <c r="K30" s="21">
        <f>I30*J30</f>
        <v>0.14433756729740646</v>
      </c>
      <c r="L30" s="22">
        <f>K30^2</f>
        <v>2.0833333333333339E-2</v>
      </c>
      <c r="M30" s="23">
        <f>K30^4/H30</f>
        <v>8.6805555555555606E-6</v>
      </c>
      <c r="O30" s="17" t="s">
        <v>359</v>
      </c>
      <c r="P30" s="9" t="s">
        <v>199</v>
      </c>
      <c r="Q30" s="18" t="s">
        <v>360</v>
      </c>
      <c r="R30" s="19">
        <f>0.5*Q27</f>
        <v>0.25</v>
      </c>
      <c r="S30" s="20">
        <f>SQRT(3)</f>
        <v>1.7320508075688772</v>
      </c>
      <c r="T30" s="379">
        <f>0.5*(100/10)^2</f>
        <v>50</v>
      </c>
      <c r="U30" s="21">
        <f>R30/S30</f>
        <v>0.14433756729740646</v>
      </c>
      <c r="V30" s="9">
        <v>1</v>
      </c>
      <c r="W30" s="21">
        <f>U30*V30</f>
        <v>0.14433756729740646</v>
      </c>
      <c r="X30" s="22">
        <f>W30^2</f>
        <v>2.0833333333333339E-2</v>
      </c>
      <c r="Y30" s="23">
        <f>W30^4/T30</f>
        <v>8.6805555555555606E-6</v>
      </c>
    </row>
    <row r="31" spans="1:25" x14ac:dyDescent="0.25">
      <c r="A31" s="1"/>
      <c r="C31" s="8" t="s">
        <v>361</v>
      </c>
      <c r="D31" s="9" t="s">
        <v>199</v>
      </c>
      <c r="E31" s="9" t="s">
        <v>360</v>
      </c>
      <c r="F31" s="24">
        <f>' Input Data Tekanan Hisap'!B112</f>
        <v>9.9999999999999995E-7</v>
      </c>
      <c r="G31" s="24">
        <f>SQRT(3)</f>
        <v>1.7320508075688772</v>
      </c>
      <c r="H31" s="379">
        <f t="shared" si="5"/>
        <v>50</v>
      </c>
      <c r="I31" s="25">
        <f>F31/G31</f>
        <v>5.7735026918962578E-7</v>
      </c>
      <c r="J31" s="9">
        <v>1</v>
      </c>
      <c r="K31" s="25">
        <f>I31*J31</f>
        <v>5.7735026918962578E-7</v>
      </c>
      <c r="L31" s="22">
        <f>K31^2</f>
        <v>3.3333333333333334E-13</v>
      </c>
      <c r="M31" s="26">
        <f>K31^4/H31</f>
        <v>2.2222222222222221E-27</v>
      </c>
      <c r="O31" s="8" t="s">
        <v>361</v>
      </c>
      <c r="P31" s="9" t="s">
        <v>199</v>
      </c>
      <c r="Q31" s="9" t="s">
        <v>360</v>
      </c>
      <c r="R31" s="24">
        <f>' Input Data Tekanan Hisap'!I112</f>
        <v>9.9999999999999995E-7</v>
      </c>
      <c r="S31" s="24">
        <f>SQRT(3)</f>
        <v>1.7320508075688772</v>
      </c>
      <c r="T31" s="379">
        <f>0.5*(100/10)^2</f>
        <v>50</v>
      </c>
      <c r="U31" s="25">
        <f>R31/S31</f>
        <v>5.7735026918962578E-7</v>
      </c>
      <c r="V31" s="9">
        <v>1</v>
      </c>
      <c r="W31" s="25">
        <f>U31*V31</f>
        <v>5.7735026918962578E-7</v>
      </c>
      <c r="X31" s="22">
        <f>W31^2</f>
        <v>3.3333333333333334E-13</v>
      </c>
      <c r="Y31" s="26">
        <f>W31^4/T31</f>
        <v>2.2222222222222221E-27</v>
      </c>
    </row>
    <row r="32" spans="1:25" x14ac:dyDescent="0.25">
      <c r="A32" s="1"/>
      <c r="C32" s="27" t="s">
        <v>362</v>
      </c>
      <c r="D32" s="9" t="s">
        <v>199</v>
      </c>
      <c r="E32" s="18" t="s">
        <v>357</v>
      </c>
      <c r="F32" s="28">
        <f>' Input Data Tekanan Hisap'!B113</f>
        <v>0.5</v>
      </c>
      <c r="G32" s="29">
        <v>2</v>
      </c>
      <c r="H32" s="379">
        <f t="shared" si="5"/>
        <v>50</v>
      </c>
      <c r="I32" s="21">
        <f>F32/G32</f>
        <v>0.25</v>
      </c>
      <c r="J32" s="9">
        <v>1</v>
      </c>
      <c r="K32" s="21">
        <f>I32*J32</f>
        <v>0.25</v>
      </c>
      <c r="L32" s="22">
        <f>K32^2</f>
        <v>6.25E-2</v>
      </c>
      <c r="M32" s="26">
        <f>K32^4/H32</f>
        <v>7.8125000000000002E-5</v>
      </c>
      <c r="O32" s="27" t="s">
        <v>362</v>
      </c>
      <c r="P32" s="9" t="s">
        <v>199</v>
      </c>
      <c r="Q32" s="18" t="s">
        <v>357</v>
      </c>
      <c r="R32" s="28">
        <f>' Input Data Tekanan Hisap'!I113</f>
        <v>0.5</v>
      </c>
      <c r="S32" s="29">
        <v>2</v>
      </c>
      <c r="T32" s="379">
        <f>0.5*(100/10)^2</f>
        <v>50</v>
      </c>
      <c r="U32" s="21">
        <f>R32/S32</f>
        <v>0.25</v>
      </c>
      <c r="V32" s="9">
        <v>1</v>
      </c>
      <c r="W32" s="21">
        <f>U32*V32</f>
        <v>0.25</v>
      </c>
      <c r="X32" s="22">
        <f>W32^2</f>
        <v>6.25E-2</v>
      </c>
      <c r="Y32" s="26">
        <f>W32^4/T32</f>
        <v>7.8125000000000002E-5</v>
      </c>
    </row>
    <row r="33" spans="1:25" x14ac:dyDescent="0.25">
      <c r="A33" s="1"/>
      <c r="C33" s="27"/>
      <c r="D33" s="9"/>
      <c r="E33" s="9"/>
      <c r="F33" s="9"/>
      <c r="G33" s="24"/>
      <c r="H33" s="9"/>
      <c r="I33" s="25"/>
      <c r="J33" s="9"/>
      <c r="K33" s="25"/>
      <c r="L33" s="22"/>
      <c r="M33" s="26"/>
      <c r="O33" s="27"/>
      <c r="P33" s="9"/>
      <c r="Q33" s="9"/>
      <c r="R33" s="9"/>
      <c r="S33" s="24"/>
      <c r="T33" s="9"/>
      <c r="U33" s="25"/>
      <c r="V33" s="9"/>
      <c r="W33" s="25"/>
      <c r="X33" s="22"/>
      <c r="Y33" s="26"/>
    </row>
    <row r="34" spans="1:25" ht="14.4" x14ac:dyDescent="0.3">
      <c r="A34" s="1"/>
      <c r="C34" s="30" t="s">
        <v>363</v>
      </c>
      <c r="D34" s="31"/>
      <c r="E34" s="31"/>
      <c r="F34" s="31"/>
      <c r="G34" s="32"/>
      <c r="H34" s="31"/>
      <c r="I34" s="31"/>
      <c r="J34" s="31"/>
      <c r="K34" s="31"/>
      <c r="L34" s="33">
        <f>SUM(L29:L32)</f>
        <v>8.3333333333666673E-2</v>
      </c>
      <c r="M34" s="34">
        <f>SUM(M29:M32)</f>
        <v>8.6805555555555559E-5</v>
      </c>
      <c r="O34" s="30" t="s">
        <v>363</v>
      </c>
      <c r="P34" s="31"/>
      <c r="Q34" s="31"/>
      <c r="R34" s="31"/>
      <c r="S34" s="32"/>
      <c r="T34" s="31"/>
      <c r="U34" s="31"/>
      <c r="V34" s="31"/>
      <c r="W34" s="31"/>
      <c r="X34" s="33">
        <f>SUM(X29:X32)</f>
        <v>0.11111111111144445</v>
      </c>
      <c r="Y34" s="34">
        <f>SUM(Y29:Y32)</f>
        <v>2.4112654320987653E-4</v>
      </c>
    </row>
    <row r="35" spans="1:25" ht="16.2" x14ac:dyDescent="0.35">
      <c r="A35" s="1"/>
      <c r="C35" s="35" t="s">
        <v>364</v>
      </c>
      <c r="D35" s="36"/>
      <c r="E35" s="36"/>
      <c r="F35" s="36"/>
      <c r="G35" s="37"/>
      <c r="H35" s="36"/>
      <c r="I35" s="38" t="s">
        <v>365</v>
      </c>
      <c r="J35" s="36"/>
      <c r="K35" s="36"/>
      <c r="L35" s="39">
        <f>SQRT(L34)</f>
        <v>0.28867513459539024</v>
      </c>
      <c r="M35" s="40"/>
      <c r="O35" s="35" t="s">
        <v>364</v>
      </c>
      <c r="P35" s="36"/>
      <c r="Q35" s="36"/>
      <c r="R35" s="36"/>
      <c r="S35" s="37"/>
      <c r="T35" s="36"/>
      <c r="U35" s="38" t="s">
        <v>365</v>
      </c>
      <c r="V35" s="36"/>
      <c r="W35" s="36"/>
      <c r="X35" s="39">
        <f>SQRT(X34)</f>
        <v>0.33333333333383336</v>
      </c>
      <c r="Y35" s="40"/>
    </row>
    <row r="36" spans="1:25" ht="18" x14ac:dyDescent="0.35">
      <c r="A36" s="1"/>
      <c r="C36" s="30" t="s">
        <v>366</v>
      </c>
      <c r="D36" s="41"/>
      <c r="E36" s="41"/>
      <c r="F36" s="41"/>
      <c r="G36" s="42"/>
      <c r="H36" s="41"/>
      <c r="I36" s="43" t="s">
        <v>367</v>
      </c>
      <c r="J36" s="41"/>
      <c r="K36" s="41"/>
      <c r="L36" s="44">
        <f>L35^4/(M34)</f>
        <v>80.000000000640014</v>
      </c>
      <c r="M36" s="45"/>
      <c r="O36" s="30" t="s">
        <v>366</v>
      </c>
      <c r="P36" s="41"/>
      <c r="Q36" s="41"/>
      <c r="R36" s="41"/>
      <c r="S36" s="42"/>
      <c r="T36" s="41"/>
      <c r="U36" s="43" t="s">
        <v>367</v>
      </c>
      <c r="V36" s="41"/>
      <c r="W36" s="41"/>
      <c r="X36" s="44">
        <f>X35^4/(Y34)</f>
        <v>51.20000000030722</v>
      </c>
      <c r="Y36" s="45"/>
    </row>
    <row r="37" spans="1:25" ht="15.6" x14ac:dyDescent="0.3">
      <c r="A37" s="1"/>
      <c r="C37" s="35" t="s">
        <v>368</v>
      </c>
      <c r="D37" s="36"/>
      <c r="E37" s="36"/>
      <c r="F37" s="36"/>
      <c r="G37" s="37"/>
      <c r="H37" s="36"/>
      <c r="I37" s="46" t="s">
        <v>369</v>
      </c>
      <c r="J37" s="36"/>
      <c r="K37" s="36"/>
      <c r="L37" s="47">
        <f>1.95996+(2.37356/L36)+(2.818745/L36^2)+(2.546662/L36^3)+(1.761829/L36^4)+(0.245458/L36^5)+(1.000764/L36^6)</f>
        <v>1.990074945947353</v>
      </c>
      <c r="M37" s="40"/>
      <c r="O37" s="35" t="s">
        <v>368</v>
      </c>
      <c r="P37" s="36"/>
      <c r="Q37" s="36"/>
      <c r="R37" s="36"/>
      <c r="S37" s="37"/>
      <c r="T37" s="36"/>
      <c r="U37" s="46" t="s">
        <v>369</v>
      </c>
      <c r="V37" s="36"/>
      <c r="W37" s="36"/>
      <c r="X37" s="47">
        <f>1.95996+(2.37356/X36)+(2.818745/X36^2)+(2.546662/X36^3)+(1.761829/X36^4)+(0.245458/X36^5)+(1.000764/X36^6)</f>
        <v>2.007413090877642</v>
      </c>
      <c r="Y37" s="40"/>
    </row>
    <row r="38" spans="1:25" ht="14.4" x14ac:dyDescent="0.3">
      <c r="A38" s="1"/>
      <c r="C38" s="48" t="s">
        <v>370</v>
      </c>
      <c r="D38" s="49"/>
      <c r="E38" s="49"/>
      <c r="F38" s="49"/>
      <c r="G38" s="50"/>
      <c r="H38" s="49"/>
      <c r="I38" s="51" t="s">
        <v>371</v>
      </c>
      <c r="J38" s="49"/>
      <c r="K38" s="49"/>
      <c r="L38" s="52">
        <f>L35*L37</f>
        <v>0.57448515287626611</v>
      </c>
      <c r="M38" s="53" t="s">
        <v>199</v>
      </c>
      <c r="O38" s="48" t="s">
        <v>370</v>
      </c>
      <c r="P38" s="49"/>
      <c r="Q38" s="49"/>
      <c r="R38" s="49"/>
      <c r="S38" s="50"/>
      <c r="T38" s="49"/>
      <c r="U38" s="51" t="s">
        <v>371</v>
      </c>
      <c r="V38" s="49"/>
      <c r="W38" s="49"/>
      <c r="X38" s="52">
        <f>X35*X37</f>
        <v>0.66913769696021774</v>
      </c>
      <c r="Y38" s="53" t="s">
        <v>199</v>
      </c>
    </row>
    <row r="39" spans="1:25" ht="13.8" thickBot="1" x14ac:dyDescent="0.3">
      <c r="A39" s="1"/>
      <c r="C39" s="60"/>
      <c r="D39" s="54"/>
      <c r="E39" s="54"/>
      <c r="F39" s="54"/>
      <c r="G39" s="54"/>
      <c r="H39" s="54"/>
      <c r="I39" s="54"/>
      <c r="J39" s="54"/>
      <c r="K39" s="54"/>
      <c r="L39" s="54"/>
      <c r="M39" s="151"/>
      <c r="O39" s="60"/>
      <c r="P39" s="54"/>
      <c r="Q39" s="54"/>
      <c r="R39" s="54"/>
      <c r="S39" s="54"/>
      <c r="T39" s="54"/>
      <c r="U39" s="54"/>
      <c r="V39" s="54"/>
      <c r="W39" s="54"/>
      <c r="X39" s="54"/>
      <c r="Y39" s="151"/>
    </row>
    <row r="40" spans="1:25" x14ac:dyDescent="0.25">
      <c r="A40" s="1"/>
    </row>
    <row r="41" spans="1:25" x14ac:dyDescent="0.25">
      <c r="A41" s="1"/>
    </row>
    <row r="42" spans="1:25" x14ac:dyDescent="0.25">
      <c r="A42" s="1"/>
    </row>
    <row r="43" spans="1:25" x14ac:dyDescent="0.25">
      <c r="A43" s="1"/>
    </row>
    <row r="44" spans="1:25" x14ac:dyDescent="0.25">
      <c r="A44" s="1"/>
    </row>
    <row r="45" spans="1:25" x14ac:dyDescent="0.25">
      <c r="A45" s="1"/>
    </row>
    <row r="46" spans="1:25" x14ac:dyDescent="0.25">
      <c r="A46" s="1"/>
    </row>
    <row r="47" spans="1:25" x14ac:dyDescent="0.25">
      <c r="A47" s="1"/>
    </row>
    <row r="48" spans="1:2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32" x14ac:dyDescent="0.25">
      <c r="A65" s="1"/>
    </row>
    <row r="66" spans="1:32" x14ac:dyDescent="0.25">
      <c r="A66" s="642"/>
      <c r="B66" s="643"/>
    </row>
    <row r="67" spans="1:32" x14ac:dyDescent="0.25">
      <c r="A67" s="644"/>
      <c r="B67" s="645"/>
    </row>
    <row r="68" spans="1:32" x14ac:dyDescent="0.25">
      <c r="A68" s="646"/>
      <c r="B68" s="646"/>
    </row>
    <row r="69" spans="1:32" ht="15.6" x14ac:dyDescent="0.3">
      <c r="A69" s="1488"/>
      <c r="B69" s="1488"/>
      <c r="S69" s="203"/>
      <c r="T69" s="203"/>
    </row>
    <row r="70" spans="1:32" x14ac:dyDescent="0.25">
      <c r="A70" s="646"/>
      <c r="B70" s="646"/>
      <c r="S70" s="201"/>
      <c r="T70" s="202"/>
    </row>
    <row r="71" spans="1:32" x14ac:dyDescent="0.25">
      <c r="A71" s="645"/>
      <c r="B71" s="646"/>
      <c r="S71" s="202"/>
      <c r="T71" s="270"/>
    </row>
    <row r="72" spans="1:32" x14ac:dyDescent="0.25">
      <c r="A72" s="647"/>
      <c r="B72" s="648"/>
      <c r="S72" s="201"/>
      <c r="T72" s="202"/>
    </row>
    <row r="73" spans="1:32" x14ac:dyDescent="0.25">
      <c r="A73" s="1488"/>
      <c r="B73" s="1488"/>
      <c r="AC73" s="396"/>
      <c r="AD73" s="396"/>
      <c r="AE73" s="396"/>
      <c r="AF73" s="396"/>
    </row>
    <row r="74" spans="1:32" x14ac:dyDescent="0.25">
      <c r="A74" s="649"/>
      <c r="B74" s="650"/>
    </row>
    <row r="75" spans="1:32" ht="16.5" customHeight="1" x14ac:dyDescent="0.3">
      <c r="A75" s="622"/>
      <c r="B75" s="622"/>
      <c r="M75" s="203"/>
    </row>
    <row r="76" spans="1:32" ht="40.5" customHeight="1" x14ac:dyDescent="0.3">
      <c r="A76" s="1489"/>
      <c r="B76" s="1489"/>
      <c r="M76" s="201"/>
    </row>
    <row r="77" spans="1:32" x14ac:dyDescent="0.25">
      <c r="A77" s="1490"/>
      <c r="B77" s="1490"/>
      <c r="M77" s="202"/>
    </row>
    <row r="78" spans="1:32" x14ac:dyDescent="0.25">
      <c r="A78" s="651"/>
      <c r="B78" s="651"/>
      <c r="M78" s="201"/>
    </row>
    <row r="79" spans="1:32" ht="15.6" x14ac:dyDescent="0.3">
      <c r="A79" s="651"/>
      <c r="B79" s="651"/>
      <c r="M79" s="203"/>
    </row>
    <row r="80" spans="1:32" x14ac:dyDescent="0.25">
      <c r="A80" s="651"/>
      <c r="B80" s="651"/>
      <c r="M80" s="201"/>
    </row>
    <row r="81" spans="1:34" x14ac:dyDescent="0.25">
      <c r="A81" s="651"/>
      <c r="B81" s="651"/>
      <c r="M81" s="202"/>
    </row>
    <row r="82" spans="1:34" x14ac:dyDescent="0.25">
      <c r="A82" s="651"/>
      <c r="B82" s="651"/>
      <c r="M82" s="201"/>
    </row>
    <row r="83" spans="1:34" x14ac:dyDescent="0.25">
      <c r="A83" s="651"/>
      <c r="B83" s="651"/>
    </row>
    <row r="84" spans="1:34" ht="15.6" x14ac:dyDescent="0.3">
      <c r="A84" s="651"/>
      <c r="B84" s="651"/>
      <c r="M84" s="203"/>
    </row>
    <row r="85" spans="1:34" x14ac:dyDescent="0.25">
      <c r="A85" s="651"/>
      <c r="B85" s="651"/>
      <c r="M85" s="201"/>
    </row>
    <row r="86" spans="1:34" x14ac:dyDescent="0.25">
      <c r="A86" s="651"/>
      <c r="B86" s="651"/>
      <c r="M86" s="202"/>
      <c r="AC86" s="218"/>
      <c r="AD86" s="218"/>
      <c r="AE86" s="218"/>
      <c r="AF86" s="218"/>
      <c r="AG86" s="218"/>
    </row>
    <row r="87" spans="1:34" ht="14.4" x14ac:dyDescent="0.3">
      <c r="A87" s="651"/>
      <c r="B87" s="651"/>
      <c r="E87" s="55"/>
      <c r="F87" s="55"/>
      <c r="H87" s="201"/>
      <c r="I87" s="201"/>
      <c r="J87" s="201"/>
      <c r="K87" s="201"/>
      <c r="M87" s="201"/>
      <c r="AC87" s="218"/>
      <c r="AD87" s="218"/>
      <c r="AE87" s="218"/>
      <c r="AF87" s="218"/>
      <c r="AG87" s="218"/>
    </row>
    <row r="88" spans="1:34" ht="15.6" x14ac:dyDescent="0.3">
      <c r="A88" s="651"/>
      <c r="B88" s="651"/>
      <c r="E88" s="56"/>
      <c r="F88" s="56"/>
      <c r="M88" s="203"/>
      <c r="AF88" s="165"/>
      <c r="AG88" s="165"/>
    </row>
    <row r="89" spans="1:34" x14ac:dyDescent="0.25">
      <c r="A89" s="651"/>
      <c r="B89" s="651"/>
      <c r="E89" s="57"/>
      <c r="F89" s="57"/>
      <c r="M89" s="201"/>
      <c r="AF89" s="165"/>
      <c r="AG89" s="165"/>
    </row>
    <row r="90" spans="1:34" x14ac:dyDescent="0.25">
      <c r="A90" s="651"/>
      <c r="B90" s="651"/>
      <c r="E90" s="58"/>
      <c r="F90" s="59"/>
      <c r="M90" s="202"/>
      <c r="AF90" s="165"/>
      <c r="AG90" s="165"/>
    </row>
    <row r="91" spans="1:34" x14ac:dyDescent="0.25">
      <c r="A91" s="651"/>
      <c r="B91" s="651"/>
      <c r="E91" s="58"/>
      <c r="F91" s="59"/>
      <c r="M91" s="201"/>
      <c r="N91" s="201"/>
      <c r="O91" s="201"/>
      <c r="P91" s="201"/>
      <c r="U91" s="235"/>
      <c r="V91" s="235"/>
      <c r="W91" s="180"/>
      <c r="X91" s="180"/>
      <c r="Y91" s="180"/>
      <c r="Z91" s="180"/>
      <c r="AF91" s="165"/>
      <c r="AG91" s="165"/>
    </row>
    <row r="92" spans="1:34" x14ac:dyDescent="0.25">
      <c r="A92" s="651"/>
      <c r="B92" s="651"/>
      <c r="E92" s="58"/>
      <c r="F92" s="59"/>
      <c r="U92" s="235"/>
      <c r="V92" s="235"/>
      <c r="W92" s="180"/>
      <c r="X92" s="180"/>
      <c r="Y92" s="180"/>
      <c r="Z92" s="180"/>
    </row>
    <row r="93" spans="1:34" ht="15.6" x14ac:dyDescent="0.3">
      <c r="A93" s="651"/>
      <c r="B93" s="651"/>
      <c r="E93" s="58"/>
      <c r="F93" s="59"/>
      <c r="M93" s="203"/>
      <c r="N93" s="203"/>
      <c r="O93" s="203"/>
      <c r="P93" s="203"/>
      <c r="U93" s="235"/>
      <c r="V93" s="235"/>
      <c r="W93" s="180"/>
      <c r="X93" s="180"/>
      <c r="Y93" s="180"/>
      <c r="Z93" s="180"/>
    </row>
    <row r="94" spans="1:34" ht="15.75" customHeight="1" x14ac:dyDescent="0.25">
      <c r="A94" s="651"/>
      <c r="B94" s="651"/>
      <c r="M94" s="201"/>
      <c r="Z94" s="622"/>
      <c r="AA94" s="622"/>
      <c r="AB94" s="622"/>
      <c r="AC94" s="1484"/>
      <c r="AD94" s="1484"/>
      <c r="AE94" s="1484"/>
      <c r="AF94" s="1484"/>
      <c r="AG94" s="1484"/>
      <c r="AH94" s="392"/>
    </row>
    <row r="95" spans="1:34" ht="25.5" customHeight="1" x14ac:dyDescent="0.25">
      <c r="A95" s="651"/>
      <c r="B95" s="651"/>
      <c r="M95" s="202"/>
      <c r="Z95" s="635">
        <f>(((((-4.2)-(-6.2))*((57.5)-(50)))/((60-(50)))+(-6.2)))</f>
        <v>-4.7</v>
      </c>
      <c r="AA95" s="622"/>
      <c r="AB95" s="622"/>
      <c r="AC95" s="636"/>
      <c r="AD95" s="1485"/>
      <c r="AE95" s="1485"/>
      <c r="AF95" s="1485"/>
      <c r="AG95" s="1485"/>
    </row>
    <row r="96" spans="1:34" x14ac:dyDescent="0.25">
      <c r="A96" s="651"/>
      <c r="B96" s="651"/>
      <c r="M96" s="201"/>
      <c r="Z96" s="622"/>
      <c r="AA96" s="622"/>
      <c r="AB96" s="622"/>
      <c r="AC96" s="637"/>
      <c r="AD96" s="637"/>
      <c r="AE96" s="637"/>
      <c r="AF96" s="1485"/>
      <c r="AG96" s="1485"/>
    </row>
    <row r="97" spans="1:33" x14ac:dyDescent="0.25">
      <c r="A97" s="651"/>
      <c r="B97" s="651"/>
      <c r="Z97" s="622"/>
      <c r="AA97" s="622"/>
      <c r="AB97" s="622"/>
      <c r="AC97" s="638"/>
      <c r="AD97" s="638"/>
      <c r="AE97" s="638"/>
      <c r="AF97" s="638"/>
      <c r="AG97" s="638"/>
    </row>
    <row r="98" spans="1:33" x14ac:dyDescent="0.25">
      <c r="A98" s="651"/>
      <c r="B98" s="651"/>
      <c r="Z98" s="622"/>
      <c r="AA98" s="622"/>
      <c r="AB98" s="622"/>
      <c r="AC98" s="638"/>
      <c r="AD98" s="638"/>
      <c r="AE98" s="638"/>
      <c r="AF98" s="638"/>
      <c r="AG98" s="638"/>
    </row>
    <row r="99" spans="1:33" ht="15.6" x14ac:dyDescent="0.3">
      <c r="A99" s="651"/>
      <c r="B99" s="651"/>
      <c r="M99" s="231"/>
      <c r="Z99" s="622"/>
      <c r="AA99" s="622"/>
      <c r="AB99" s="622"/>
      <c r="AC99" s="638"/>
      <c r="AD99" s="638"/>
      <c r="AE99" s="638"/>
      <c r="AF99" s="638"/>
      <c r="AG99" s="638"/>
    </row>
    <row r="100" spans="1:33" x14ac:dyDescent="0.25">
      <c r="A100" s="651"/>
      <c r="B100" s="651"/>
      <c r="M100" s="201"/>
      <c r="Z100" s="622"/>
      <c r="AA100" s="622"/>
      <c r="AB100" s="622"/>
      <c r="AC100" s="638"/>
      <c r="AD100" s="638"/>
      <c r="AE100" s="638"/>
      <c r="AF100" s="638"/>
      <c r="AG100" s="638"/>
    </row>
    <row r="101" spans="1:33" ht="37.5" customHeight="1" x14ac:dyDescent="0.25">
      <c r="A101" s="651"/>
      <c r="B101" s="651"/>
      <c r="M101" s="202"/>
      <c r="Z101" s="622"/>
      <c r="AA101" s="622"/>
      <c r="AB101" s="622">
        <f>200*0.03%</f>
        <v>0.06</v>
      </c>
      <c r="AC101" s="638"/>
      <c r="AD101" s="638"/>
      <c r="AE101" s="638"/>
      <c r="AF101" s="638"/>
      <c r="AG101" s="638"/>
    </row>
    <row r="102" spans="1:33" x14ac:dyDescent="0.25">
      <c r="A102" s="651"/>
      <c r="B102" s="651"/>
      <c r="M102" s="201"/>
      <c r="Z102" s="622"/>
      <c r="AA102" s="622"/>
      <c r="AB102" s="622"/>
      <c r="AC102" s="638"/>
      <c r="AD102" s="638"/>
      <c r="AE102" s="638"/>
      <c r="AF102" s="638"/>
      <c r="AG102" s="638"/>
    </row>
    <row r="103" spans="1:33" x14ac:dyDescent="0.25">
      <c r="A103" s="651"/>
      <c r="B103" s="651"/>
      <c r="Z103" s="622"/>
      <c r="AA103" s="622"/>
      <c r="AB103" s="622"/>
      <c r="AC103" s="638"/>
      <c r="AD103" s="638"/>
      <c r="AE103" s="638"/>
      <c r="AF103" s="638"/>
      <c r="AG103" s="638"/>
    </row>
    <row r="104" spans="1:33" ht="13.8" x14ac:dyDescent="0.25">
      <c r="A104" s="651"/>
      <c r="B104" s="651"/>
      <c r="E104" s="204"/>
      <c r="Z104" s="622"/>
      <c r="AA104" s="622"/>
      <c r="AB104" s="622"/>
      <c r="AC104" s="622"/>
      <c r="AD104" s="622"/>
      <c r="AE104" s="622"/>
      <c r="AF104" s="622"/>
      <c r="AG104" s="622"/>
    </row>
    <row r="105" spans="1:33" x14ac:dyDescent="0.25">
      <c r="A105" s="651"/>
      <c r="B105" s="651"/>
      <c r="E105" s="205"/>
      <c r="Z105" s="622"/>
      <c r="AA105" s="622"/>
      <c r="AB105" s="622"/>
      <c r="AC105" s="622"/>
      <c r="AD105" s="622"/>
      <c r="AE105" s="622"/>
      <c r="AF105" s="622"/>
      <c r="AG105" s="622"/>
    </row>
    <row r="106" spans="1:33" x14ac:dyDescent="0.25">
      <c r="A106" s="651"/>
      <c r="B106" s="651"/>
      <c r="E106" s="205"/>
      <c r="Z106" s="622"/>
      <c r="AA106" s="622"/>
      <c r="AB106" s="622"/>
      <c r="AC106" s="622"/>
      <c r="AD106" s="622"/>
      <c r="AE106" s="622"/>
      <c r="AF106" s="622"/>
      <c r="AG106" s="622"/>
    </row>
    <row r="107" spans="1:33" x14ac:dyDescent="0.25">
      <c r="A107" s="651"/>
      <c r="B107" s="651"/>
      <c r="H107" s="180"/>
      <c r="I107" s="180"/>
      <c r="J107" s="180"/>
      <c r="K107" s="180"/>
      <c r="L107" s="180"/>
      <c r="Z107" s="622"/>
      <c r="AA107" s="622"/>
      <c r="AB107" s="622"/>
      <c r="AC107" s="622"/>
      <c r="AD107" s="622"/>
      <c r="AE107" s="622"/>
      <c r="AF107" s="622"/>
      <c r="AG107" s="622"/>
    </row>
    <row r="108" spans="1:33" x14ac:dyDescent="0.25">
      <c r="A108" s="651"/>
      <c r="B108" s="651"/>
      <c r="H108" s="180"/>
      <c r="I108" s="180"/>
      <c r="J108" s="180"/>
      <c r="K108" s="180"/>
      <c r="L108" s="180"/>
      <c r="Z108" s="622"/>
      <c r="AA108" s="622"/>
      <c r="AB108" s="622"/>
      <c r="AC108" s="622">
        <v>5000</v>
      </c>
      <c r="AD108" s="622"/>
      <c r="AE108" s="622"/>
      <c r="AF108" s="622"/>
      <c r="AG108" s="622"/>
    </row>
    <row r="109" spans="1:33" x14ac:dyDescent="0.25">
      <c r="B109" s="206"/>
      <c r="C109" s="206"/>
      <c r="D109" s="1492"/>
      <c r="E109" s="1492"/>
      <c r="F109" s="207"/>
      <c r="G109" s="207"/>
      <c r="H109" s="180"/>
      <c r="I109" s="180"/>
      <c r="J109" s="180"/>
      <c r="K109" s="180"/>
      <c r="L109" s="180"/>
      <c r="Z109" s="622"/>
      <c r="AA109" s="622"/>
      <c r="AB109" s="622"/>
      <c r="AC109" s="622"/>
      <c r="AD109" s="622"/>
      <c r="AE109" s="622"/>
      <c r="AF109" s="622"/>
      <c r="AG109" s="622"/>
    </row>
    <row r="110" spans="1:33" x14ac:dyDescent="0.25">
      <c r="B110" s="206"/>
      <c r="C110" s="206"/>
      <c r="D110" s="1492"/>
      <c r="E110" s="1492"/>
      <c r="F110" s="208"/>
      <c r="G110" s="208"/>
      <c r="H110" s="180"/>
      <c r="I110" s="180"/>
      <c r="J110" s="180"/>
      <c r="K110" s="180"/>
      <c r="L110" s="180"/>
      <c r="Z110" s="622"/>
      <c r="AA110" s="622"/>
      <c r="AB110" s="622"/>
      <c r="AC110" s="639">
        <v>1.9336800000000001E-2</v>
      </c>
      <c r="AD110" s="622">
        <f>AC108*AC110</f>
        <v>96.684000000000012</v>
      </c>
      <c r="AE110" s="622">
        <v>10</v>
      </c>
      <c r="AF110" s="622"/>
      <c r="AG110" s="622">
        <v>5000</v>
      </c>
    </row>
    <row r="111" spans="1:33" x14ac:dyDescent="0.25">
      <c r="B111" s="209"/>
      <c r="C111" s="209"/>
      <c r="D111" s="1491"/>
      <c r="E111" s="1491"/>
      <c r="F111" s="209"/>
      <c r="G111" s="209"/>
      <c r="H111" s="180"/>
      <c r="I111" s="180"/>
      <c r="J111" s="180"/>
      <c r="K111" s="180"/>
      <c r="L111" s="180"/>
      <c r="Z111" s="622"/>
      <c r="AA111" s="622"/>
      <c r="AB111" s="622"/>
      <c r="AC111" s="622"/>
      <c r="AD111" s="622"/>
      <c r="AE111" s="622"/>
      <c r="AF111" s="622"/>
      <c r="AG111" s="622"/>
    </row>
    <row r="112" spans="1:33" x14ac:dyDescent="0.25">
      <c r="B112" s="209"/>
      <c r="C112" s="209"/>
      <c r="D112" s="1491"/>
      <c r="E112" s="1491"/>
      <c r="F112" s="210"/>
      <c r="G112" s="210"/>
      <c r="H112" s="180"/>
      <c r="I112" s="180"/>
      <c r="J112" s="180"/>
      <c r="K112" s="180"/>
      <c r="L112" s="180"/>
      <c r="U112" s="655"/>
      <c r="V112" s="655"/>
      <c r="W112" s="655"/>
      <c r="X112" s="655"/>
      <c r="Y112" s="654"/>
      <c r="Z112" s="622"/>
      <c r="AA112" s="622"/>
      <c r="AB112" s="622"/>
      <c r="AC112" s="622"/>
      <c r="AD112" s="622"/>
      <c r="AE112" s="622"/>
      <c r="AF112" s="622"/>
      <c r="AG112" s="622"/>
    </row>
    <row r="113" spans="2:33" x14ac:dyDescent="0.25">
      <c r="B113" s="209"/>
      <c r="C113" s="209"/>
      <c r="D113" s="1491"/>
      <c r="E113" s="1491"/>
      <c r="F113" s="209"/>
      <c r="G113" s="209"/>
      <c r="H113" s="180"/>
      <c r="I113" s="180"/>
      <c r="J113" s="180"/>
      <c r="K113" s="180"/>
      <c r="L113" s="180"/>
      <c r="U113" s="1486" t="s">
        <v>135</v>
      </c>
      <c r="V113" s="1487"/>
      <c r="W113" s="396"/>
      <c r="X113" s="396"/>
      <c r="Y113" s="655"/>
      <c r="Z113" s="622"/>
      <c r="AA113" s="622"/>
      <c r="AB113" s="622"/>
      <c r="AC113" s="622">
        <v>6.8947572931783094E-2</v>
      </c>
      <c r="AD113" s="622"/>
      <c r="AE113" s="622">
        <f>AE110*AC113</f>
        <v>0.68947572931783097</v>
      </c>
      <c r="AF113" s="622"/>
      <c r="AG113" s="622"/>
    </row>
    <row r="114" spans="2:33" x14ac:dyDescent="0.25">
      <c r="U114" s="397" t="s">
        <v>138</v>
      </c>
      <c r="V114" s="398">
        <f>ID!K35</f>
        <v>6</v>
      </c>
      <c r="W114" s="396"/>
      <c r="X114" s="399">
        <f>((((0.5-0.6)*(175-150))/(200-150))+(0.6))</f>
        <v>0.55000000000000004</v>
      </c>
      <c r="Y114" s="655"/>
      <c r="Z114" s="622"/>
      <c r="AA114" s="622"/>
      <c r="AB114" s="622"/>
      <c r="AC114" s="622">
        <v>1.33322E-3</v>
      </c>
      <c r="AD114" s="622"/>
      <c r="AE114" s="622">
        <f>AG110*AC114</f>
        <v>6.6661000000000001</v>
      </c>
      <c r="AF114" s="622"/>
      <c r="AG114" s="622"/>
    </row>
    <row r="115" spans="2:33" x14ac:dyDescent="0.25">
      <c r="U115" s="397" t="s">
        <v>378</v>
      </c>
      <c r="V115" s="631" t="e">
        <f ca="1">(FORECAST($V$114,OFFSET(AD78:AD86,MATCH($V$114,AC78:AC86,1)-1,0,2),OFFSET(AC78:AC86,MATCH($V$114,AC78:AC86,1)-1,0,2)))</f>
        <v>#N/A</v>
      </c>
      <c r="W115" s="396"/>
      <c r="X115" s="396"/>
      <c r="Y115" s="655"/>
      <c r="Z115" s="622"/>
      <c r="AA115" s="622"/>
      <c r="AB115" s="622"/>
      <c r="AC115" s="622"/>
      <c r="AD115" s="622"/>
      <c r="AE115" s="622"/>
      <c r="AF115" s="622"/>
      <c r="AG115" s="622"/>
    </row>
    <row r="116" spans="2:33" x14ac:dyDescent="0.25">
      <c r="U116" s="397" t="s">
        <v>139</v>
      </c>
      <c r="V116" s="631" t="e">
        <f ca="1">(FORECAST($V$114,OFFSET(AF78:AF86,MATCH($V$114,AC78:AC86,1)-1,0,2),OFFSET(AC78:AC86,MATCH($V$114,AC78:AC86,1)-1,0,2)))</f>
        <v>#N/A</v>
      </c>
      <c r="W116" s="396"/>
      <c r="X116" s="396"/>
      <c r="Y116" s="655"/>
      <c r="Z116" s="622"/>
      <c r="AA116" s="622"/>
      <c r="AB116" s="622"/>
      <c r="AC116" s="622">
        <v>0.7</v>
      </c>
      <c r="AD116" s="622"/>
      <c r="AE116" s="622"/>
      <c r="AF116" s="622"/>
      <c r="AG116" s="622"/>
    </row>
    <row r="117" spans="2:33" x14ac:dyDescent="0.25">
      <c r="U117" s="397" t="s">
        <v>137</v>
      </c>
      <c r="V117" s="631" t="e">
        <f ca="1">(FORECAST($V$114,OFFSET(AG78:AG86,MATCH($V$114,AC78:AC86,1)-1,0,2),OFFSET(AC78:AC86,MATCH($V$114,AC78:AC86,1)-1,0,2)))</f>
        <v>#N/A</v>
      </c>
      <c r="W117" s="396"/>
      <c r="X117" s="396"/>
      <c r="Y117" s="655"/>
      <c r="Z117" s="622"/>
      <c r="AA117" s="622"/>
      <c r="AB117" s="622"/>
      <c r="AC117" s="622"/>
      <c r="AD117" s="622"/>
      <c r="AE117" s="622"/>
      <c r="AF117" s="622"/>
      <c r="AG117" s="622"/>
    </row>
    <row r="118" spans="2:33" x14ac:dyDescent="0.25">
      <c r="U118" s="655"/>
      <c r="V118" s="655"/>
      <c r="W118" s="655"/>
      <c r="X118" s="655"/>
      <c r="Y118" s="655"/>
      <c r="Z118" s="622"/>
      <c r="AA118" s="622"/>
      <c r="AB118" s="622"/>
      <c r="AC118" s="622"/>
      <c r="AD118" s="622"/>
      <c r="AE118" s="622"/>
      <c r="AF118" s="622"/>
      <c r="AG118" s="622"/>
    </row>
    <row r="119" spans="2:33" x14ac:dyDescent="0.25">
      <c r="U119" s="655"/>
      <c r="V119" s="655"/>
      <c r="W119" s="655"/>
      <c r="X119" s="655"/>
      <c r="Y119" s="655"/>
      <c r="Z119" s="622"/>
      <c r="AA119" s="622"/>
      <c r="AB119" s="622"/>
      <c r="AC119" s="640">
        <v>14.5038</v>
      </c>
      <c r="AD119" s="622"/>
      <c r="AE119" s="622">
        <f>AC116*AC119</f>
        <v>10.152659999999999</v>
      </c>
      <c r="AF119" s="622"/>
      <c r="AG119" s="622"/>
    </row>
    <row r="120" spans="2:33" x14ac:dyDescent="0.25">
      <c r="U120" s="641"/>
      <c r="V120" s="641"/>
      <c r="W120" s="641"/>
      <c r="X120" s="641"/>
      <c r="Y120" s="641"/>
      <c r="Z120" s="622"/>
      <c r="AA120" s="622"/>
      <c r="AB120" s="622"/>
      <c r="AC120" s="622"/>
      <c r="AD120" s="622"/>
      <c r="AE120" s="622"/>
      <c r="AF120" s="622"/>
      <c r="AG120" s="622"/>
    </row>
    <row r="121" spans="2:33" x14ac:dyDescent="0.25">
      <c r="U121" s="232"/>
      <c r="V121" s="232"/>
      <c r="W121" s="232"/>
      <c r="X121" s="232"/>
      <c r="Y121" s="232"/>
    </row>
    <row r="122" spans="2:33" x14ac:dyDescent="0.25">
      <c r="U122" s="232"/>
      <c r="V122" s="232"/>
      <c r="W122" s="232"/>
      <c r="X122" s="232"/>
      <c r="Y122" s="232"/>
    </row>
    <row r="123" spans="2:33" x14ac:dyDescent="0.25">
      <c r="U123" s="232"/>
      <c r="V123" s="232"/>
      <c r="W123" s="232"/>
      <c r="X123" s="232"/>
      <c r="Y123" s="232"/>
    </row>
    <row r="124" spans="2:33" x14ac:dyDescent="0.25">
      <c r="U124" s="232"/>
      <c r="V124" s="232"/>
      <c r="W124" s="232"/>
      <c r="X124" s="232"/>
      <c r="Y124" s="232"/>
    </row>
    <row r="125" spans="2:33" x14ac:dyDescent="0.25">
      <c r="U125" s="232"/>
      <c r="V125" s="232"/>
      <c r="W125" s="232"/>
      <c r="X125" s="232"/>
      <c r="Y125" s="232"/>
    </row>
    <row r="126" spans="2:33" x14ac:dyDescent="0.25">
      <c r="U126" s="232"/>
      <c r="V126" s="232"/>
      <c r="W126" s="232"/>
      <c r="X126" s="232"/>
      <c r="Y126" s="232"/>
    </row>
    <row r="127" spans="2:33" x14ac:dyDescent="0.25">
      <c r="U127" s="232"/>
      <c r="V127" s="232"/>
      <c r="W127" s="232"/>
      <c r="X127" s="232"/>
      <c r="Y127" s="232"/>
    </row>
    <row r="128" spans="2:33" x14ac:dyDescent="0.25">
      <c r="U128" s="232"/>
      <c r="V128" s="232"/>
      <c r="W128" s="232"/>
      <c r="X128" s="232"/>
      <c r="Y128" s="232"/>
    </row>
    <row r="129" spans="21:25" x14ac:dyDescent="0.25">
      <c r="U129" s="232"/>
      <c r="V129" s="232"/>
      <c r="W129" s="232"/>
      <c r="X129" s="232"/>
      <c r="Y129" s="232"/>
    </row>
    <row r="130" spans="21:25" x14ac:dyDescent="0.25">
      <c r="U130" s="232"/>
      <c r="V130" s="232"/>
      <c r="W130" s="232"/>
      <c r="X130" s="232"/>
      <c r="Y130" s="232"/>
    </row>
    <row r="131" spans="21:25" x14ac:dyDescent="0.25">
      <c r="U131" s="232"/>
      <c r="V131" s="232"/>
      <c r="W131" s="232"/>
      <c r="X131" s="232"/>
      <c r="Y131" s="232"/>
    </row>
  </sheetData>
  <sheetProtection algorithmName="SHA-512" hashValue="lFj+nSX2L/iotRINM8S2cW4o3nwrJu1OHk4N8mqEq3sgDLt9TsngsQIn4I63ZqMbYDLZtO5VewgvsGBie1LdAw==" saltValue="uQB/RjBD2Q6SxvUb6WGeNg==" spinCount="100000" sheet="1"/>
  <mergeCells count="16">
    <mergeCell ref="U113:V113"/>
    <mergeCell ref="A69:B69"/>
    <mergeCell ref="A73:B73"/>
    <mergeCell ref="A76:B76"/>
    <mergeCell ref="A77:B77"/>
    <mergeCell ref="D113:E113"/>
    <mergeCell ref="D112:E112"/>
    <mergeCell ref="D109:E110"/>
    <mergeCell ref="D111:E111"/>
    <mergeCell ref="C1:Y1"/>
    <mergeCell ref="O27:P27"/>
    <mergeCell ref="C27:E27"/>
    <mergeCell ref="AC94:AG94"/>
    <mergeCell ref="AD95:AE95"/>
    <mergeCell ref="AF95:AF96"/>
    <mergeCell ref="AG95:AG96"/>
  </mergeCells>
  <printOptions horizontalCentered="1"/>
  <pageMargins left="0.15748031496062992" right="0.15748031496062992" top="0.65" bottom="0.23622047244094491" header="0.4" footer="0.23622047244094491"/>
  <pageSetup paperSize="9" scale="57" orientation="landscape" horizontalDpi="4294967294" r:id="rId1"/>
  <headerFooter>
    <oddHeader>&amp;R&amp;8KL.089 - 19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ESA</vt:lpstr>
      <vt:lpstr>LK</vt:lpstr>
      <vt:lpstr>Riwayat Revisi</vt:lpstr>
      <vt:lpstr>Input Data Lux</vt:lpstr>
      <vt:lpstr>Input Data Tachometer</vt:lpstr>
      <vt:lpstr> Input Data Tekanan Hisap</vt:lpstr>
      <vt:lpstr>ID</vt:lpstr>
      <vt:lpstr>SERTIFIKAT</vt:lpstr>
      <vt:lpstr>UNCERT</vt:lpstr>
      <vt:lpstr>PENYELIA</vt:lpstr>
      <vt:lpstr>LH</vt:lpstr>
      <vt:lpstr>kata-kata</vt:lpstr>
      <vt:lpstr>DB Thermohygro </vt:lpstr>
      <vt:lpstr>Input Data Tekanan Semprot</vt:lpstr>
      <vt:lpstr>ID!Criteria</vt:lpstr>
      <vt:lpstr>LK!Criteria</vt:lpstr>
      <vt:lpstr>'DB Thermohygro '!Print_Area</vt:lpstr>
      <vt:lpstr>ESA!Print_Area</vt:lpstr>
      <vt:lpstr>ID!Print_Area</vt:lpstr>
      <vt:lpstr>'Input Data Lux'!Print_Area</vt:lpstr>
      <vt:lpstr>'Input Data Tachometer'!Print_Area</vt:lpstr>
      <vt:lpstr>LH!Print_Area</vt:lpstr>
      <vt:lpstr>LK!Print_Area</vt:lpstr>
      <vt:lpstr>PENYELIA!Print_Area</vt:lpstr>
      <vt:lpstr>SERTIFIKAT!Print_Area</vt:lpstr>
      <vt:lpstr>UNCERT!Print_Area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dental 2017</dc:title>
  <dc:subject/>
  <dc:creator>BPFK Banjarbaru</dc:creator>
  <cp:keywords/>
  <dc:description/>
  <cp:lastModifiedBy>-</cp:lastModifiedBy>
  <cp:revision/>
  <dcterms:created xsi:type="dcterms:W3CDTF">2003-12-12T03:37:54Z</dcterms:created>
  <dcterms:modified xsi:type="dcterms:W3CDTF">2022-04-13T05:37:58Z</dcterms:modified>
  <cp:category/>
  <cp:contentStatus/>
</cp:coreProperties>
</file>