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C:\laragon\www\excel\public\alat\"/>
    </mc:Choice>
  </mc:AlternateContent>
  <xr:revisionPtr revIDLastSave="0" documentId="13_ncr:1_{DC5B69F0-DA16-4676-9698-A2F80446AB05}" xr6:coauthVersionLast="45" xr6:coauthVersionMax="45" xr10:uidLastSave="{00000000-0000-0000-0000-000000000000}"/>
  <bookViews>
    <workbookView xWindow="24" yWindow="1536" windowWidth="23016" windowHeight="10560" firstSheet="3" activeTab="3" xr2:uid="{00000000-000D-0000-FFFF-FFFF00000000}"/>
  </bookViews>
  <sheets>
    <sheet name="Lembar Kerja" sheetId="12" r:id="rId1"/>
    <sheet name="Riwayat Revisi" sheetId="27" r:id="rId2"/>
    <sheet name="UB" sheetId="10" r:id="rId3"/>
    <sheet name="ID" sheetId="3" r:id="rId4"/>
    <sheet name="Penyelia" sheetId="22" r:id="rId5"/>
    <sheet name="LH" sheetId="23" r:id="rId6"/>
    <sheet name="Sertifikat" sheetId="31" r:id="rId7"/>
    <sheet name="FORECAST" sheetId="29" r:id="rId8"/>
    <sheet name="DATA SERTIFIKAT PS320" sheetId="19" r:id="rId9"/>
    <sheet name="DB Suhu" sheetId="25" r:id="rId10"/>
    <sheet name="DB ESA" sheetId="28" r:id="rId11"/>
    <sheet name="cetik" sheetId="13" r:id="rId12"/>
    <sheet name="kesimpulan" sheetId="14" state="hidden" r:id="rId13"/>
  </sheets>
  <definedNames>
    <definedName name="_xlnm.Print_Area" localSheetId="8">'DATA SERTIFIKAT PS320'!$A$148:$F$162</definedName>
    <definedName name="_xlnm.Print_Area" localSheetId="9">'DB Suhu'!$A$229:$O$243</definedName>
    <definedName name="_xlnm.Print_Area" localSheetId="3">ID!$A$1:$L$70</definedName>
    <definedName name="_xlnm.Print_Area" localSheetId="0">'Lembar Kerja'!$A$1:$N$63</definedName>
    <definedName name="_xlnm.Print_Area" localSheetId="5">LH!$A$1:$N$72</definedName>
    <definedName name="_xlnm.Print_Area" localSheetId="4">Penyelia!$A$1:$O$68</definedName>
    <definedName name="_xlnm.Print_Area" localSheetId="2">UB!$A$1:$L$86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4" i="3" l="1"/>
  <c r="O44" i="3" l="1"/>
  <c r="F18" i="23" l="1"/>
  <c r="D9" i="29" l="1"/>
  <c r="G166" i="28" l="1"/>
  <c r="Q29" i="3" l="1"/>
  <c r="S93" i="28" l="1"/>
  <c r="L93" i="28"/>
  <c r="E93" i="28"/>
  <c r="S92" i="28"/>
  <c r="L92" i="28"/>
  <c r="E92" i="28"/>
  <c r="S91" i="28"/>
  <c r="L91" i="28"/>
  <c r="E91" i="28"/>
  <c r="S90" i="28"/>
  <c r="L90" i="28"/>
  <c r="E90" i="28"/>
  <c r="R89" i="28"/>
  <c r="Q89" i="28"/>
  <c r="K89" i="28"/>
  <c r="J89" i="28"/>
  <c r="D89" i="28"/>
  <c r="C89" i="28"/>
  <c r="P88" i="28"/>
  <c r="S87" i="28"/>
  <c r="L87" i="28"/>
  <c r="E87" i="28"/>
  <c r="S86" i="28"/>
  <c r="L86" i="28"/>
  <c r="E86" i="28"/>
  <c r="S85" i="28"/>
  <c r="L85" i="28"/>
  <c r="E85" i="28"/>
  <c r="S84" i="28"/>
  <c r="L84" i="28"/>
  <c r="E84" i="28"/>
  <c r="R83" i="28"/>
  <c r="Q83" i="28"/>
  <c r="K83" i="28"/>
  <c r="J83" i="28"/>
  <c r="S81" i="28"/>
  <c r="L81" i="28"/>
  <c r="E81" i="28"/>
  <c r="S80" i="28"/>
  <c r="L80" i="28"/>
  <c r="E80" i="28"/>
  <c r="S79" i="28"/>
  <c r="L79" i="28"/>
  <c r="E79" i="28"/>
  <c r="S78" i="28"/>
  <c r="L78" i="28"/>
  <c r="E78" i="28"/>
  <c r="S77" i="28"/>
  <c r="L77" i="28"/>
  <c r="E77" i="28"/>
  <c r="S76" i="28"/>
  <c r="L76" i="28"/>
  <c r="E76" i="28"/>
  <c r="R75" i="28"/>
  <c r="Q75" i="28"/>
  <c r="K75" i="28"/>
  <c r="J75" i="28"/>
  <c r="D75" i="28"/>
  <c r="C75" i="28"/>
  <c r="P74" i="28"/>
  <c r="I74" i="28"/>
  <c r="S73" i="28"/>
  <c r="L73" i="28"/>
  <c r="E73" i="28"/>
  <c r="S72" i="28"/>
  <c r="L72" i="28"/>
  <c r="E72" i="28"/>
  <c r="S71" i="28"/>
  <c r="L71" i="28"/>
  <c r="E71" i="28"/>
  <c r="S70" i="28"/>
  <c r="L70" i="28"/>
  <c r="E70" i="28"/>
  <c r="S69" i="28"/>
  <c r="L69" i="28"/>
  <c r="E69" i="28"/>
  <c r="S68" i="28"/>
  <c r="L68" i="28"/>
  <c r="E68" i="28"/>
  <c r="P66" i="28"/>
  <c r="I66" i="28"/>
  <c r="S62" i="28"/>
  <c r="L62" i="28"/>
  <c r="E62" i="28"/>
  <c r="S61" i="28"/>
  <c r="L61" i="28"/>
  <c r="E61" i="28"/>
  <c r="S60" i="28"/>
  <c r="L60" i="28"/>
  <c r="E60" i="28"/>
  <c r="S59" i="28"/>
  <c r="L59" i="28"/>
  <c r="E59" i="28"/>
  <c r="R58" i="28"/>
  <c r="Q58" i="28"/>
  <c r="K58" i="28"/>
  <c r="J58" i="28"/>
  <c r="D58" i="28"/>
  <c r="C58" i="28"/>
  <c r="B57" i="28"/>
  <c r="I57" i="28" s="1"/>
  <c r="P57" i="28" s="1"/>
  <c r="S56" i="28"/>
  <c r="L56" i="28"/>
  <c r="E56" i="28"/>
  <c r="S55" i="28"/>
  <c r="L55" i="28"/>
  <c r="E55" i="28"/>
  <c r="S54" i="28"/>
  <c r="L54" i="28"/>
  <c r="E54" i="28"/>
  <c r="S53" i="28"/>
  <c r="L53" i="28"/>
  <c r="E53" i="28"/>
  <c r="R52" i="28"/>
  <c r="Q52" i="28"/>
  <c r="K52" i="28"/>
  <c r="J52" i="28"/>
  <c r="D52" i="28"/>
  <c r="C52" i="28"/>
  <c r="B51" i="28"/>
  <c r="I51" i="28" s="1"/>
  <c r="P51" i="28" s="1"/>
  <c r="S50" i="28"/>
  <c r="L50" i="28"/>
  <c r="E50" i="28"/>
  <c r="S49" i="28"/>
  <c r="L49" i="28"/>
  <c r="E49" i="28"/>
  <c r="S48" i="28"/>
  <c r="L48" i="28"/>
  <c r="E48" i="28"/>
  <c r="S47" i="28"/>
  <c r="L47" i="28"/>
  <c r="E47" i="28"/>
  <c r="S46" i="28"/>
  <c r="L46" i="28"/>
  <c r="E46" i="28"/>
  <c r="S45" i="28"/>
  <c r="L45" i="28"/>
  <c r="E45" i="28"/>
  <c r="R44" i="28"/>
  <c r="Q44" i="28"/>
  <c r="K44" i="28"/>
  <c r="J44" i="28"/>
  <c r="D44" i="28"/>
  <c r="C44" i="28"/>
  <c r="B43" i="28"/>
  <c r="I43" i="28" s="1"/>
  <c r="P43" i="28" s="1"/>
  <c r="S42" i="28"/>
  <c r="L42" i="28"/>
  <c r="E42" i="28"/>
  <c r="S41" i="28"/>
  <c r="L41" i="28"/>
  <c r="E41" i="28"/>
  <c r="S40" i="28"/>
  <c r="L40" i="28"/>
  <c r="E40" i="28"/>
  <c r="S39" i="28"/>
  <c r="L39" i="28"/>
  <c r="E39" i="28"/>
  <c r="S38" i="28"/>
  <c r="L38" i="28"/>
  <c r="E38" i="28"/>
  <c r="S37" i="28"/>
  <c r="L37" i="28"/>
  <c r="E37" i="28"/>
  <c r="B35" i="28"/>
  <c r="I35" i="28" s="1"/>
  <c r="P35" i="28" s="1"/>
  <c r="S31" i="28"/>
  <c r="L31" i="28"/>
  <c r="E31" i="28"/>
  <c r="S30" i="28"/>
  <c r="L30" i="28"/>
  <c r="E30" i="28"/>
  <c r="S29" i="28"/>
  <c r="L29" i="28"/>
  <c r="E29" i="28"/>
  <c r="S28" i="28"/>
  <c r="L28" i="28"/>
  <c r="E28" i="28"/>
  <c r="R27" i="28"/>
  <c r="Q27" i="28"/>
  <c r="K27" i="28"/>
  <c r="J27" i="28"/>
  <c r="D27" i="28"/>
  <c r="C27" i="28"/>
  <c r="P26" i="28"/>
  <c r="I26" i="28"/>
  <c r="S25" i="28"/>
  <c r="L25" i="28"/>
  <c r="E25" i="28"/>
  <c r="S24" i="28"/>
  <c r="L24" i="28"/>
  <c r="E24" i="28"/>
  <c r="S23" i="28"/>
  <c r="L23" i="28"/>
  <c r="E23" i="28"/>
  <c r="S22" i="28"/>
  <c r="L22" i="28"/>
  <c r="E22" i="28"/>
  <c r="R21" i="28"/>
  <c r="Q21" i="28"/>
  <c r="K21" i="28"/>
  <c r="J21" i="28"/>
  <c r="P20" i="28"/>
  <c r="I20" i="28"/>
  <c r="S19" i="28"/>
  <c r="L19" i="28"/>
  <c r="E19" i="28"/>
  <c r="S18" i="28"/>
  <c r="L18" i="28"/>
  <c r="E18" i="28"/>
  <c r="S17" i="28"/>
  <c r="L17" i="28"/>
  <c r="E17" i="28"/>
  <c r="S16" i="28"/>
  <c r="L16" i="28"/>
  <c r="E16" i="28"/>
  <c r="S15" i="28"/>
  <c r="L15" i="28"/>
  <c r="E15" i="28"/>
  <c r="S14" i="28"/>
  <c r="L14" i="28"/>
  <c r="E14" i="28"/>
  <c r="R13" i="28"/>
  <c r="Q13" i="28"/>
  <c r="K13" i="28"/>
  <c r="J13" i="28"/>
  <c r="D13" i="28"/>
  <c r="C13" i="28"/>
  <c r="P12" i="28"/>
  <c r="I12" i="28"/>
  <c r="S11" i="28"/>
  <c r="L11" i="28"/>
  <c r="E11" i="28"/>
  <c r="S10" i="28"/>
  <c r="L10" i="28"/>
  <c r="E10" i="28"/>
  <c r="S9" i="28"/>
  <c r="L9" i="28"/>
  <c r="E9" i="28"/>
  <c r="S8" i="28"/>
  <c r="L8" i="28"/>
  <c r="E8" i="28"/>
  <c r="S7" i="28"/>
  <c r="L7" i="28"/>
  <c r="E7" i="28"/>
  <c r="S6" i="28"/>
  <c r="L6" i="28"/>
  <c r="E6" i="28"/>
  <c r="P4" i="28"/>
  <c r="I4" i="28"/>
  <c r="L196" i="25"/>
  <c r="F196" i="25"/>
  <c r="L195" i="25"/>
  <c r="F195" i="25"/>
  <c r="L194" i="25"/>
  <c r="F194" i="25"/>
  <c r="L193" i="25"/>
  <c r="F193" i="25"/>
  <c r="L192" i="25"/>
  <c r="F192" i="25"/>
  <c r="L191" i="25"/>
  <c r="F191" i="25"/>
  <c r="L190" i="25"/>
  <c r="F190" i="25"/>
  <c r="K189" i="25"/>
  <c r="J189" i="25"/>
  <c r="H187" i="25"/>
  <c r="L186" i="25"/>
  <c r="F186" i="25"/>
  <c r="L185" i="25"/>
  <c r="F185" i="25"/>
  <c r="L184" i="25"/>
  <c r="F184" i="25"/>
  <c r="L183" i="25"/>
  <c r="F183" i="25"/>
  <c r="L182" i="25"/>
  <c r="F182" i="25"/>
  <c r="L181" i="25"/>
  <c r="F181" i="25"/>
  <c r="L180" i="25"/>
  <c r="F180" i="25"/>
  <c r="K179" i="25"/>
  <c r="J179" i="25"/>
  <c r="L176" i="25"/>
  <c r="F176" i="25"/>
  <c r="L175" i="25"/>
  <c r="F175" i="25"/>
  <c r="L174" i="25"/>
  <c r="F174" i="25"/>
  <c r="L173" i="25"/>
  <c r="F173" i="25"/>
  <c r="L172" i="25"/>
  <c r="F172" i="25"/>
  <c r="L171" i="25"/>
  <c r="F171" i="25"/>
  <c r="L170" i="25"/>
  <c r="F170" i="25"/>
  <c r="K169" i="25"/>
  <c r="J169" i="25"/>
  <c r="H167" i="25"/>
  <c r="L165" i="25"/>
  <c r="F165" i="25"/>
  <c r="L164" i="25"/>
  <c r="F164" i="25"/>
  <c r="L163" i="25"/>
  <c r="F163" i="25"/>
  <c r="L162" i="25"/>
  <c r="F162" i="25"/>
  <c r="L161" i="25"/>
  <c r="F161" i="25"/>
  <c r="L160" i="25"/>
  <c r="F160" i="25"/>
  <c r="L159" i="25"/>
  <c r="F159" i="25"/>
  <c r="K158" i="25"/>
  <c r="J158" i="25"/>
  <c r="H156" i="25"/>
  <c r="L154" i="25"/>
  <c r="F154" i="25"/>
  <c r="L153" i="25"/>
  <c r="F153" i="25"/>
  <c r="L152" i="25"/>
  <c r="F152" i="25"/>
  <c r="L151" i="25"/>
  <c r="F151" i="25"/>
  <c r="L150" i="25"/>
  <c r="F150" i="25"/>
  <c r="L149" i="25"/>
  <c r="F149" i="25"/>
  <c r="L148" i="25"/>
  <c r="F148" i="25"/>
  <c r="K147" i="25"/>
  <c r="J147" i="25"/>
  <c r="H145" i="25"/>
  <c r="L143" i="25"/>
  <c r="F143" i="25"/>
  <c r="L142" i="25"/>
  <c r="F142" i="25"/>
  <c r="L141" i="25"/>
  <c r="F141" i="25"/>
  <c r="L140" i="25"/>
  <c r="F140" i="25"/>
  <c r="L139" i="25"/>
  <c r="F139" i="25"/>
  <c r="L138" i="25"/>
  <c r="F138" i="25"/>
  <c r="L137" i="25"/>
  <c r="F137" i="25"/>
  <c r="K136" i="25"/>
  <c r="J136" i="25"/>
  <c r="H134" i="25"/>
  <c r="L132" i="25"/>
  <c r="F132" i="25"/>
  <c r="L131" i="25"/>
  <c r="F131" i="25"/>
  <c r="L130" i="25"/>
  <c r="F130" i="25"/>
  <c r="L129" i="25"/>
  <c r="F129" i="25"/>
  <c r="L128" i="25"/>
  <c r="F128" i="25"/>
  <c r="L127" i="25"/>
  <c r="F127" i="25"/>
  <c r="L126" i="25"/>
  <c r="F126" i="25"/>
  <c r="K125" i="25"/>
  <c r="J125" i="25"/>
  <c r="H123" i="25"/>
  <c r="L121" i="25"/>
  <c r="F121" i="25"/>
  <c r="L120" i="25"/>
  <c r="F120" i="25"/>
  <c r="L119" i="25"/>
  <c r="F119" i="25"/>
  <c r="L118" i="25"/>
  <c r="F118" i="25"/>
  <c r="L117" i="25"/>
  <c r="F117" i="25"/>
  <c r="L116" i="25"/>
  <c r="F116" i="25"/>
  <c r="L115" i="25"/>
  <c r="F115" i="25"/>
  <c r="K114" i="25"/>
  <c r="J114" i="25"/>
  <c r="H112" i="25"/>
  <c r="L110" i="25"/>
  <c r="F110" i="25"/>
  <c r="L109" i="25"/>
  <c r="F109" i="25"/>
  <c r="L108" i="25"/>
  <c r="F108" i="25"/>
  <c r="L107" i="25"/>
  <c r="F107" i="25"/>
  <c r="L106" i="25"/>
  <c r="F106" i="25"/>
  <c r="L105" i="25"/>
  <c r="F105" i="25"/>
  <c r="L104" i="25"/>
  <c r="F104" i="25"/>
  <c r="K103" i="25"/>
  <c r="J103" i="25"/>
  <c r="H101" i="25"/>
  <c r="L99" i="25"/>
  <c r="F99" i="25"/>
  <c r="L98" i="25"/>
  <c r="F98" i="25"/>
  <c r="L97" i="25"/>
  <c r="F97" i="25"/>
  <c r="L96" i="25"/>
  <c r="F96" i="25"/>
  <c r="L95" i="25"/>
  <c r="F95" i="25"/>
  <c r="L94" i="25"/>
  <c r="F94" i="25"/>
  <c r="L93" i="25"/>
  <c r="F93" i="25"/>
  <c r="K92" i="25"/>
  <c r="J92" i="25"/>
  <c r="H90" i="25"/>
  <c r="L88" i="25"/>
  <c r="F88" i="25"/>
  <c r="L87" i="25"/>
  <c r="F87" i="25"/>
  <c r="L86" i="25"/>
  <c r="F86" i="25"/>
  <c r="L85" i="25"/>
  <c r="F85" i="25"/>
  <c r="L84" i="25"/>
  <c r="F84" i="25"/>
  <c r="L83" i="25"/>
  <c r="F83" i="25"/>
  <c r="L82" i="25"/>
  <c r="F82" i="25"/>
  <c r="K81" i="25"/>
  <c r="J81" i="25"/>
  <c r="H79" i="25"/>
  <c r="L77" i="25"/>
  <c r="F77" i="25"/>
  <c r="L76" i="25"/>
  <c r="F76" i="25"/>
  <c r="L75" i="25"/>
  <c r="F75" i="25"/>
  <c r="L74" i="25"/>
  <c r="F74" i="25"/>
  <c r="L73" i="25"/>
  <c r="F73" i="25"/>
  <c r="L72" i="25"/>
  <c r="F72" i="25"/>
  <c r="L71" i="25"/>
  <c r="F71" i="25"/>
  <c r="K70" i="25"/>
  <c r="J70" i="25"/>
  <c r="H68" i="25"/>
  <c r="L66" i="25"/>
  <c r="F66" i="25"/>
  <c r="L65" i="25"/>
  <c r="F65" i="25"/>
  <c r="L64" i="25"/>
  <c r="F64" i="25"/>
  <c r="L63" i="25"/>
  <c r="F63" i="25"/>
  <c r="L62" i="25"/>
  <c r="F62" i="25"/>
  <c r="L61" i="25"/>
  <c r="F61" i="25"/>
  <c r="L60" i="25"/>
  <c r="F60" i="25"/>
  <c r="K59" i="25"/>
  <c r="J59" i="25"/>
  <c r="H57" i="25"/>
  <c r="L55" i="25"/>
  <c r="F55" i="25"/>
  <c r="L54" i="25"/>
  <c r="F54" i="25"/>
  <c r="L53" i="25"/>
  <c r="F53" i="25"/>
  <c r="L52" i="25"/>
  <c r="F52" i="25"/>
  <c r="L51" i="25"/>
  <c r="F51" i="25"/>
  <c r="L50" i="25"/>
  <c r="F50" i="25"/>
  <c r="L49" i="25"/>
  <c r="F49" i="25"/>
  <c r="K48" i="25"/>
  <c r="J48" i="25"/>
  <c r="H46" i="25"/>
  <c r="L44" i="25"/>
  <c r="F44" i="25"/>
  <c r="L43" i="25"/>
  <c r="F43" i="25"/>
  <c r="L42" i="25"/>
  <c r="F42" i="25"/>
  <c r="L41" i="25"/>
  <c r="F41" i="25"/>
  <c r="L40" i="25"/>
  <c r="F40" i="25"/>
  <c r="L39" i="25"/>
  <c r="F39" i="25"/>
  <c r="L38" i="25"/>
  <c r="F38" i="25"/>
  <c r="K37" i="25"/>
  <c r="J37" i="25"/>
  <c r="H35" i="25"/>
  <c r="L33" i="25"/>
  <c r="F33" i="25"/>
  <c r="L32" i="25"/>
  <c r="F32" i="25"/>
  <c r="L31" i="25"/>
  <c r="F31" i="25"/>
  <c r="L30" i="25"/>
  <c r="F30" i="25"/>
  <c r="L29" i="25"/>
  <c r="F29" i="25"/>
  <c r="L28" i="25"/>
  <c r="F28" i="25"/>
  <c r="L27" i="25"/>
  <c r="F27" i="25"/>
  <c r="K26" i="25"/>
  <c r="J26" i="25"/>
  <c r="H24" i="25"/>
  <c r="L22" i="25"/>
  <c r="F22" i="25"/>
  <c r="L21" i="25"/>
  <c r="F21" i="25"/>
  <c r="L20" i="25"/>
  <c r="F20" i="25"/>
  <c r="L19" i="25"/>
  <c r="F19" i="25"/>
  <c r="L18" i="25"/>
  <c r="F18" i="25"/>
  <c r="L17" i="25"/>
  <c r="F17" i="25"/>
  <c r="L16" i="25"/>
  <c r="F16" i="25"/>
  <c r="K15" i="25"/>
  <c r="J15" i="25"/>
  <c r="H13" i="25"/>
  <c r="L11" i="25"/>
  <c r="F11" i="25"/>
  <c r="L10" i="25"/>
  <c r="F10" i="25"/>
  <c r="L9" i="25"/>
  <c r="F9" i="25"/>
  <c r="L8" i="25"/>
  <c r="F8" i="25"/>
  <c r="L7" i="25"/>
  <c r="F7" i="25"/>
  <c r="L6" i="25"/>
  <c r="F6" i="25"/>
  <c r="L5" i="25"/>
  <c r="F5" i="25"/>
  <c r="J4" i="25"/>
  <c r="H2" i="25"/>
  <c r="Q44" i="19"/>
  <c r="K44" i="19"/>
  <c r="E44" i="19"/>
  <c r="Q43" i="19"/>
  <c r="K43" i="19"/>
  <c r="E43" i="19"/>
  <c r="Q42" i="19"/>
  <c r="K42" i="19"/>
  <c r="E42" i="19"/>
  <c r="Q41" i="19"/>
  <c r="K41" i="19"/>
  <c r="E41" i="19"/>
  <c r="Q40" i="19"/>
  <c r="K40" i="19"/>
  <c r="E40" i="19"/>
  <c r="Q39" i="19"/>
  <c r="K39" i="19"/>
  <c r="E39" i="19"/>
  <c r="Q38" i="19"/>
  <c r="K38" i="19"/>
  <c r="E38" i="19"/>
  <c r="Q37" i="19"/>
  <c r="K37" i="19"/>
  <c r="E37" i="19"/>
  <c r="Q36" i="19"/>
  <c r="K36" i="19"/>
  <c r="E36" i="19"/>
  <c r="Q30" i="19"/>
  <c r="K30" i="19"/>
  <c r="E30" i="19"/>
  <c r="Q29" i="19"/>
  <c r="K29" i="19"/>
  <c r="E29" i="19"/>
  <c r="Q28" i="19"/>
  <c r="K28" i="19"/>
  <c r="E28" i="19"/>
  <c r="Q27" i="19"/>
  <c r="K27" i="19"/>
  <c r="E27" i="19"/>
  <c r="Q26" i="19"/>
  <c r="K26" i="19"/>
  <c r="E26" i="19"/>
  <c r="Q25" i="19"/>
  <c r="K25" i="19"/>
  <c r="E25" i="19"/>
  <c r="Q24" i="19"/>
  <c r="K24" i="19"/>
  <c r="E24" i="19"/>
  <c r="Q23" i="19"/>
  <c r="K23" i="19"/>
  <c r="E23" i="19"/>
  <c r="Q22" i="19"/>
  <c r="K22" i="19"/>
  <c r="E22" i="19"/>
  <c r="Q16" i="19"/>
  <c r="K16" i="19"/>
  <c r="E16" i="19"/>
  <c r="Q15" i="19"/>
  <c r="K15" i="19"/>
  <c r="E15" i="19"/>
  <c r="Q14" i="19"/>
  <c r="K14" i="19"/>
  <c r="E14" i="19"/>
  <c r="Q13" i="19"/>
  <c r="K13" i="19"/>
  <c r="E13" i="19"/>
  <c r="Q12" i="19"/>
  <c r="K12" i="19"/>
  <c r="E12" i="19"/>
  <c r="Q11" i="19"/>
  <c r="K11" i="19"/>
  <c r="E11" i="19"/>
  <c r="Q10" i="19"/>
  <c r="K10" i="19"/>
  <c r="E10" i="19"/>
  <c r="Q9" i="19"/>
  <c r="K9" i="19"/>
  <c r="E9" i="19"/>
  <c r="Q8" i="19"/>
  <c r="K8" i="19"/>
  <c r="E8" i="19"/>
  <c r="B43" i="31" l="1"/>
  <c r="B44" i="31" s="1"/>
  <c r="B41" i="31"/>
  <c r="E24" i="31"/>
  <c r="A3" i="31"/>
  <c r="F6" i="31" s="1"/>
  <c r="A2" i="31" l="1"/>
  <c r="B48" i="31" s="1"/>
  <c r="A19" i="31" l="1"/>
  <c r="A17" i="31"/>
  <c r="A20" i="31"/>
  <c r="A18" i="31"/>
  <c r="D90" i="3" l="1"/>
  <c r="B1" i="13"/>
  <c r="C1" i="13" s="1"/>
  <c r="A149" i="19" s="1"/>
  <c r="G145" i="19"/>
  <c r="E80" i="3"/>
  <c r="F80" i="3"/>
  <c r="G80" i="3"/>
  <c r="H80" i="3"/>
  <c r="I80" i="3"/>
  <c r="E79" i="3"/>
  <c r="F79" i="3"/>
  <c r="G79" i="3"/>
  <c r="H79" i="3"/>
  <c r="I79" i="3"/>
  <c r="E78" i="3"/>
  <c r="F78" i="3"/>
  <c r="G78" i="3"/>
  <c r="H78" i="3"/>
  <c r="I78" i="3"/>
  <c r="E77" i="3"/>
  <c r="F77" i="3"/>
  <c r="G77" i="3"/>
  <c r="H77" i="3"/>
  <c r="I77" i="3"/>
  <c r="E76" i="3"/>
  <c r="F76" i="3"/>
  <c r="G76" i="3"/>
  <c r="H76" i="3"/>
  <c r="I76" i="3"/>
  <c r="E75" i="3"/>
  <c r="F75" i="3"/>
  <c r="G75" i="3"/>
  <c r="H75" i="3"/>
  <c r="I75" i="3"/>
  <c r="E74" i="3"/>
  <c r="F74" i="3"/>
  <c r="G74" i="3"/>
  <c r="H74" i="3"/>
  <c r="I74" i="3"/>
  <c r="E145" i="19"/>
  <c r="E133" i="19"/>
  <c r="E121" i="19"/>
  <c r="E109" i="19"/>
  <c r="E97" i="19"/>
  <c r="E85" i="19"/>
  <c r="E73" i="19"/>
  <c r="E61" i="19"/>
  <c r="D145" i="19"/>
  <c r="D133" i="19"/>
  <c r="D121" i="19"/>
  <c r="D109" i="19"/>
  <c r="D97" i="19"/>
  <c r="D85" i="19"/>
  <c r="D73" i="19"/>
  <c r="D61" i="19"/>
  <c r="J29" i="3"/>
  <c r="M29" i="23" s="1"/>
  <c r="J28" i="3"/>
  <c r="M28" i="23" s="1"/>
  <c r="J27" i="3"/>
  <c r="M27" i="23" s="1"/>
  <c r="P36" i="29"/>
  <c r="I17" i="22" s="1"/>
  <c r="H17" i="23" s="1"/>
  <c r="A353" i="25"/>
  <c r="B334" i="25" s="1"/>
  <c r="P239" i="25"/>
  <c r="N36" i="29"/>
  <c r="G17" i="22" s="1"/>
  <c r="F17" i="23" s="1"/>
  <c r="L339" i="25"/>
  <c r="N29" i="29" s="1"/>
  <c r="P35" i="29"/>
  <c r="I16" i="22" s="1"/>
  <c r="H16" i="23" s="1"/>
  <c r="P217" i="25"/>
  <c r="N35" i="29"/>
  <c r="G16" i="22"/>
  <c r="F16" i="23" s="1"/>
  <c r="L338" i="25"/>
  <c r="I29" i="29" s="1"/>
  <c r="F5" i="22"/>
  <c r="E5" i="23" s="1"/>
  <c r="D8" i="31" s="1"/>
  <c r="F8" i="22"/>
  <c r="E8" i="23" s="1"/>
  <c r="F10" i="22"/>
  <c r="E10" i="23" s="1"/>
  <c r="D17" i="31" s="1"/>
  <c r="B52" i="31" s="1"/>
  <c r="B53" i="31" s="1"/>
  <c r="F11" i="22"/>
  <c r="F13" i="22"/>
  <c r="F9" i="22"/>
  <c r="E9" i="23" s="1"/>
  <c r="D16" i="31" s="1"/>
  <c r="A9" i="22"/>
  <c r="A9" i="23" s="1"/>
  <c r="H47" i="29"/>
  <c r="H46" i="29"/>
  <c r="O45" i="3"/>
  <c r="N65" i="3"/>
  <c r="H49" i="29"/>
  <c r="H48" i="29"/>
  <c r="H45" i="29"/>
  <c r="G60" i="19"/>
  <c r="N339" i="25"/>
  <c r="N338" i="25"/>
  <c r="A234" i="28"/>
  <c r="A244" i="28" s="1"/>
  <c r="A195" i="28" s="1"/>
  <c r="C199" i="28" s="1"/>
  <c r="D45" i="29" s="1"/>
  <c r="L202" i="28"/>
  <c r="G213" i="28" s="1"/>
  <c r="L201" i="28"/>
  <c r="G209" i="28" s="1"/>
  <c r="L200" i="28"/>
  <c r="L199" i="28"/>
  <c r="L198" i="28"/>
  <c r="J243" i="28"/>
  <c r="I243" i="28"/>
  <c r="J242" i="28"/>
  <c r="I242" i="28"/>
  <c r="J241" i="28"/>
  <c r="I241" i="28"/>
  <c r="J240" i="28"/>
  <c r="I240" i="28"/>
  <c r="J239" i="28"/>
  <c r="I239" i="28"/>
  <c r="J238" i="28"/>
  <c r="I238" i="28"/>
  <c r="J237" i="28"/>
  <c r="I237" i="28"/>
  <c r="J236" i="28"/>
  <c r="I236" i="28"/>
  <c r="J235" i="28"/>
  <c r="I235" i="28"/>
  <c r="G229" i="28"/>
  <c r="G225" i="28"/>
  <c r="G221" i="28"/>
  <c r="A219" i="28"/>
  <c r="G217" i="28"/>
  <c r="A213" i="28"/>
  <c r="A205" i="28"/>
  <c r="A197" i="28"/>
  <c r="M193" i="28"/>
  <c r="L193" i="28"/>
  <c r="K193" i="28"/>
  <c r="E193" i="28"/>
  <c r="D193" i="28"/>
  <c r="C193" i="28"/>
  <c r="O192" i="28"/>
  <c r="M192" i="28"/>
  <c r="L192" i="28"/>
  <c r="K192" i="28"/>
  <c r="G192" i="28"/>
  <c r="E192" i="28"/>
  <c r="D192" i="28"/>
  <c r="C192" i="28"/>
  <c r="O191" i="28"/>
  <c r="M191" i="28"/>
  <c r="L191" i="28"/>
  <c r="K191" i="28"/>
  <c r="G191" i="28"/>
  <c r="E191" i="28"/>
  <c r="D191" i="28"/>
  <c r="C191" i="28"/>
  <c r="O190" i="28"/>
  <c r="M190" i="28"/>
  <c r="L190" i="28"/>
  <c r="K190" i="28"/>
  <c r="G190" i="28"/>
  <c r="E190" i="28"/>
  <c r="D190" i="28"/>
  <c r="C190" i="28"/>
  <c r="O189" i="28"/>
  <c r="M189" i="28"/>
  <c r="L189" i="28"/>
  <c r="K189" i="28"/>
  <c r="G189" i="28"/>
  <c r="E189" i="28"/>
  <c r="D189" i="28"/>
  <c r="C189" i="28"/>
  <c r="O188" i="28"/>
  <c r="M188" i="28"/>
  <c r="L188" i="28"/>
  <c r="K188" i="28"/>
  <c r="G188" i="28"/>
  <c r="E188" i="28"/>
  <c r="D188" i="28"/>
  <c r="C188" i="28"/>
  <c r="M187" i="28"/>
  <c r="L187" i="28"/>
  <c r="K187" i="28"/>
  <c r="G187" i="28"/>
  <c r="E187" i="28"/>
  <c r="D187" i="28"/>
  <c r="C187" i="28"/>
  <c r="O186" i="28"/>
  <c r="M186" i="28"/>
  <c r="L186" i="28"/>
  <c r="K186" i="28"/>
  <c r="G186" i="28"/>
  <c r="E186" i="28"/>
  <c r="D186" i="28"/>
  <c r="C186" i="28"/>
  <c r="O185" i="28"/>
  <c r="M185" i="28"/>
  <c r="L185" i="28"/>
  <c r="K185" i="28"/>
  <c r="G185" i="28"/>
  <c r="E185" i="28"/>
  <c r="D185" i="28"/>
  <c r="C185" i="28"/>
  <c r="M184" i="28"/>
  <c r="L184" i="28"/>
  <c r="K184" i="28"/>
  <c r="E184" i="28"/>
  <c r="D184" i="28"/>
  <c r="C184" i="28"/>
  <c r="O183" i="28"/>
  <c r="M183" i="28"/>
  <c r="L183" i="28"/>
  <c r="K183" i="28"/>
  <c r="G183" i="28"/>
  <c r="E183" i="28"/>
  <c r="D183" i="28"/>
  <c r="C183" i="28"/>
  <c r="O182" i="28"/>
  <c r="M182" i="28"/>
  <c r="L182" i="28"/>
  <c r="K182" i="28"/>
  <c r="G182" i="28"/>
  <c r="E182" i="28"/>
  <c r="D182" i="28"/>
  <c r="C182" i="28"/>
  <c r="O181" i="28"/>
  <c r="M181" i="28"/>
  <c r="L181" i="28"/>
  <c r="K181" i="28"/>
  <c r="G181" i="28"/>
  <c r="E181" i="28"/>
  <c r="D181" i="28"/>
  <c r="C181" i="28"/>
  <c r="O180" i="28"/>
  <c r="M180" i="28"/>
  <c r="L180" i="28"/>
  <c r="K180" i="28"/>
  <c r="G180" i="28"/>
  <c r="E180" i="28"/>
  <c r="D180" i="28"/>
  <c r="C180" i="28"/>
  <c r="O179" i="28"/>
  <c r="M179" i="28"/>
  <c r="L179" i="28"/>
  <c r="K179" i="28"/>
  <c r="G179" i="28"/>
  <c r="E179" i="28"/>
  <c r="D179" i="28"/>
  <c r="C179" i="28"/>
  <c r="M178" i="28"/>
  <c r="L178" i="28"/>
  <c r="K178" i="28"/>
  <c r="G178" i="28"/>
  <c r="E178" i="28"/>
  <c r="D178" i="28"/>
  <c r="C178" i="28"/>
  <c r="O177" i="28"/>
  <c r="M177" i="28"/>
  <c r="L177" i="28"/>
  <c r="K177" i="28"/>
  <c r="G177" i="28"/>
  <c r="E177" i="28"/>
  <c r="D177" i="28"/>
  <c r="C177" i="28"/>
  <c r="O176" i="28"/>
  <c r="M176" i="28"/>
  <c r="L176" i="28"/>
  <c r="K176" i="28"/>
  <c r="G176" i="28"/>
  <c r="E176" i="28"/>
  <c r="D176" i="28"/>
  <c r="C176" i="28"/>
  <c r="M175" i="28"/>
  <c r="L175" i="28"/>
  <c r="K175" i="28"/>
  <c r="E175" i="28"/>
  <c r="D175" i="28"/>
  <c r="C175" i="28"/>
  <c r="O174" i="28"/>
  <c r="M174" i="28"/>
  <c r="L174" i="28"/>
  <c r="K174" i="28"/>
  <c r="G174" i="28"/>
  <c r="E174" i="28"/>
  <c r="D174" i="28"/>
  <c r="C174" i="28"/>
  <c r="O173" i="28"/>
  <c r="M173" i="28"/>
  <c r="L173" i="28"/>
  <c r="K173" i="28"/>
  <c r="G173" i="28"/>
  <c r="E173" i="28"/>
  <c r="D173" i="28"/>
  <c r="C173" i="28"/>
  <c r="O172" i="28"/>
  <c r="M172" i="28"/>
  <c r="L172" i="28"/>
  <c r="K172" i="28"/>
  <c r="G172" i="28"/>
  <c r="E172" i="28"/>
  <c r="D172" i="28"/>
  <c r="C172" i="28"/>
  <c r="O171" i="28"/>
  <c r="M171" i="28"/>
  <c r="L171" i="28"/>
  <c r="K171" i="28"/>
  <c r="G171" i="28"/>
  <c r="E171" i="28"/>
  <c r="D171" i="28"/>
  <c r="C171" i="28"/>
  <c r="O170" i="28"/>
  <c r="M170" i="28"/>
  <c r="L170" i="28"/>
  <c r="K170" i="28"/>
  <c r="G170" i="28"/>
  <c r="E170" i="28"/>
  <c r="D170" i="28"/>
  <c r="C170" i="28"/>
  <c r="M169" i="28"/>
  <c r="L169" i="28"/>
  <c r="K169" i="28"/>
  <c r="G169" i="28"/>
  <c r="E169" i="28"/>
  <c r="D169" i="28"/>
  <c r="C169" i="28"/>
  <c r="O168" i="28"/>
  <c r="M168" i="28"/>
  <c r="L168" i="28"/>
  <c r="K168" i="28"/>
  <c r="G168" i="28"/>
  <c r="E168" i="28"/>
  <c r="D168" i="28"/>
  <c r="C168" i="28"/>
  <c r="O167" i="28"/>
  <c r="M167" i="28"/>
  <c r="L167" i="28"/>
  <c r="K167" i="28"/>
  <c r="G167" i="28"/>
  <c r="E167" i="28"/>
  <c r="D167" i="28"/>
  <c r="C167" i="28"/>
  <c r="M166" i="28"/>
  <c r="L166" i="28"/>
  <c r="K166" i="28"/>
  <c r="E166" i="28"/>
  <c r="D166" i="28"/>
  <c r="C166" i="28"/>
  <c r="O165" i="28"/>
  <c r="M165" i="28"/>
  <c r="L165" i="28"/>
  <c r="K165" i="28"/>
  <c r="G165" i="28"/>
  <c r="E165" i="28"/>
  <c r="D165" i="28"/>
  <c r="C165" i="28"/>
  <c r="O164" i="28"/>
  <c r="M164" i="28"/>
  <c r="L164" i="28"/>
  <c r="K164" i="28"/>
  <c r="G164" i="28"/>
  <c r="E164" i="28"/>
  <c r="D164" i="28"/>
  <c r="C164" i="28"/>
  <c r="O163" i="28"/>
  <c r="M163" i="28"/>
  <c r="L163" i="28"/>
  <c r="K163" i="28"/>
  <c r="G163" i="28"/>
  <c r="E163" i="28"/>
  <c r="D163" i="28"/>
  <c r="C163" i="28"/>
  <c r="O162" i="28"/>
  <c r="M162" i="28"/>
  <c r="L162" i="28"/>
  <c r="K162" i="28"/>
  <c r="G162" i="28"/>
  <c r="E162" i="28"/>
  <c r="D162" i="28"/>
  <c r="C162" i="28"/>
  <c r="O161" i="28"/>
  <c r="M161" i="28"/>
  <c r="L161" i="28"/>
  <c r="K161" i="28"/>
  <c r="G161" i="28"/>
  <c r="E161" i="28"/>
  <c r="D161" i="28"/>
  <c r="C161" i="28"/>
  <c r="M160" i="28"/>
  <c r="L160" i="28"/>
  <c r="K160" i="28"/>
  <c r="G160" i="28"/>
  <c r="E160" i="28"/>
  <c r="D160" i="28"/>
  <c r="C160" i="28"/>
  <c r="O159" i="28"/>
  <c r="M159" i="28"/>
  <c r="L159" i="28"/>
  <c r="K159" i="28"/>
  <c r="G159" i="28"/>
  <c r="E159" i="28"/>
  <c r="D159" i="28"/>
  <c r="C159" i="28"/>
  <c r="O158" i="28"/>
  <c r="M158" i="28"/>
  <c r="L158" i="28"/>
  <c r="K158" i="28"/>
  <c r="G158" i="28"/>
  <c r="E158" i="28"/>
  <c r="D158" i="28"/>
  <c r="C158" i="28"/>
  <c r="K156" i="28"/>
  <c r="C156" i="28"/>
  <c r="O153" i="28"/>
  <c r="M153" i="28"/>
  <c r="L153" i="28"/>
  <c r="K153" i="28"/>
  <c r="E153" i="28"/>
  <c r="D153" i="28"/>
  <c r="C153" i="28"/>
  <c r="O152" i="28"/>
  <c r="M152" i="28"/>
  <c r="L152" i="28"/>
  <c r="K152" i="28"/>
  <c r="G152" i="28"/>
  <c r="E152" i="28"/>
  <c r="D152" i="28"/>
  <c r="C152" i="28"/>
  <c r="O151" i="28"/>
  <c r="M151" i="28"/>
  <c r="L151" i="28"/>
  <c r="K151" i="28"/>
  <c r="G151" i="28"/>
  <c r="E151" i="28"/>
  <c r="D151" i="28"/>
  <c r="C151" i="28"/>
  <c r="O150" i="28"/>
  <c r="M150" i="28"/>
  <c r="L150" i="28"/>
  <c r="K150" i="28"/>
  <c r="G150" i="28"/>
  <c r="E150" i="28"/>
  <c r="D150" i="28"/>
  <c r="C150" i="28"/>
  <c r="O149" i="28"/>
  <c r="M149" i="28"/>
  <c r="L149" i="28"/>
  <c r="K149" i="28"/>
  <c r="G149" i="28"/>
  <c r="E149" i="28"/>
  <c r="D149" i="28"/>
  <c r="C149" i="28"/>
  <c r="O148" i="28"/>
  <c r="M148" i="28"/>
  <c r="L148" i="28"/>
  <c r="K148" i="28"/>
  <c r="G148" i="28"/>
  <c r="E148" i="28"/>
  <c r="D148" i="28"/>
  <c r="C148" i="28"/>
  <c r="O147" i="28"/>
  <c r="M147" i="28"/>
  <c r="L147" i="28"/>
  <c r="K147" i="28"/>
  <c r="E147" i="28"/>
  <c r="D147" i="28"/>
  <c r="C147" i="28"/>
  <c r="O146" i="28"/>
  <c r="M146" i="28"/>
  <c r="L146" i="28"/>
  <c r="K146" i="28"/>
  <c r="G146" i="28"/>
  <c r="E146" i="28"/>
  <c r="D146" i="28"/>
  <c r="C146" i="28"/>
  <c r="O145" i="28"/>
  <c r="M145" i="28"/>
  <c r="L145" i="28"/>
  <c r="K145" i="28"/>
  <c r="G145" i="28"/>
  <c r="E145" i="28"/>
  <c r="D145" i="28"/>
  <c r="C145" i="28"/>
  <c r="O144" i="28"/>
  <c r="M144" i="28"/>
  <c r="L144" i="28"/>
  <c r="K144" i="28"/>
  <c r="E144" i="28"/>
  <c r="D144" i="28"/>
  <c r="C144" i="28"/>
  <c r="O143" i="28"/>
  <c r="M143" i="28"/>
  <c r="L143" i="28"/>
  <c r="K143" i="28"/>
  <c r="G143" i="28"/>
  <c r="E143" i="28"/>
  <c r="D143" i="28"/>
  <c r="C143" i="28"/>
  <c r="O142" i="28"/>
  <c r="M142" i="28"/>
  <c r="L142" i="28"/>
  <c r="K142" i="28"/>
  <c r="G142" i="28"/>
  <c r="E142" i="28"/>
  <c r="D142" i="28"/>
  <c r="C142" i="28"/>
  <c r="O141" i="28"/>
  <c r="M141" i="28"/>
  <c r="L141" i="28"/>
  <c r="K141" i="28"/>
  <c r="G141" i="28"/>
  <c r="E141" i="28"/>
  <c r="D141" i="28"/>
  <c r="C141" i="28"/>
  <c r="O140" i="28"/>
  <c r="M140" i="28"/>
  <c r="L140" i="28"/>
  <c r="K140" i="28"/>
  <c r="G140" i="28"/>
  <c r="E140" i="28"/>
  <c r="D140" i="28"/>
  <c r="C140" i="28"/>
  <c r="O139" i="28"/>
  <c r="M139" i="28"/>
  <c r="L139" i="28"/>
  <c r="K139" i="28"/>
  <c r="G139" i="28"/>
  <c r="E139" i="28"/>
  <c r="D139" i="28"/>
  <c r="C139" i="28"/>
  <c r="O138" i="28"/>
  <c r="M138" i="28"/>
  <c r="L138" i="28"/>
  <c r="K138" i="28"/>
  <c r="E138" i="28"/>
  <c r="D138" i="28"/>
  <c r="C138" i="28"/>
  <c r="O137" i="28"/>
  <c r="M137" i="28"/>
  <c r="L137" i="28"/>
  <c r="K137" i="28"/>
  <c r="G137" i="28"/>
  <c r="E137" i="28"/>
  <c r="D137" i="28"/>
  <c r="C137" i="28"/>
  <c r="O136" i="28"/>
  <c r="M136" i="28"/>
  <c r="L136" i="28"/>
  <c r="K136" i="28"/>
  <c r="G136" i="28"/>
  <c r="E136" i="28"/>
  <c r="D136" i="28"/>
  <c r="C136" i="28"/>
  <c r="O135" i="28"/>
  <c r="M135" i="28"/>
  <c r="L135" i="28"/>
  <c r="K135" i="28"/>
  <c r="E135" i="28"/>
  <c r="D135" i="28"/>
  <c r="C135" i="28"/>
  <c r="O134" i="28"/>
  <c r="M134" i="28"/>
  <c r="L134" i="28"/>
  <c r="K134" i="28"/>
  <c r="G134" i="28"/>
  <c r="E134" i="28"/>
  <c r="D134" i="28"/>
  <c r="C134" i="28"/>
  <c r="O133" i="28"/>
  <c r="M133" i="28"/>
  <c r="L133" i="28"/>
  <c r="K133" i="28"/>
  <c r="G133" i="28"/>
  <c r="E133" i="28"/>
  <c r="D133" i="28"/>
  <c r="C133" i="28"/>
  <c r="O132" i="28"/>
  <c r="M132" i="28"/>
  <c r="L132" i="28"/>
  <c r="K132" i="28"/>
  <c r="G132" i="28"/>
  <c r="E132" i="28"/>
  <c r="D132" i="28"/>
  <c r="C132" i="28"/>
  <c r="O131" i="28"/>
  <c r="M131" i="28"/>
  <c r="L131" i="28"/>
  <c r="K131" i="28"/>
  <c r="G131" i="28"/>
  <c r="E131" i="28"/>
  <c r="D131" i="28"/>
  <c r="C131" i="28"/>
  <c r="O130" i="28"/>
  <c r="M130" i="28"/>
  <c r="L130" i="28"/>
  <c r="K130" i="28"/>
  <c r="G130" i="28"/>
  <c r="E130" i="28"/>
  <c r="D130" i="28"/>
  <c r="C130" i="28"/>
  <c r="O129" i="28"/>
  <c r="M129" i="28"/>
  <c r="L129" i="28"/>
  <c r="K129" i="28"/>
  <c r="E129" i="28"/>
  <c r="D129" i="28"/>
  <c r="C129" i="28"/>
  <c r="O128" i="28"/>
  <c r="M128" i="28"/>
  <c r="L128" i="28"/>
  <c r="K128" i="28"/>
  <c r="G128" i="28"/>
  <c r="E128" i="28"/>
  <c r="D128" i="28"/>
  <c r="C128" i="28"/>
  <c r="O127" i="28"/>
  <c r="M127" i="28"/>
  <c r="L127" i="28"/>
  <c r="K127" i="28"/>
  <c r="G127" i="28"/>
  <c r="E127" i="28"/>
  <c r="D127" i="28"/>
  <c r="C127" i="28"/>
  <c r="O126" i="28"/>
  <c r="M126" i="28"/>
  <c r="L126" i="28"/>
  <c r="K126" i="28"/>
  <c r="E126" i="28"/>
  <c r="D126" i="28"/>
  <c r="C126" i="28"/>
  <c r="O125" i="28"/>
  <c r="M125" i="28"/>
  <c r="L125" i="28"/>
  <c r="K125" i="28"/>
  <c r="G125" i="28"/>
  <c r="E125" i="28"/>
  <c r="D125" i="28"/>
  <c r="C125" i="28"/>
  <c r="O124" i="28"/>
  <c r="M124" i="28"/>
  <c r="L124" i="28"/>
  <c r="K124" i="28"/>
  <c r="G124" i="28"/>
  <c r="E124" i="28"/>
  <c r="D124" i="28"/>
  <c r="C124" i="28"/>
  <c r="O123" i="28"/>
  <c r="M123" i="28"/>
  <c r="L123" i="28"/>
  <c r="K123" i="28"/>
  <c r="G123" i="28"/>
  <c r="E123" i="28"/>
  <c r="D123" i="28"/>
  <c r="C123" i="28"/>
  <c r="O122" i="28"/>
  <c r="M122" i="28"/>
  <c r="L122" i="28"/>
  <c r="K122" i="28"/>
  <c r="G122" i="28"/>
  <c r="E122" i="28"/>
  <c r="D122" i="28"/>
  <c r="C122" i="28"/>
  <c r="O121" i="28"/>
  <c r="M121" i="28"/>
  <c r="L121" i="28"/>
  <c r="K121" i="28"/>
  <c r="G121" i="28"/>
  <c r="E121" i="28"/>
  <c r="D121" i="28"/>
  <c r="C121" i="28"/>
  <c r="O120" i="28"/>
  <c r="M120" i="28"/>
  <c r="L120" i="28"/>
  <c r="K120" i="28"/>
  <c r="E120" i="28"/>
  <c r="D120" i="28"/>
  <c r="C120" i="28"/>
  <c r="O119" i="28"/>
  <c r="M119" i="28"/>
  <c r="L119" i="28"/>
  <c r="K119" i="28"/>
  <c r="G119" i="28"/>
  <c r="E119" i="28"/>
  <c r="D119" i="28"/>
  <c r="C119" i="28"/>
  <c r="O118" i="28"/>
  <c r="M118" i="28"/>
  <c r="L118" i="28"/>
  <c r="K118" i="28"/>
  <c r="G118" i="28"/>
  <c r="E118" i="28"/>
  <c r="D118" i="28"/>
  <c r="C118" i="28"/>
  <c r="O117" i="28"/>
  <c r="M117" i="28"/>
  <c r="L117" i="28"/>
  <c r="K117" i="28"/>
  <c r="E117" i="28"/>
  <c r="D117" i="28"/>
  <c r="C117" i="28"/>
  <c r="O116" i="28"/>
  <c r="M116" i="28"/>
  <c r="L116" i="28"/>
  <c r="K116" i="28"/>
  <c r="G116" i="28"/>
  <c r="E116" i="28"/>
  <c r="D116" i="28"/>
  <c r="C116" i="28"/>
  <c r="O115" i="28"/>
  <c r="M115" i="28"/>
  <c r="L115" i="28"/>
  <c r="K115" i="28"/>
  <c r="G115" i="28"/>
  <c r="E115" i="28"/>
  <c r="D115" i="28"/>
  <c r="C115" i="28"/>
  <c r="O114" i="28"/>
  <c r="M114" i="28"/>
  <c r="L114" i="28"/>
  <c r="K114" i="28"/>
  <c r="G114" i="28"/>
  <c r="E114" i="28"/>
  <c r="D114" i="28"/>
  <c r="C114" i="28"/>
  <c r="O113" i="28"/>
  <c r="M113" i="28"/>
  <c r="L113" i="28"/>
  <c r="K113" i="28"/>
  <c r="G113" i="28"/>
  <c r="E113" i="28"/>
  <c r="D113" i="28"/>
  <c r="C113" i="28"/>
  <c r="O112" i="28"/>
  <c r="M112" i="28"/>
  <c r="L112" i="28"/>
  <c r="K112" i="28"/>
  <c r="G112" i="28"/>
  <c r="E112" i="28"/>
  <c r="D112" i="28"/>
  <c r="C112" i="28"/>
  <c r="O111" i="28"/>
  <c r="M111" i="28"/>
  <c r="L111" i="28"/>
  <c r="K111" i="28"/>
  <c r="E111" i="28"/>
  <c r="D111" i="28"/>
  <c r="C111" i="28"/>
  <c r="O110" i="28"/>
  <c r="M110" i="28"/>
  <c r="L110" i="28"/>
  <c r="K110" i="28"/>
  <c r="G110" i="28"/>
  <c r="E110" i="28"/>
  <c r="D110" i="28"/>
  <c r="C110" i="28"/>
  <c r="O109" i="28"/>
  <c r="M109" i="28"/>
  <c r="L109" i="28"/>
  <c r="K109" i="28"/>
  <c r="G109" i="28"/>
  <c r="E109" i="28"/>
  <c r="D109" i="28"/>
  <c r="C109" i="28"/>
  <c r="O108" i="28"/>
  <c r="M108" i="28"/>
  <c r="L108" i="28"/>
  <c r="K108" i="28"/>
  <c r="E108" i="28"/>
  <c r="D108" i="28"/>
  <c r="C108" i="28"/>
  <c r="O107" i="28"/>
  <c r="M107" i="28"/>
  <c r="L107" i="28"/>
  <c r="K107" i="28"/>
  <c r="G107" i="28"/>
  <c r="E107" i="28"/>
  <c r="D107" i="28"/>
  <c r="C107" i="28"/>
  <c r="O106" i="28"/>
  <c r="M106" i="28"/>
  <c r="L106" i="28"/>
  <c r="K106" i="28"/>
  <c r="G106" i="28"/>
  <c r="E106" i="28"/>
  <c r="D106" i="28"/>
  <c r="C106" i="28"/>
  <c r="O105" i="28"/>
  <c r="M105" i="28"/>
  <c r="L105" i="28"/>
  <c r="K105" i="28"/>
  <c r="G105" i="28"/>
  <c r="E105" i="28"/>
  <c r="D105" i="28"/>
  <c r="C105" i="28"/>
  <c r="O104" i="28"/>
  <c r="M104" i="28"/>
  <c r="L104" i="28"/>
  <c r="K104" i="28"/>
  <c r="G104" i="28"/>
  <c r="E104" i="28"/>
  <c r="D104" i="28"/>
  <c r="C104" i="28"/>
  <c r="O103" i="28"/>
  <c r="M103" i="28"/>
  <c r="L103" i="28"/>
  <c r="K103" i="28"/>
  <c r="G103" i="28"/>
  <c r="E103" i="28"/>
  <c r="D103" i="28"/>
  <c r="C103" i="28"/>
  <c r="O102" i="28"/>
  <c r="M102" i="28"/>
  <c r="L102" i="28"/>
  <c r="K102" i="28"/>
  <c r="E102" i="28"/>
  <c r="D102" i="28"/>
  <c r="C102" i="28"/>
  <c r="O101" i="28"/>
  <c r="M101" i="28"/>
  <c r="L101" i="28"/>
  <c r="K101" i="28"/>
  <c r="G101" i="28"/>
  <c r="E101" i="28"/>
  <c r="D101" i="28"/>
  <c r="C101" i="28"/>
  <c r="O100" i="28"/>
  <c r="M100" i="28"/>
  <c r="L100" i="28"/>
  <c r="K100" i="28"/>
  <c r="G100" i="28"/>
  <c r="E100" i="28"/>
  <c r="D100" i="28"/>
  <c r="C100" i="28"/>
  <c r="K98" i="28"/>
  <c r="C98" i="28"/>
  <c r="N193" i="28"/>
  <c r="N192" i="28"/>
  <c r="N191" i="28"/>
  <c r="N184" i="28"/>
  <c r="N183" i="28"/>
  <c r="N182" i="28"/>
  <c r="N175" i="28"/>
  <c r="N174" i="28"/>
  <c r="N173" i="28"/>
  <c r="N166" i="28"/>
  <c r="N165" i="28"/>
  <c r="N164" i="28"/>
  <c r="F193" i="28"/>
  <c r="F192" i="28"/>
  <c r="F191" i="28"/>
  <c r="F184" i="28"/>
  <c r="F183" i="28"/>
  <c r="F182" i="28"/>
  <c r="F175" i="28"/>
  <c r="F174" i="28"/>
  <c r="F173" i="28"/>
  <c r="F166" i="28"/>
  <c r="F165" i="28"/>
  <c r="F164" i="28"/>
  <c r="N153" i="28"/>
  <c r="N152" i="28"/>
  <c r="N151" i="28"/>
  <c r="N144" i="28"/>
  <c r="N143" i="28"/>
  <c r="N142" i="28"/>
  <c r="N135" i="28"/>
  <c r="N134" i="28"/>
  <c r="N133" i="28"/>
  <c r="N126" i="28"/>
  <c r="N125" i="28"/>
  <c r="N124" i="28"/>
  <c r="N117" i="28"/>
  <c r="N116" i="28"/>
  <c r="N115" i="28"/>
  <c r="N108" i="28"/>
  <c r="N107" i="28"/>
  <c r="N106" i="28"/>
  <c r="F153" i="28"/>
  <c r="F152" i="28"/>
  <c r="F151" i="28"/>
  <c r="F144" i="28"/>
  <c r="F143" i="28"/>
  <c r="F142" i="28"/>
  <c r="F135" i="28"/>
  <c r="F134" i="28"/>
  <c r="F133" i="28"/>
  <c r="F126" i="28"/>
  <c r="F125" i="28"/>
  <c r="F124" i="28"/>
  <c r="F117" i="28"/>
  <c r="F116" i="28"/>
  <c r="F115" i="28"/>
  <c r="F108" i="28"/>
  <c r="F107" i="28"/>
  <c r="F106" i="28"/>
  <c r="N190" i="28"/>
  <c r="N189" i="28"/>
  <c r="N188" i="28"/>
  <c r="N181" i="28"/>
  <c r="N180" i="28"/>
  <c r="N179" i="28"/>
  <c r="N172" i="28"/>
  <c r="N171" i="28"/>
  <c r="N170" i="28"/>
  <c r="N163" i="28"/>
  <c r="N162" i="28"/>
  <c r="N161" i="28"/>
  <c r="F190" i="28"/>
  <c r="F189" i="28"/>
  <c r="F188" i="28"/>
  <c r="F181" i="28"/>
  <c r="F180" i="28"/>
  <c r="F179" i="28"/>
  <c r="F172" i="28"/>
  <c r="F171" i="28"/>
  <c r="F170" i="28"/>
  <c r="F163" i="28"/>
  <c r="F162" i="28"/>
  <c r="F161" i="28"/>
  <c r="N150" i="28"/>
  <c r="N149" i="28"/>
  <c r="N148" i="28"/>
  <c r="N141" i="28"/>
  <c r="N140" i="28"/>
  <c r="N139" i="28"/>
  <c r="N132" i="28"/>
  <c r="N131" i="28"/>
  <c r="N130" i="28"/>
  <c r="N123" i="28"/>
  <c r="N122" i="28"/>
  <c r="N121" i="28"/>
  <c r="N114" i="28"/>
  <c r="N113" i="28"/>
  <c r="N112" i="28"/>
  <c r="N105" i="28"/>
  <c r="N104" i="28"/>
  <c r="N103" i="28"/>
  <c r="F150" i="28"/>
  <c r="F149" i="28"/>
  <c r="F148" i="28"/>
  <c r="F141" i="28"/>
  <c r="F140" i="28"/>
  <c r="F139" i="28"/>
  <c r="F132" i="28"/>
  <c r="F131" i="28"/>
  <c r="F130" i="28"/>
  <c r="F123" i="28"/>
  <c r="F122" i="28"/>
  <c r="F121" i="28"/>
  <c r="F114" i="28"/>
  <c r="F113" i="28"/>
  <c r="F112" i="28"/>
  <c r="F105" i="28"/>
  <c r="F104" i="28"/>
  <c r="F103" i="28"/>
  <c r="N187" i="28"/>
  <c r="N186" i="28"/>
  <c r="N185" i="28"/>
  <c r="N178" i="28"/>
  <c r="N177" i="28"/>
  <c r="N176" i="28"/>
  <c r="N169" i="28"/>
  <c r="N168" i="28"/>
  <c r="N167" i="28"/>
  <c r="N160" i="28"/>
  <c r="N159" i="28"/>
  <c r="N158" i="28"/>
  <c r="F187" i="28"/>
  <c r="F186" i="28"/>
  <c r="F185" i="28"/>
  <c r="F178" i="28"/>
  <c r="F177" i="28"/>
  <c r="F176" i="28"/>
  <c r="F169" i="28"/>
  <c r="F168" i="28"/>
  <c r="F167" i="28"/>
  <c r="F160" i="28"/>
  <c r="F159" i="28"/>
  <c r="F158" i="28"/>
  <c r="N147" i="28"/>
  <c r="N146" i="28"/>
  <c r="N145" i="28"/>
  <c r="N138" i="28"/>
  <c r="N137" i="28"/>
  <c r="N136" i="28"/>
  <c r="N129" i="28"/>
  <c r="N128" i="28"/>
  <c r="N127" i="28"/>
  <c r="N120" i="28"/>
  <c r="N119" i="28"/>
  <c r="N118" i="28"/>
  <c r="N111" i="28"/>
  <c r="N110" i="28"/>
  <c r="N109" i="28"/>
  <c r="N102" i="28"/>
  <c r="N101" i="28"/>
  <c r="N100" i="28"/>
  <c r="F147" i="28"/>
  <c r="F146" i="28"/>
  <c r="F145" i="28"/>
  <c r="F138" i="28"/>
  <c r="F137" i="28"/>
  <c r="F136" i="28"/>
  <c r="F129" i="28"/>
  <c r="F128" i="28"/>
  <c r="F127" i="28"/>
  <c r="F120" i="28"/>
  <c r="F119" i="28"/>
  <c r="F118" i="28"/>
  <c r="F111" i="28"/>
  <c r="F110" i="28"/>
  <c r="F109" i="28"/>
  <c r="F102" i="28"/>
  <c r="F101" i="28"/>
  <c r="F100" i="28"/>
  <c r="J364" i="25"/>
  <c r="I364" i="25"/>
  <c r="J363" i="25"/>
  <c r="I363" i="25"/>
  <c r="J362" i="25"/>
  <c r="I362" i="25"/>
  <c r="J361" i="25"/>
  <c r="I361" i="25"/>
  <c r="J360" i="25"/>
  <c r="I360" i="25"/>
  <c r="J359" i="25"/>
  <c r="I359" i="25"/>
  <c r="J358" i="25"/>
  <c r="I358" i="25"/>
  <c r="J357" i="25"/>
  <c r="I357" i="25"/>
  <c r="J356" i="25"/>
  <c r="I356" i="25"/>
  <c r="J355" i="25"/>
  <c r="I355" i="25"/>
  <c r="J354" i="25"/>
  <c r="I354" i="25"/>
  <c r="L332" i="25"/>
  <c r="K332" i="25"/>
  <c r="J332" i="25"/>
  <c r="E332" i="25"/>
  <c r="D332" i="25"/>
  <c r="C332" i="25"/>
  <c r="L331" i="25"/>
  <c r="K331" i="25"/>
  <c r="J331" i="25"/>
  <c r="E331" i="25"/>
  <c r="D331" i="25"/>
  <c r="C331" i="25"/>
  <c r="L330" i="25"/>
  <c r="K330" i="25"/>
  <c r="J330" i="25"/>
  <c r="E330" i="25"/>
  <c r="D330" i="25"/>
  <c r="C330" i="25"/>
  <c r="L329" i="25"/>
  <c r="K329" i="25"/>
  <c r="J329" i="25"/>
  <c r="E329" i="25"/>
  <c r="D329" i="25"/>
  <c r="C329" i="25"/>
  <c r="L328" i="25"/>
  <c r="K328" i="25"/>
  <c r="J328" i="25"/>
  <c r="E328" i="25"/>
  <c r="D328" i="25"/>
  <c r="C328" i="25"/>
  <c r="L327" i="25"/>
  <c r="K327" i="25"/>
  <c r="J327" i="25"/>
  <c r="E327" i="25"/>
  <c r="D327" i="25"/>
  <c r="C327" i="25"/>
  <c r="L326" i="25"/>
  <c r="K326" i="25"/>
  <c r="J326" i="25"/>
  <c r="E326" i="25"/>
  <c r="D326" i="25"/>
  <c r="C326" i="25"/>
  <c r="L325" i="25"/>
  <c r="K325" i="25"/>
  <c r="J325" i="25"/>
  <c r="E325" i="25"/>
  <c r="D325" i="25"/>
  <c r="C325" i="25"/>
  <c r="L324" i="25"/>
  <c r="K324" i="25"/>
  <c r="J324" i="25"/>
  <c r="E324" i="25"/>
  <c r="D324" i="25"/>
  <c r="C324" i="25"/>
  <c r="L323" i="25"/>
  <c r="K323" i="25"/>
  <c r="J323" i="25"/>
  <c r="E323" i="25"/>
  <c r="D323" i="25"/>
  <c r="C323" i="25"/>
  <c r="L322" i="25"/>
  <c r="K322" i="25"/>
  <c r="J322" i="25"/>
  <c r="E322" i="25"/>
  <c r="D322" i="25"/>
  <c r="C322" i="25"/>
  <c r="L321" i="25"/>
  <c r="K321" i="25"/>
  <c r="J321" i="25"/>
  <c r="E321" i="25"/>
  <c r="D321" i="25"/>
  <c r="C321" i="25"/>
  <c r="L320" i="25"/>
  <c r="K320" i="25"/>
  <c r="J320" i="25"/>
  <c r="E320" i="25"/>
  <c r="D320" i="25"/>
  <c r="C320" i="25"/>
  <c r="L319" i="25"/>
  <c r="K319" i="25"/>
  <c r="J319" i="25"/>
  <c r="E319" i="25"/>
  <c r="D319" i="25"/>
  <c r="C319" i="25"/>
  <c r="L318" i="25"/>
  <c r="K318" i="25"/>
  <c r="J318" i="25"/>
  <c r="E318" i="25"/>
  <c r="D318" i="25"/>
  <c r="C318" i="25"/>
  <c r="L317" i="25"/>
  <c r="K317" i="25"/>
  <c r="J317" i="25"/>
  <c r="E317" i="25"/>
  <c r="D317" i="25"/>
  <c r="C317" i="25"/>
  <c r="L316" i="25"/>
  <c r="K316" i="25"/>
  <c r="J316" i="25"/>
  <c r="E316" i="25"/>
  <c r="D316" i="25"/>
  <c r="C316" i="25"/>
  <c r="L315" i="25"/>
  <c r="K315" i="25"/>
  <c r="J315" i="25"/>
  <c r="E315" i="25"/>
  <c r="D315" i="25"/>
  <c r="C315" i="25"/>
  <c r="L313" i="25"/>
  <c r="K313" i="25"/>
  <c r="J313" i="25"/>
  <c r="E313" i="25"/>
  <c r="D313" i="25"/>
  <c r="C313" i="25"/>
  <c r="L312" i="25"/>
  <c r="K312" i="25"/>
  <c r="J312" i="25"/>
  <c r="E312" i="25"/>
  <c r="D312" i="25"/>
  <c r="C312" i="25"/>
  <c r="L311" i="25"/>
  <c r="K311" i="25"/>
  <c r="J311" i="25"/>
  <c r="E311" i="25"/>
  <c r="D311" i="25"/>
  <c r="C311" i="25"/>
  <c r="L310" i="25"/>
  <c r="K310" i="25"/>
  <c r="J310" i="25"/>
  <c r="E310" i="25"/>
  <c r="D310" i="25"/>
  <c r="C310" i="25"/>
  <c r="L309" i="25"/>
  <c r="K309" i="25"/>
  <c r="J309" i="25"/>
  <c r="E309" i="25"/>
  <c r="D309" i="25"/>
  <c r="C309" i="25"/>
  <c r="L308" i="25"/>
  <c r="K308" i="25"/>
  <c r="J308" i="25"/>
  <c r="E308" i="25"/>
  <c r="D308" i="25"/>
  <c r="C308" i="25"/>
  <c r="L307" i="25"/>
  <c r="K307" i="25"/>
  <c r="J307" i="25"/>
  <c r="E307" i="25"/>
  <c r="D307" i="25"/>
  <c r="C307" i="25"/>
  <c r="L306" i="25"/>
  <c r="K306" i="25"/>
  <c r="J306" i="25"/>
  <c r="E306" i="25"/>
  <c r="D306" i="25"/>
  <c r="C306" i="25"/>
  <c r="L305" i="25"/>
  <c r="K305" i="25"/>
  <c r="J305" i="25"/>
  <c r="E305" i="25"/>
  <c r="D305" i="25"/>
  <c r="C305" i="25"/>
  <c r="L304" i="25"/>
  <c r="K304" i="25"/>
  <c r="J304" i="25"/>
  <c r="E304" i="25"/>
  <c r="D304" i="25"/>
  <c r="C304" i="25"/>
  <c r="L303" i="25"/>
  <c r="K303" i="25"/>
  <c r="J303" i="25"/>
  <c r="E303" i="25"/>
  <c r="D303" i="25"/>
  <c r="C303" i="25"/>
  <c r="L302" i="25"/>
  <c r="K302" i="25"/>
  <c r="J302" i="25"/>
  <c r="E302" i="25"/>
  <c r="D302" i="25"/>
  <c r="C302" i="25"/>
  <c r="L301" i="25"/>
  <c r="K301" i="25"/>
  <c r="J301" i="25"/>
  <c r="E301" i="25"/>
  <c r="D301" i="25"/>
  <c r="C301" i="25"/>
  <c r="L300" i="25"/>
  <c r="K300" i="25"/>
  <c r="J300" i="25"/>
  <c r="E300" i="25"/>
  <c r="D300" i="25"/>
  <c r="C300" i="25"/>
  <c r="L299" i="25"/>
  <c r="K299" i="25"/>
  <c r="J299" i="25"/>
  <c r="E299" i="25"/>
  <c r="D299" i="25"/>
  <c r="C299" i="25"/>
  <c r="L298" i="25"/>
  <c r="K298" i="25"/>
  <c r="J298" i="25"/>
  <c r="E298" i="25"/>
  <c r="D298" i="25"/>
  <c r="C298" i="25"/>
  <c r="L297" i="25"/>
  <c r="K297" i="25"/>
  <c r="J297" i="25"/>
  <c r="E297" i="25"/>
  <c r="D297" i="25"/>
  <c r="C297" i="25"/>
  <c r="L296" i="25"/>
  <c r="K296" i="25"/>
  <c r="J296" i="25"/>
  <c r="E296" i="25"/>
  <c r="D296" i="25"/>
  <c r="C296" i="25"/>
  <c r="L294" i="25"/>
  <c r="K294" i="25"/>
  <c r="J294" i="25"/>
  <c r="E294" i="25"/>
  <c r="D294" i="25"/>
  <c r="C294" i="25"/>
  <c r="L293" i="25"/>
  <c r="K293" i="25"/>
  <c r="J293" i="25"/>
  <c r="E293" i="25"/>
  <c r="D293" i="25"/>
  <c r="C293" i="25"/>
  <c r="L292" i="25"/>
  <c r="K292" i="25"/>
  <c r="J292" i="25"/>
  <c r="E292" i="25"/>
  <c r="D292" i="25"/>
  <c r="C292" i="25"/>
  <c r="L291" i="25"/>
  <c r="K291" i="25"/>
  <c r="J291" i="25"/>
  <c r="E291" i="25"/>
  <c r="D291" i="25"/>
  <c r="C291" i="25"/>
  <c r="L290" i="25"/>
  <c r="K290" i="25"/>
  <c r="J290" i="25"/>
  <c r="E290" i="25"/>
  <c r="D290" i="25"/>
  <c r="C290" i="25"/>
  <c r="L289" i="25"/>
  <c r="K289" i="25"/>
  <c r="J289" i="25"/>
  <c r="E289" i="25"/>
  <c r="D289" i="25"/>
  <c r="C289" i="25"/>
  <c r="L288" i="25"/>
  <c r="K288" i="25"/>
  <c r="J288" i="25"/>
  <c r="E288" i="25"/>
  <c r="D288" i="25"/>
  <c r="C288" i="25"/>
  <c r="L287" i="25"/>
  <c r="K287" i="25"/>
  <c r="J287" i="25"/>
  <c r="E287" i="25"/>
  <c r="D287" i="25"/>
  <c r="C287" i="25"/>
  <c r="L286" i="25"/>
  <c r="K286" i="25"/>
  <c r="J286" i="25"/>
  <c r="E286" i="25"/>
  <c r="D286" i="25"/>
  <c r="C286" i="25"/>
  <c r="L285" i="25"/>
  <c r="K285" i="25"/>
  <c r="J285" i="25"/>
  <c r="E285" i="25"/>
  <c r="D285" i="25"/>
  <c r="C285" i="25"/>
  <c r="L284" i="25"/>
  <c r="K284" i="25"/>
  <c r="J284" i="25"/>
  <c r="E284" i="25"/>
  <c r="D284" i="25"/>
  <c r="C284" i="25"/>
  <c r="L283" i="25"/>
  <c r="K283" i="25"/>
  <c r="J283" i="25"/>
  <c r="E283" i="25"/>
  <c r="D283" i="25"/>
  <c r="C283" i="25"/>
  <c r="L282" i="25"/>
  <c r="K282" i="25"/>
  <c r="J282" i="25"/>
  <c r="E282" i="25"/>
  <c r="D282" i="25"/>
  <c r="C282" i="25"/>
  <c r="L281" i="25"/>
  <c r="K281" i="25"/>
  <c r="J281" i="25"/>
  <c r="E281" i="25"/>
  <c r="D281" i="25"/>
  <c r="C281" i="25"/>
  <c r="L280" i="25"/>
  <c r="K280" i="25"/>
  <c r="J280" i="25"/>
  <c r="E280" i="25"/>
  <c r="D280" i="25"/>
  <c r="C280" i="25"/>
  <c r="L279" i="25"/>
  <c r="K279" i="25"/>
  <c r="J279" i="25"/>
  <c r="E279" i="25"/>
  <c r="D279" i="25"/>
  <c r="C279" i="25"/>
  <c r="L278" i="25"/>
  <c r="K278" i="25"/>
  <c r="J278" i="25"/>
  <c r="E278" i="25"/>
  <c r="D278" i="25"/>
  <c r="C278" i="25"/>
  <c r="L277" i="25"/>
  <c r="K277" i="25"/>
  <c r="J277" i="25"/>
  <c r="E277" i="25"/>
  <c r="D277" i="25"/>
  <c r="C277" i="25"/>
  <c r="L275" i="25"/>
  <c r="K275" i="25"/>
  <c r="J275" i="25"/>
  <c r="E275" i="25"/>
  <c r="D275" i="25"/>
  <c r="C275" i="25"/>
  <c r="L274" i="25"/>
  <c r="K274" i="25"/>
  <c r="J274" i="25"/>
  <c r="E274" i="25"/>
  <c r="D274" i="25"/>
  <c r="C274" i="25"/>
  <c r="L273" i="25"/>
  <c r="K273" i="25"/>
  <c r="J273" i="25"/>
  <c r="E273" i="25"/>
  <c r="D273" i="25"/>
  <c r="C273" i="25"/>
  <c r="L272" i="25"/>
  <c r="K272" i="25"/>
  <c r="J272" i="25"/>
  <c r="E272" i="25"/>
  <c r="D272" i="25"/>
  <c r="C272" i="25"/>
  <c r="L271" i="25"/>
  <c r="K271" i="25"/>
  <c r="J271" i="25"/>
  <c r="E271" i="25"/>
  <c r="D271" i="25"/>
  <c r="C271" i="25"/>
  <c r="L270" i="25"/>
  <c r="K270" i="25"/>
  <c r="J270" i="25"/>
  <c r="E270" i="25"/>
  <c r="D270" i="25"/>
  <c r="C270" i="25"/>
  <c r="L269" i="25"/>
  <c r="K269" i="25"/>
  <c r="J269" i="25"/>
  <c r="E269" i="25"/>
  <c r="D269" i="25"/>
  <c r="C269" i="25"/>
  <c r="L268" i="25"/>
  <c r="K268" i="25"/>
  <c r="J268" i="25"/>
  <c r="E268" i="25"/>
  <c r="D268" i="25"/>
  <c r="C268" i="25"/>
  <c r="L267" i="25"/>
  <c r="K267" i="25"/>
  <c r="J267" i="25"/>
  <c r="E267" i="25"/>
  <c r="D267" i="25"/>
  <c r="C267" i="25"/>
  <c r="L266" i="25"/>
  <c r="K266" i="25"/>
  <c r="J266" i="25"/>
  <c r="E266" i="25"/>
  <c r="D266" i="25"/>
  <c r="C266" i="25"/>
  <c r="L265" i="25"/>
  <c r="K265" i="25"/>
  <c r="J265" i="25"/>
  <c r="E265" i="25"/>
  <c r="D265" i="25"/>
  <c r="C265" i="25"/>
  <c r="L264" i="25"/>
  <c r="K264" i="25"/>
  <c r="J264" i="25"/>
  <c r="E264" i="25"/>
  <c r="D264" i="25"/>
  <c r="C264" i="25"/>
  <c r="L263" i="25"/>
  <c r="K263" i="25"/>
  <c r="J263" i="25"/>
  <c r="E263" i="25"/>
  <c r="D263" i="25"/>
  <c r="C263" i="25"/>
  <c r="L262" i="25"/>
  <c r="K262" i="25"/>
  <c r="J262" i="25"/>
  <c r="E262" i="25"/>
  <c r="D262" i="25"/>
  <c r="C262" i="25"/>
  <c r="L261" i="25"/>
  <c r="K261" i="25"/>
  <c r="J261" i="25"/>
  <c r="E261" i="25"/>
  <c r="D261" i="25"/>
  <c r="C261" i="25"/>
  <c r="L260" i="25"/>
  <c r="K260" i="25"/>
  <c r="J260" i="25"/>
  <c r="E260" i="25"/>
  <c r="D260" i="25"/>
  <c r="C260" i="25"/>
  <c r="L259" i="25"/>
  <c r="K259" i="25"/>
  <c r="J259" i="25"/>
  <c r="E259" i="25"/>
  <c r="D259" i="25"/>
  <c r="C259" i="25"/>
  <c r="L258" i="25"/>
  <c r="K258" i="25"/>
  <c r="J258" i="25"/>
  <c r="E258" i="25"/>
  <c r="D258" i="25"/>
  <c r="C258" i="25"/>
  <c r="L256" i="25"/>
  <c r="K256" i="25"/>
  <c r="J256" i="25"/>
  <c r="E256" i="25"/>
  <c r="D256" i="25"/>
  <c r="C256" i="25"/>
  <c r="L255" i="25"/>
  <c r="K255" i="25"/>
  <c r="J255" i="25"/>
  <c r="E255" i="25"/>
  <c r="D255" i="25"/>
  <c r="C255" i="25"/>
  <c r="L254" i="25"/>
  <c r="K254" i="25"/>
  <c r="J254" i="25"/>
  <c r="E254" i="25"/>
  <c r="D254" i="25"/>
  <c r="C254" i="25"/>
  <c r="L253" i="25"/>
  <c r="K253" i="25"/>
  <c r="J253" i="25"/>
  <c r="E253" i="25"/>
  <c r="D253" i="25"/>
  <c r="C253" i="25"/>
  <c r="L252" i="25"/>
  <c r="K252" i="25"/>
  <c r="J252" i="25"/>
  <c r="E252" i="25"/>
  <c r="D252" i="25"/>
  <c r="C252" i="25"/>
  <c r="L251" i="25"/>
  <c r="K251" i="25"/>
  <c r="J251" i="25"/>
  <c r="E251" i="25"/>
  <c r="D251" i="25"/>
  <c r="C251" i="25"/>
  <c r="L250" i="25"/>
  <c r="K250" i="25"/>
  <c r="J250" i="25"/>
  <c r="E250" i="25"/>
  <c r="D250" i="25"/>
  <c r="C250" i="25"/>
  <c r="L249" i="25"/>
  <c r="K249" i="25"/>
  <c r="J249" i="25"/>
  <c r="E249" i="25"/>
  <c r="D249" i="25"/>
  <c r="C249" i="25"/>
  <c r="L248" i="25"/>
  <c r="K248" i="25"/>
  <c r="J248" i="25"/>
  <c r="E248" i="25"/>
  <c r="D248" i="25"/>
  <c r="C248" i="25"/>
  <c r="L247" i="25"/>
  <c r="K247" i="25"/>
  <c r="J247" i="25"/>
  <c r="E247" i="25"/>
  <c r="D247" i="25"/>
  <c r="C247" i="25"/>
  <c r="L246" i="25"/>
  <c r="K246" i="25"/>
  <c r="J246" i="25"/>
  <c r="E246" i="25"/>
  <c r="D246" i="25"/>
  <c r="C246" i="25"/>
  <c r="L245" i="25"/>
  <c r="K245" i="25"/>
  <c r="J245" i="25"/>
  <c r="E245" i="25"/>
  <c r="D245" i="25"/>
  <c r="C245" i="25"/>
  <c r="L244" i="25"/>
  <c r="K244" i="25"/>
  <c r="J244" i="25"/>
  <c r="E244" i="25"/>
  <c r="D244" i="25"/>
  <c r="C244" i="25"/>
  <c r="L243" i="25"/>
  <c r="K243" i="25"/>
  <c r="J243" i="25"/>
  <c r="E243" i="25"/>
  <c r="D243" i="25"/>
  <c r="C243" i="25"/>
  <c r="L242" i="25"/>
  <c r="K242" i="25"/>
  <c r="J242" i="25"/>
  <c r="E242" i="25"/>
  <c r="D242" i="25"/>
  <c r="C242" i="25"/>
  <c r="L241" i="25"/>
  <c r="K241" i="25"/>
  <c r="J241" i="25"/>
  <c r="E241" i="25"/>
  <c r="D241" i="25"/>
  <c r="C241" i="25"/>
  <c r="L240" i="25"/>
  <c r="K240" i="25"/>
  <c r="J240" i="25"/>
  <c r="E240" i="25"/>
  <c r="D240" i="25"/>
  <c r="C240" i="25"/>
  <c r="L239" i="25"/>
  <c r="K239" i="25"/>
  <c r="J239" i="25"/>
  <c r="E239" i="25"/>
  <c r="D239" i="25"/>
  <c r="C239" i="25"/>
  <c r="P238" i="25"/>
  <c r="P237" i="25"/>
  <c r="L237" i="25"/>
  <c r="K237" i="25"/>
  <c r="J237" i="25"/>
  <c r="E237" i="25"/>
  <c r="D237" i="25"/>
  <c r="C237" i="25"/>
  <c r="P236" i="25"/>
  <c r="L236" i="25"/>
  <c r="K236" i="25"/>
  <c r="J236" i="25"/>
  <c r="E236" i="25"/>
  <c r="D236" i="25"/>
  <c r="C236" i="25"/>
  <c r="P235" i="25"/>
  <c r="L235" i="25"/>
  <c r="K235" i="25"/>
  <c r="J235" i="25"/>
  <c r="E235" i="25"/>
  <c r="D235" i="25"/>
  <c r="C235" i="25"/>
  <c r="P234" i="25"/>
  <c r="L234" i="25"/>
  <c r="K234" i="25"/>
  <c r="J234" i="25"/>
  <c r="E234" i="25"/>
  <c r="D234" i="25"/>
  <c r="C234" i="25"/>
  <c r="P233" i="25"/>
  <c r="L233" i="25"/>
  <c r="K233" i="25"/>
  <c r="J233" i="25"/>
  <c r="E233" i="25"/>
  <c r="D233" i="25"/>
  <c r="C233" i="25"/>
  <c r="P232" i="25"/>
  <c r="L232" i="25"/>
  <c r="K232" i="25"/>
  <c r="J232" i="25"/>
  <c r="E232" i="25"/>
  <c r="D232" i="25"/>
  <c r="C232" i="25"/>
  <c r="P231" i="25"/>
  <c r="L231" i="25"/>
  <c r="K231" i="25"/>
  <c r="J231" i="25"/>
  <c r="E231" i="25"/>
  <c r="D231" i="25"/>
  <c r="C231" i="25"/>
  <c r="P230" i="25"/>
  <c r="L230" i="25"/>
  <c r="K230" i="25"/>
  <c r="J230" i="25"/>
  <c r="E230" i="25"/>
  <c r="D230" i="25"/>
  <c r="C230" i="25"/>
  <c r="P229" i="25"/>
  <c r="L229" i="25"/>
  <c r="K229" i="25"/>
  <c r="J229" i="25"/>
  <c r="E229" i="25"/>
  <c r="D229" i="25"/>
  <c r="C229" i="25"/>
  <c r="P228" i="25"/>
  <c r="L228" i="25"/>
  <c r="K228" i="25"/>
  <c r="J228" i="25"/>
  <c r="E228" i="25"/>
  <c r="D228" i="25"/>
  <c r="C228" i="25"/>
  <c r="P227" i="25"/>
  <c r="L227" i="25"/>
  <c r="K227" i="25"/>
  <c r="J227" i="25"/>
  <c r="E227" i="25"/>
  <c r="D227" i="25"/>
  <c r="C227" i="25"/>
  <c r="P226" i="25"/>
  <c r="L226" i="25"/>
  <c r="K226" i="25"/>
  <c r="J226" i="25"/>
  <c r="E226" i="25"/>
  <c r="D226" i="25"/>
  <c r="C226" i="25"/>
  <c r="P225" i="25"/>
  <c r="L225" i="25"/>
  <c r="K225" i="25"/>
  <c r="J225" i="25"/>
  <c r="E225" i="25"/>
  <c r="D225" i="25"/>
  <c r="C225" i="25"/>
  <c r="P224" i="25"/>
  <c r="L224" i="25"/>
  <c r="K224" i="25"/>
  <c r="J224" i="25"/>
  <c r="E224" i="25"/>
  <c r="D224" i="25"/>
  <c r="C224" i="25"/>
  <c r="P223" i="25"/>
  <c r="L223" i="25"/>
  <c r="K223" i="25"/>
  <c r="J223" i="25"/>
  <c r="E223" i="25"/>
  <c r="D223" i="25"/>
  <c r="C223" i="25"/>
  <c r="P222" i="25"/>
  <c r="L222" i="25"/>
  <c r="K222" i="25"/>
  <c r="J222" i="25"/>
  <c r="E222" i="25"/>
  <c r="D222" i="25"/>
  <c r="C222" i="25"/>
  <c r="L221" i="25"/>
  <c r="K221" i="25"/>
  <c r="J221" i="25"/>
  <c r="E221" i="25"/>
  <c r="D221" i="25"/>
  <c r="C221" i="25"/>
  <c r="L220" i="25"/>
  <c r="K220" i="25"/>
  <c r="J220" i="25"/>
  <c r="E220" i="25"/>
  <c r="D220" i="25"/>
  <c r="C220" i="25"/>
  <c r="L218" i="25"/>
  <c r="K218" i="25"/>
  <c r="J218" i="25"/>
  <c r="E218" i="25"/>
  <c r="D218" i="25"/>
  <c r="C218" i="25"/>
  <c r="L217" i="25"/>
  <c r="K217" i="25"/>
  <c r="J217" i="25"/>
  <c r="E217" i="25"/>
  <c r="D217" i="25"/>
  <c r="C217" i="25"/>
  <c r="P216" i="25"/>
  <c r="L216" i="25"/>
  <c r="K216" i="25"/>
  <c r="J216" i="25"/>
  <c r="E216" i="25"/>
  <c r="D216" i="25"/>
  <c r="C216" i="25"/>
  <c r="P215" i="25"/>
  <c r="L215" i="25"/>
  <c r="K215" i="25"/>
  <c r="J215" i="25"/>
  <c r="E215" i="25"/>
  <c r="D215" i="25"/>
  <c r="C215" i="25"/>
  <c r="P214" i="25"/>
  <c r="L214" i="25"/>
  <c r="K214" i="25"/>
  <c r="J214" i="25"/>
  <c r="E214" i="25"/>
  <c r="D214" i="25"/>
  <c r="C214" i="25"/>
  <c r="P213" i="25"/>
  <c r="L213" i="25"/>
  <c r="K213" i="25"/>
  <c r="J213" i="25"/>
  <c r="E213" i="25"/>
  <c r="D213" i="25"/>
  <c r="C213" i="25"/>
  <c r="P212" i="25"/>
  <c r="L212" i="25"/>
  <c r="K212" i="25"/>
  <c r="J212" i="25"/>
  <c r="E212" i="25"/>
  <c r="D212" i="25"/>
  <c r="C212" i="25"/>
  <c r="P211" i="25"/>
  <c r="L211" i="25"/>
  <c r="K211" i="25"/>
  <c r="J211" i="25"/>
  <c r="E211" i="25"/>
  <c r="D211" i="25"/>
  <c r="C211" i="25"/>
  <c r="P210" i="25"/>
  <c r="L210" i="25"/>
  <c r="K210" i="25"/>
  <c r="J210" i="25"/>
  <c r="E210" i="25"/>
  <c r="D210" i="25"/>
  <c r="C210" i="25"/>
  <c r="P209" i="25"/>
  <c r="L209" i="25"/>
  <c r="K209" i="25"/>
  <c r="J209" i="25"/>
  <c r="E209" i="25"/>
  <c r="D209" i="25"/>
  <c r="C209" i="25"/>
  <c r="P208" i="25"/>
  <c r="L208" i="25"/>
  <c r="K208" i="25"/>
  <c r="J208" i="25"/>
  <c r="E208" i="25"/>
  <c r="D208" i="25"/>
  <c r="C208" i="25"/>
  <c r="P207" i="25"/>
  <c r="L207" i="25"/>
  <c r="K207" i="25"/>
  <c r="J207" i="25"/>
  <c r="E207" i="25"/>
  <c r="D207" i="25"/>
  <c r="C207" i="25"/>
  <c r="P206" i="25"/>
  <c r="L206" i="25"/>
  <c r="K206" i="25"/>
  <c r="J206" i="25"/>
  <c r="E206" i="25"/>
  <c r="D206" i="25"/>
  <c r="C206" i="25"/>
  <c r="P205" i="25"/>
  <c r="L205" i="25"/>
  <c r="K205" i="25"/>
  <c r="J205" i="25"/>
  <c r="E205" i="25"/>
  <c r="D205" i="25"/>
  <c r="C205" i="25"/>
  <c r="P204" i="25"/>
  <c r="L204" i="25"/>
  <c r="K204" i="25"/>
  <c r="J204" i="25"/>
  <c r="E204" i="25"/>
  <c r="D204" i="25"/>
  <c r="C204" i="25"/>
  <c r="P203" i="25"/>
  <c r="L203" i="25"/>
  <c r="K203" i="25"/>
  <c r="J203" i="25"/>
  <c r="E203" i="25"/>
  <c r="D203" i="25"/>
  <c r="C203" i="25"/>
  <c r="P202" i="25"/>
  <c r="L202" i="25"/>
  <c r="K202" i="25"/>
  <c r="J202" i="25"/>
  <c r="E202" i="25"/>
  <c r="D202" i="25"/>
  <c r="C202" i="25"/>
  <c r="P201" i="25"/>
  <c r="L201" i="25"/>
  <c r="K201" i="25"/>
  <c r="J201" i="25"/>
  <c r="E201" i="25"/>
  <c r="D201" i="25"/>
  <c r="C201" i="25"/>
  <c r="P200" i="25"/>
  <c r="M332" i="25"/>
  <c r="F332" i="25"/>
  <c r="M313" i="25"/>
  <c r="F313" i="25"/>
  <c r="M294" i="25"/>
  <c r="F294" i="25"/>
  <c r="M275" i="25"/>
  <c r="F275" i="25"/>
  <c r="M256" i="25"/>
  <c r="F256" i="25"/>
  <c r="M237" i="25"/>
  <c r="F237" i="25"/>
  <c r="M218" i="25"/>
  <c r="F218" i="25"/>
  <c r="M331" i="25"/>
  <c r="F331" i="25"/>
  <c r="M312" i="25"/>
  <c r="F312" i="25"/>
  <c r="M293" i="25"/>
  <c r="F293" i="25"/>
  <c r="M274" i="25"/>
  <c r="F274" i="25"/>
  <c r="M255" i="25"/>
  <c r="F255" i="25"/>
  <c r="M236" i="25"/>
  <c r="F236" i="25"/>
  <c r="M217" i="25"/>
  <c r="F217" i="25"/>
  <c r="M330" i="25"/>
  <c r="F330" i="25"/>
  <c r="M311" i="25"/>
  <c r="F311" i="25"/>
  <c r="M292" i="25"/>
  <c r="F292" i="25"/>
  <c r="M273" i="25"/>
  <c r="F273" i="25"/>
  <c r="M254" i="25"/>
  <c r="F254" i="25"/>
  <c r="M235" i="25"/>
  <c r="F235" i="25"/>
  <c r="M216" i="25"/>
  <c r="F216" i="25"/>
  <c r="M329" i="25"/>
  <c r="F329" i="25"/>
  <c r="M310" i="25"/>
  <c r="F310" i="25"/>
  <c r="M291" i="25"/>
  <c r="F291" i="25"/>
  <c r="M272" i="25"/>
  <c r="F272" i="25"/>
  <c r="M253" i="25"/>
  <c r="F253" i="25"/>
  <c r="M234" i="25"/>
  <c r="F234" i="25"/>
  <c r="M215" i="25"/>
  <c r="F215" i="25"/>
  <c r="M328" i="25"/>
  <c r="F328" i="25"/>
  <c r="M309" i="25"/>
  <c r="F309" i="25"/>
  <c r="M290" i="25"/>
  <c r="F290" i="25"/>
  <c r="M271" i="25"/>
  <c r="F271" i="25"/>
  <c r="M252" i="25"/>
  <c r="F252" i="25"/>
  <c r="M233" i="25"/>
  <c r="F233" i="25"/>
  <c r="M214" i="25"/>
  <c r="F214" i="25"/>
  <c r="M327" i="25"/>
  <c r="F327" i="25"/>
  <c r="M308" i="25"/>
  <c r="F308" i="25"/>
  <c r="M289" i="25"/>
  <c r="F289" i="25"/>
  <c r="M270" i="25"/>
  <c r="F270" i="25"/>
  <c r="M251" i="25"/>
  <c r="F251" i="25"/>
  <c r="M232" i="25"/>
  <c r="F232" i="25"/>
  <c r="M213" i="25"/>
  <c r="F213" i="25"/>
  <c r="M326" i="25"/>
  <c r="F326" i="25"/>
  <c r="M307" i="25"/>
  <c r="F307" i="25"/>
  <c r="M288" i="25"/>
  <c r="F288" i="25"/>
  <c r="M269" i="25"/>
  <c r="F269" i="25"/>
  <c r="M250" i="25"/>
  <c r="F250" i="25"/>
  <c r="M231" i="25"/>
  <c r="F231" i="25"/>
  <c r="M212" i="25"/>
  <c r="F212" i="25"/>
  <c r="M325" i="25"/>
  <c r="F325" i="25"/>
  <c r="M306" i="25"/>
  <c r="F306" i="25"/>
  <c r="M287" i="25"/>
  <c r="F287" i="25"/>
  <c r="M268" i="25"/>
  <c r="F268" i="25"/>
  <c r="M249" i="25"/>
  <c r="F249" i="25"/>
  <c r="M230" i="25"/>
  <c r="F230" i="25"/>
  <c r="M211" i="25"/>
  <c r="F211" i="25"/>
  <c r="M324" i="25"/>
  <c r="F324" i="25"/>
  <c r="M305" i="25"/>
  <c r="F305" i="25"/>
  <c r="M286" i="25"/>
  <c r="F286" i="25"/>
  <c r="M267" i="25"/>
  <c r="F267" i="25"/>
  <c r="M248" i="25"/>
  <c r="F248" i="25"/>
  <c r="M229" i="25"/>
  <c r="F229" i="25"/>
  <c r="M210" i="25"/>
  <c r="F210" i="25"/>
  <c r="M323" i="25"/>
  <c r="F323" i="25"/>
  <c r="M304" i="25"/>
  <c r="F304" i="25"/>
  <c r="M285" i="25"/>
  <c r="F285" i="25"/>
  <c r="M266" i="25"/>
  <c r="F266" i="25"/>
  <c r="M247" i="25"/>
  <c r="F247" i="25"/>
  <c r="M228" i="25"/>
  <c r="F228" i="25"/>
  <c r="M209" i="25"/>
  <c r="F209" i="25"/>
  <c r="M322" i="25"/>
  <c r="F322" i="25"/>
  <c r="M303" i="25"/>
  <c r="F303" i="25"/>
  <c r="M284" i="25"/>
  <c r="F284" i="25"/>
  <c r="M265" i="25"/>
  <c r="F265" i="25"/>
  <c r="M246" i="25"/>
  <c r="F246" i="25"/>
  <c r="M227" i="25"/>
  <c r="F227" i="25"/>
  <c r="M208" i="25"/>
  <c r="F208" i="25"/>
  <c r="M321" i="25"/>
  <c r="F321" i="25"/>
  <c r="M302" i="25"/>
  <c r="F302" i="25"/>
  <c r="M283" i="25"/>
  <c r="F283" i="25"/>
  <c r="M264" i="25"/>
  <c r="F264" i="25"/>
  <c r="M245" i="25"/>
  <c r="F245" i="25"/>
  <c r="M226" i="25"/>
  <c r="F226" i="25"/>
  <c r="M207" i="25"/>
  <c r="F207" i="25"/>
  <c r="M320" i="25"/>
  <c r="F320" i="25"/>
  <c r="M301" i="25"/>
  <c r="F301" i="25"/>
  <c r="M282" i="25"/>
  <c r="F282" i="25"/>
  <c r="M263" i="25"/>
  <c r="F263" i="25"/>
  <c r="M244" i="25"/>
  <c r="F244" i="25"/>
  <c r="M225" i="25"/>
  <c r="F225" i="25"/>
  <c r="M206" i="25"/>
  <c r="F206" i="25"/>
  <c r="M319" i="25"/>
  <c r="F319" i="25"/>
  <c r="M300" i="25"/>
  <c r="F300" i="25"/>
  <c r="M281" i="25"/>
  <c r="F281" i="25"/>
  <c r="M262" i="25"/>
  <c r="F262" i="25"/>
  <c r="M243" i="25"/>
  <c r="F243" i="25"/>
  <c r="M220" i="25"/>
  <c r="F224" i="25"/>
  <c r="M205" i="25"/>
  <c r="F205" i="25"/>
  <c r="M318" i="25"/>
  <c r="F318" i="25"/>
  <c r="M299" i="25"/>
  <c r="F299" i="25"/>
  <c r="M280" i="25"/>
  <c r="F280" i="25"/>
  <c r="M261" i="25"/>
  <c r="F261" i="25"/>
  <c r="M242" i="25"/>
  <c r="F242" i="25"/>
  <c r="M223" i="25"/>
  <c r="F223" i="25"/>
  <c r="M204" i="25"/>
  <c r="F204" i="25"/>
  <c r="M317" i="25"/>
  <c r="F317" i="25"/>
  <c r="M298" i="25"/>
  <c r="F298" i="25"/>
  <c r="M279" i="25"/>
  <c r="F279" i="25"/>
  <c r="M260" i="25"/>
  <c r="F260" i="25"/>
  <c r="M241" i="25"/>
  <c r="F241" i="25"/>
  <c r="M222" i="25"/>
  <c r="F222" i="25"/>
  <c r="M203" i="25"/>
  <c r="F203" i="25"/>
  <c r="M316" i="25"/>
  <c r="F316" i="25"/>
  <c r="M297" i="25"/>
  <c r="F297" i="25"/>
  <c r="M277" i="25"/>
  <c r="F278" i="25"/>
  <c r="M259" i="25"/>
  <c r="F259" i="25"/>
  <c r="M240" i="25"/>
  <c r="F240" i="25"/>
  <c r="M221" i="25"/>
  <c r="F221" i="25"/>
  <c r="M202" i="25"/>
  <c r="F202" i="25"/>
  <c r="M315" i="25"/>
  <c r="F315" i="25"/>
  <c r="M296" i="25"/>
  <c r="F296" i="25"/>
  <c r="F277" i="25"/>
  <c r="M258" i="25"/>
  <c r="F258" i="25"/>
  <c r="M239" i="25"/>
  <c r="F239" i="25"/>
  <c r="F220" i="25"/>
  <c r="M201" i="25"/>
  <c r="F201" i="25"/>
  <c r="M278" i="25"/>
  <c r="M224" i="25"/>
  <c r="V33" i="22"/>
  <c r="B31" i="22"/>
  <c r="B31" i="23" s="1"/>
  <c r="G144" i="19"/>
  <c r="E144" i="19"/>
  <c r="D144" i="19"/>
  <c r="E132" i="19"/>
  <c r="D132" i="19"/>
  <c r="E120" i="19"/>
  <c r="D120" i="19"/>
  <c r="E108" i="19"/>
  <c r="D108" i="19"/>
  <c r="E96" i="19"/>
  <c r="D96" i="19"/>
  <c r="E84" i="19"/>
  <c r="D84" i="19"/>
  <c r="E72" i="19"/>
  <c r="D72" i="19"/>
  <c r="E60" i="19"/>
  <c r="D60" i="19"/>
  <c r="B57" i="23"/>
  <c r="B53" i="23"/>
  <c r="B49" i="23"/>
  <c r="B41" i="23"/>
  <c r="B24" i="23"/>
  <c r="B20" i="23"/>
  <c r="B15" i="23"/>
  <c r="J62" i="22"/>
  <c r="D74" i="3"/>
  <c r="S92" i="10"/>
  <c r="S78" i="10"/>
  <c r="S64" i="10"/>
  <c r="S50" i="10"/>
  <c r="E29" i="10"/>
  <c r="G29" i="10"/>
  <c r="E30" i="10"/>
  <c r="E31" i="10"/>
  <c r="S36" i="10"/>
  <c r="S22" i="10"/>
  <c r="S8" i="10"/>
  <c r="G143" i="19"/>
  <c r="E143" i="19"/>
  <c r="D143" i="19"/>
  <c r="E142" i="19"/>
  <c r="D142" i="19"/>
  <c r="E141" i="19"/>
  <c r="D141" i="19"/>
  <c r="E140" i="19"/>
  <c r="D140" i="19"/>
  <c r="E139" i="19"/>
  <c r="D139" i="19"/>
  <c r="G138" i="19"/>
  <c r="E138" i="19"/>
  <c r="D138" i="19"/>
  <c r="E137" i="19"/>
  <c r="D137" i="19"/>
  <c r="E136" i="19"/>
  <c r="D136" i="19"/>
  <c r="E135" i="19"/>
  <c r="D135" i="19"/>
  <c r="E134" i="19"/>
  <c r="D134" i="19"/>
  <c r="G131" i="19"/>
  <c r="E131" i="19"/>
  <c r="D131" i="19"/>
  <c r="E130" i="19"/>
  <c r="D130" i="19"/>
  <c r="E129" i="19"/>
  <c r="D129" i="19"/>
  <c r="E128" i="19"/>
  <c r="D128" i="19"/>
  <c r="E127" i="19"/>
  <c r="D127" i="19"/>
  <c r="G126" i="19"/>
  <c r="E126" i="19"/>
  <c r="D126" i="19"/>
  <c r="E125" i="19"/>
  <c r="D125" i="19"/>
  <c r="E124" i="19"/>
  <c r="D124" i="19"/>
  <c r="E123" i="19"/>
  <c r="D123" i="19"/>
  <c r="E122" i="19"/>
  <c r="D122" i="19"/>
  <c r="G119" i="19"/>
  <c r="E119" i="19"/>
  <c r="D119" i="19"/>
  <c r="E118" i="19"/>
  <c r="D118" i="19"/>
  <c r="E117" i="19"/>
  <c r="D117" i="19"/>
  <c r="E116" i="19"/>
  <c r="D116" i="19"/>
  <c r="E115" i="19"/>
  <c r="D115" i="19"/>
  <c r="G114" i="19"/>
  <c r="E114" i="19"/>
  <c r="D114" i="19"/>
  <c r="E113" i="19"/>
  <c r="D113" i="19"/>
  <c r="E112" i="19"/>
  <c r="D112" i="19"/>
  <c r="E111" i="19"/>
  <c r="D111" i="19"/>
  <c r="E110" i="19"/>
  <c r="D110" i="19"/>
  <c r="G107" i="19"/>
  <c r="E107" i="19"/>
  <c r="D107" i="19"/>
  <c r="E106" i="19"/>
  <c r="D106" i="19"/>
  <c r="E105" i="19"/>
  <c r="D105" i="19"/>
  <c r="E104" i="19"/>
  <c r="D104" i="19"/>
  <c r="E103" i="19"/>
  <c r="D103" i="19"/>
  <c r="G102" i="19"/>
  <c r="E102" i="19"/>
  <c r="D102" i="19"/>
  <c r="E101" i="19"/>
  <c r="D101" i="19"/>
  <c r="E100" i="19"/>
  <c r="D100" i="19"/>
  <c r="E99" i="19"/>
  <c r="D99" i="19"/>
  <c r="E98" i="19"/>
  <c r="D98" i="19"/>
  <c r="G95" i="19"/>
  <c r="E95" i="19"/>
  <c r="D95" i="19"/>
  <c r="E94" i="19"/>
  <c r="D94" i="19"/>
  <c r="E93" i="19"/>
  <c r="D93" i="19"/>
  <c r="E92" i="19"/>
  <c r="D92" i="19"/>
  <c r="E91" i="19"/>
  <c r="D91" i="19"/>
  <c r="G90" i="19"/>
  <c r="E90" i="19"/>
  <c r="D90" i="19"/>
  <c r="E89" i="19"/>
  <c r="D89" i="19"/>
  <c r="E88" i="19"/>
  <c r="D88" i="19"/>
  <c r="E87" i="19"/>
  <c r="D87" i="19"/>
  <c r="E86" i="19"/>
  <c r="D86" i="19"/>
  <c r="G83" i="19"/>
  <c r="E83" i="19"/>
  <c r="D83" i="19"/>
  <c r="E82" i="19"/>
  <c r="D82" i="19"/>
  <c r="E81" i="19"/>
  <c r="D81" i="19"/>
  <c r="E80" i="19"/>
  <c r="D80" i="19"/>
  <c r="E79" i="19"/>
  <c r="D79" i="19"/>
  <c r="G78" i="19"/>
  <c r="E78" i="19"/>
  <c r="D78" i="19"/>
  <c r="E77" i="19"/>
  <c r="D77" i="19"/>
  <c r="E76" i="19"/>
  <c r="D76" i="19"/>
  <c r="E75" i="19"/>
  <c r="D75" i="19"/>
  <c r="E74" i="19"/>
  <c r="D74" i="19"/>
  <c r="G71" i="19"/>
  <c r="E71" i="19"/>
  <c r="D71" i="19"/>
  <c r="E70" i="19"/>
  <c r="D70" i="19"/>
  <c r="E69" i="19"/>
  <c r="D69" i="19"/>
  <c r="E68" i="19"/>
  <c r="D68" i="19"/>
  <c r="E67" i="19"/>
  <c r="D67" i="19"/>
  <c r="G66" i="19"/>
  <c r="E66" i="19"/>
  <c r="D66" i="19"/>
  <c r="E65" i="19"/>
  <c r="D65" i="19"/>
  <c r="E64" i="19"/>
  <c r="D64" i="19"/>
  <c r="E63" i="19"/>
  <c r="D63" i="19"/>
  <c r="E62" i="19"/>
  <c r="D62" i="19"/>
  <c r="G59" i="19"/>
  <c r="E59" i="19"/>
  <c r="D59" i="19"/>
  <c r="E58" i="19"/>
  <c r="D58" i="19"/>
  <c r="E57" i="19"/>
  <c r="D57" i="19"/>
  <c r="E56" i="19"/>
  <c r="D56" i="19"/>
  <c r="E55" i="19"/>
  <c r="D55" i="19"/>
  <c r="G54" i="19"/>
  <c r="E54" i="19"/>
  <c r="D54" i="19"/>
  <c r="E53" i="19"/>
  <c r="D53" i="19"/>
  <c r="E52" i="19"/>
  <c r="D52" i="19"/>
  <c r="E51" i="19"/>
  <c r="D51" i="19"/>
  <c r="E50" i="19"/>
  <c r="D50" i="19"/>
  <c r="C48" i="19"/>
  <c r="F145" i="19"/>
  <c r="F133" i="19"/>
  <c r="F121" i="19"/>
  <c r="F109" i="19"/>
  <c r="F97" i="19"/>
  <c r="F85" i="19"/>
  <c r="F73" i="19"/>
  <c r="F61" i="19"/>
  <c r="F144" i="19"/>
  <c r="F132" i="19"/>
  <c r="F131" i="19"/>
  <c r="F120" i="19"/>
  <c r="F108" i="19"/>
  <c r="F107" i="19"/>
  <c r="F96" i="19"/>
  <c r="F84" i="19"/>
  <c r="F78" i="19"/>
  <c r="F72" i="19"/>
  <c r="F60" i="19"/>
  <c r="F59" i="19"/>
  <c r="F141" i="19"/>
  <c r="F134" i="19"/>
  <c r="F129" i="19"/>
  <c r="F128" i="19"/>
  <c r="F112" i="19"/>
  <c r="F99" i="19"/>
  <c r="F93" i="19"/>
  <c r="F92" i="19"/>
  <c r="F86" i="19"/>
  <c r="F64" i="19"/>
  <c r="F68" i="19"/>
  <c r="F56" i="19"/>
  <c r="D1" i="13"/>
  <c r="E1" i="13" s="1"/>
  <c r="K33" i="23"/>
  <c r="L32" i="23"/>
  <c r="K32" i="23"/>
  <c r="J32" i="23"/>
  <c r="I32" i="23"/>
  <c r="D32" i="23"/>
  <c r="C32" i="23"/>
  <c r="B32" i="23"/>
  <c r="A1" i="23"/>
  <c r="D62" i="22"/>
  <c r="B58" i="22"/>
  <c r="B58" i="23" s="1"/>
  <c r="D18" i="31" s="1"/>
  <c r="B50" i="22"/>
  <c r="B51" i="23" s="1"/>
  <c r="B49" i="22"/>
  <c r="B50" i="23" s="1"/>
  <c r="B42" i="22"/>
  <c r="B42" i="23" s="1"/>
  <c r="D39" i="22"/>
  <c r="D39" i="23" s="1"/>
  <c r="B39" i="22"/>
  <c r="B39" i="23" s="1"/>
  <c r="D38" i="22"/>
  <c r="D38" i="23" s="1"/>
  <c r="B38" i="22"/>
  <c r="B38" i="23" s="1"/>
  <c r="D37" i="22"/>
  <c r="D37" i="23" s="1"/>
  <c r="B37" i="22"/>
  <c r="B37" i="23" s="1"/>
  <c r="D36" i="22"/>
  <c r="D36" i="23" s="1"/>
  <c r="B36" i="22"/>
  <c r="B36" i="23" s="1"/>
  <c r="D35" i="22"/>
  <c r="D35" i="23" s="1"/>
  <c r="B35" i="22"/>
  <c r="B35" i="23" s="1"/>
  <c r="D34" i="22"/>
  <c r="D34" i="23" s="1"/>
  <c r="B34" i="22"/>
  <c r="B34" i="23" s="1"/>
  <c r="D33" i="22"/>
  <c r="D33" i="23" s="1"/>
  <c r="B33" i="22"/>
  <c r="B33" i="23" s="1"/>
  <c r="C29" i="22"/>
  <c r="C29" i="23" s="1"/>
  <c r="F22" i="22"/>
  <c r="E22" i="23" s="1"/>
  <c r="F21" i="22"/>
  <c r="P21" i="22" s="1"/>
  <c r="B18" i="22"/>
  <c r="B18" i="23" s="1"/>
  <c r="B17" i="22"/>
  <c r="B17" i="23" s="1"/>
  <c r="B16" i="22"/>
  <c r="B16" i="23" s="1"/>
  <c r="E13" i="23"/>
  <c r="D21" i="31" s="1"/>
  <c r="A13" i="22"/>
  <c r="A13" i="23" s="1"/>
  <c r="F12" i="22"/>
  <c r="E12" i="23" s="1"/>
  <c r="D15" i="31" s="1"/>
  <c r="A12" i="22"/>
  <c r="A12" i="23" s="1"/>
  <c r="E11" i="23"/>
  <c r="D19" i="31" s="1"/>
  <c r="A11" i="22"/>
  <c r="A11" i="23" s="1"/>
  <c r="A10" i="22"/>
  <c r="A10" i="23" s="1"/>
  <c r="A8" i="22"/>
  <c r="A8" i="23" s="1"/>
  <c r="F7" i="22"/>
  <c r="E7" i="23" s="1"/>
  <c r="D10" i="31" s="1"/>
  <c r="A7" i="22"/>
  <c r="A7" i="23" s="1"/>
  <c r="F6" i="22"/>
  <c r="E6" i="23" s="1"/>
  <c r="D9" i="31" s="1"/>
  <c r="A6" i="22"/>
  <c r="A6" i="23" s="1"/>
  <c r="A5" i="22"/>
  <c r="A5" i="23" s="1"/>
  <c r="AE148" i="10"/>
  <c r="AF149" i="10" s="1"/>
  <c r="Z148" i="10"/>
  <c r="AA149" i="10" s="1"/>
  <c r="U145" i="10"/>
  <c r="V146" i="10" s="1"/>
  <c r="P145" i="10"/>
  <c r="Q146" i="10" s="1"/>
  <c r="K148" i="10"/>
  <c r="L147" i="10" s="1"/>
  <c r="F148" i="10"/>
  <c r="G149" i="10" s="1"/>
  <c r="A148" i="10"/>
  <c r="D147" i="10" s="1"/>
  <c r="AE143" i="10"/>
  <c r="AF142" i="10" s="1"/>
  <c r="Z143" i="10"/>
  <c r="AC142" i="10" s="1"/>
  <c r="U140" i="10"/>
  <c r="V139" i="10" s="1"/>
  <c r="P140" i="10"/>
  <c r="Q141" i="10" s="1"/>
  <c r="K143" i="10"/>
  <c r="L144" i="10" s="1"/>
  <c r="F143" i="10"/>
  <c r="G142" i="10" s="1"/>
  <c r="A143" i="10"/>
  <c r="B144" i="10" s="1"/>
  <c r="AE138" i="10"/>
  <c r="AF139" i="10" s="1"/>
  <c r="Z138" i="10"/>
  <c r="AA137" i="10" s="1"/>
  <c r="U135" i="10"/>
  <c r="V136" i="10" s="1"/>
  <c r="P135" i="10"/>
  <c r="K138" i="10"/>
  <c r="L139" i="10" s="1"/>
  <c r="F138" i="10"/>
  <c r="G137" i="10" s="1"/>
  <c r="A138" i="10"/>
  <c r="B137" i="10" s="1"/>
  <c r="AE133" i="10"/>
  <c r="AF134" i="10" s="1"/>
  <c r="Z133" i="10"/>
  <c r="AA134" i="10" s="1"/>
  <c r="U130" i="10"/>
  <c r="V129" i="10" s="1"/>
  <c r="P130" i="10"/>
  <c r="Q129" i="10" s="1"/>
  <c r="K133" i="10"/>
  <c r="F133" i="10"/>
  <c r="G132" i="10" s="1"/>
  <c r="A133" i="10"/>
  <c r="D132" i="10" s="1"/>
  <c r="D78" i="10"/>
  <c r="R91" i="10" s="1"/>
  <c r="U91" i="10" s="1"/>
  <c r="W91" i="10" s="1"/>
  <c r="D42" i="10"/>
  <c r="R49" i="10" s="1"/>
  <c r="U49" i="10" s="1"/>
  <c r="W49" i="10" s="1"/>
  <c r="Y49" i="10" s="1"/>
  <c r="D18" i="10"/>
  <c r="R21" i="10" s="1"/>
  <c r="U21" i="10" s="1"/>
  <c r="W21" i="10" s="1"/>
  <c r="X21" i="10" s="1"/>
  <c r="C105" i="10"/>
  <c r="D105" i="10"/>
  <c r="C103" i="10"/>
  <c r="D103" i="10" s="1"/>
  <c r="A99" i="10"/>
  <c r="B88" i="10"/>
  <c r="E79" i="10"/>
  <c r="D79" i="10"/>
  <c r="R92" i="10" s="1"/>
  <c r="E78" i="10"/>
  <c r="G77" i="10"/>
  <c r="E77" i="10"/>
  <c r="E67" i="10"/>
  <c r="D67" i="10"/>
  <c r="R78" i="10" s="1"/>
  <c r="U78" i="10" s="1"/>
  <c r="W78" i="10" s="1"/>
  <c r="X78" i="10" s="1"/>
  <c r="E66" i="10"/>
  <c r="D66" i="10"/>
  <c r="R77" i="10" s="1"/>
  <c r="U77" i="10" s="1"/>
  <c r="W77" i="10" s="1"/>
  <c r="G65" i="10"/>
  <c r="E65" i="10"/>
  <c r="E55" i="10"/>
  <c r="D55" i="10"/>
  <c r="R64" i="10" s="1"/>
  <c r="E54" i="10"/>
  <c r="G53" i="10"/>
  <c r="E53" i="10"/>
  <c r="E43" i="10"/>
  <c r="D43" i="10"/>
  <c r="R50" i="10" s="1"/>
  <c r="U50" i="10" s="1"/>
  <c r="W50" i="10" s="1"/>
  <c r="E42" i="10"/>
  <c r="G41" i="10"/>
  <c r="E41" i="10"/>
  <c r="D31" i="10"/>
  <c r="D30" i="10"/>
  <c r="R35" i="10" s="1"/>
  <c r="U35" i="10" s="1"/>
  <c r="W35" i="10" s="1"/>
  <c r="E19" i="10"/>
  <c r="D19" i="10"/>
  <c r="R22" i="10" s="1"/>
  <c r="E18" i="10"/>
  <c r="G17" i="10"/>
  <c r="E17" i="10"/>
  <c r="E7" i="10"/>
  <c r="D7" i="10"/>
  <c r="R8" i="10" s="1"/>
  <c r="E6" i="10"/>
  <c r="G5" i="10"/>
  <c r="E5" i="10"/>
  <c r="D80" i="3"/>
  <c r="D79" i="3"/>
  <c r="D78" i="3"/>
  <c r="D77" i="3"/>
  <c r="D76" i="3"/>
  <c r="D75" i="3"/>
  <c r="K29" i="3"/>
  <c r="N29" i="22" s="1"/>
  <c r="N29" i="23" s="1"/>
  <c r="K28" i="3"/>
  <c r="N28" i="22"/>
  <c r="N28" i="23" s="1"/>
  <c r="C28" i="3"/>
  <c r="C28" i="22" s="1"/>
  <c r="C28" i="23" s="1"/>
  <c r="K27" i="3"/>
  <c r="N27" i="22" s="1"/>
  <c r="N27" i="23" s="1"/>
  <c r="C27" i="3"/>
  <c r="C27" i="22" s="1"/>
  <c r="C27" i="23" s="1"/>
  <c r="B22" i="3"/>
  <c r="B22" i="22" s="1"/>
  <c r="B22" i="23" s="1"/>
  <c r="B21" i="3"/>
  <c r="B21" i="22" s="1"/>
  <c r="B21" i="23" s="1"/>
  <c r="N17" i="3"/>
  <c r="G96" i="10" s="1"/>
  <c r="J95" i="10" s="1"/>
  <c r="N16" i="3"/>
  <c r="G92" i="10" s="1"/>
  <c r="H93" i="10" s="1"/>
  <c r="B7" i="29"/>
  <c r="R36" i="10"/>
  <c r="U36" i="10" s="1"/>
  <c r="W36" i="10" s="1"/>
  <c r="L79" i="3"/>
  <c r="D65" i="10" s="1"/>
  <c r="F65" i="10" s="1"/>
  <c r="I65" i="10" s="1"/>
  <c r="J65" i="10" s="1"/>
  <c r="K65" i="10" s="1"/>
  <c r="AC147" i="10"/>
  <c r="L149" i="10"/>
  <c r="H97" i="10"/>
  <c r="F87" i="19"/>
  <c r="F82" i="19"/>
  <c r="F77" i="19"/>
  <c r="F130" i="19"/>
  <c r="F125" i="19"/>
  <c r="F55" i="19"/>
  <c r="F50" i="19"/>
  <c r="F116" i="19"/>
  <c r="F111" i="19"/>
  <c r="F57" i="19"/>
  <c r="F52" i="19"/>
  <c r="F81" i="19"/>
  <c r="F76" i="19"/>
  <c r="F127" i="19"/>
  <c r="F122" i="19"/>
  <c r="F70" i="19"/>
  <c r="F65" i="19"/>
  <c r="F118" i="19"/>
  <c r="F113" i="19"/>
  <c r="F79" i="19"/>
  <c r="F74" i="19"/>
  <c r="F105" i="19"/>
  <c r="F100" i="19"/>
  <c r="F140" i="19"/>
  <c r="F135" i="19"/>
  <c r="F58" i="19"/>
  <c r="F53" i="19"/>
  <c r="F106" i="19"/>
  <c r="F101" i="19"/>
  <c r="F119" i="19"/>
  <c r="F114" i="19"/>
  <c r="F103" i="19"/>
  <c r="F98" i="19"/>
  <c r="F94" i="19"/>
  <c r="F89" i="19"/>
  <c r="F142" i="19"/>
  <c r="F137" i="19"/>
  <c r="F67" i="19"/>
  <c r="F62" i="19"/>
  <c r="F69" i="19"/>
  <c r="F80" i="19"/>
  <c r="F75" i="19"/>
  <c r="F91" i="19"/>
  <c r="F104" i="19"/>
  <c r="F115" i="19"/>
  <c r="F110" i="19"/>
  <c r="F117" i="19"/>
  <c r="F139" i="19"/>
  <c r="F136" i="19"/>
  <c r="F71" i="19"/>
  <c r="F66" i="19"/>
  <c r="F83" i="19"/>
  <c r="F95" i="19"/>
  <c r="F90" i="19"/>
  <c r="F143" i="19"/>
  <c r="F138" i="19"/>
  <c r="F51" i="19"/>
  <c r="A122" i="10"/>
  <c r="U125" i="10" s="1"/>
  <c r="U153" i="10"/>
  <c r="X152" i="10" s="1"/>
  <c r="G81" i="19"/>
  <c r="D54" i="10"/>
  <c r="F54" i="10" s="1"/>
  <c r="I54" i="10" s="1"/>
  <c r="J54" i="10" s="1"/>
  <c r="K54" i="10" s="1"/>
  <c r="D6" i="10"/>
  <c r="G69" i="19"/>
  <c r="G63" i="19"/>
  <c r="G62" i="19"/>
  <c r="G67" i="19"/>
  <c r="G68" i="19"/>
  <c r="G65" i="19"/>
  <c r="G70" i="19"/>
  <c r="G51" i="19"/>
  <c r="G58" i="19"/>
  <c r="G52" i="19"/>
  <c r="G55" i="19"/>
  <c r="L74" i="3" l="1"/>
  <c r="D5" i="10" s="1"/>
  <c r="U8" i="10"/>
  <c r="W8" i="10" s="1"/>
  <c r="X8" i="10" s="1"/>
  <c r="U92" i="10"/>
  <c r="W92" i="10" s="1"/>
  <c r="F31" i="10"/>
  <c r="I31" i="10" s="1"/>
  <c r="J31" i="10" s="1"/>
  <c r="K31" i="10" s="1"/>
  <c r="V144" i="10"/>
  <c r="T28" i="22"/>
  <c r="F6" i="10"/>
  <c r="I6" i="10" s="1"/>
  <c r="J6" i="10" s="1"/>
  <c r="K6" i="10" s="1"/>
  <c r="L75" i="3"/>
  <c r="D17" i="10" s="1"/>
  <c r="R20" i="10" s="1"/>
  <c r="U20" i="10" s="1"/>
  <c r="W20" i="10" s="1"/>
  <c r="U22" i="10"/>
  <c r="W22" i="10" s="1"/>
  <c r="U64" i="10"/>
  <c r="W64" i="10" s="1"/>
  <c r="X64" i="10" s="1"/>
  <c r="L78" i="3"/>
  <c r="D53" i="10" s="1"/>
  <c r="R62" i="10" s="1"/>
  <c r="U62" i="10" s="1"/>
  <c r="W62" i="10" s="1"/>
  <c r="X62" i="10" s="1"/>
  <c r="Q139" i="10"/>
  <c r="B222" i="28"/>
  <c r="B154" i="19"/>
  <c r="H104" i="10" s="1"/>
  <c r="C104" i="10" s="1"/>
  <c r="D104" i="10" s="1"/>
  <c r="AA142" i="10"/>
  <c r="AA144" i="10"/>
  <c r="AA139" i="10"/>
  <c r="V131" i="10"/>
  <c r="F18" i="10"/>
  <c r="I18" i="10" s="1"/>
  <c r="J18" i="10" s="1"/>
  <c r="K18" i="10" s="1"/>
  <c r="P22" i="22"/>
  <c r="L137" i="10"/>
  <c r="G134" i="10"/>
  <c r="L142" i="10"/>
  <c r="F55" i="10"/>
  <c r="I55" i="10" s="1"/>
  <c r="J55" i="10" s="1"/>
  <c r="K55" i="10" s="1"/>
  <c r="B134" i="10"/>
  <c r="A347" i="25"/>
  <c r="D85" i="3"/>
  <c r="J15" i="29" s="1"/>
  <c r="D87" i="3"/>
  <c r="B132" i="10"/>
  <c r="D84" i="3"/>
  <c r="D83" i="3"/>
  <c r="D89" i="3"/>
  <c r="P153" i="10" s="1"/>
  <c r="Q152" i="10" s="1"/>
  <c r="D86" i="3"/>
  <c r="G139" i="10"/>
  <c r="D88" i="3"/>
  <c r="B149" i="19"/>
  <c r="C7" i="29" s="1"/>
  <c r="L3" i="13"/>
  <c r="M3" i="13" s="1"/>
  <c r="B45" i="3" s="1"/>
  <c r="B44" i="22" s="1"/>
  <c r="B44" i="23" s="1"/>
  <c r="D199" i="28"/>
  <c r="M234" i="28"/>
  <c r="M244" i="28" s="1"/>
  <c r="D208" i="28"/>
  <c r="D218" i="28"/>
  <c r="B147" i="10"/>
  <c r="AF132" i="10"/>
  <c r="F66" i="10"/>
  <c r="I66" i="10" s="1"/>
  <c r="J66" i="10" s="1"/>
  <c r="K66" i="10" s="1"/>
  <c r="F347" i="25"/>
  <c r="X154" i="10"/>
  <c r="B139" i="10"/>
  <c r="D137" i="10"/>
  <c r="E21" i="23"/>
  <c r="V152" i="10"/>
  <c r="V134" i="10"/>
  <c r="F42" i="10"/>
  <c r="I42" i="10" s="1"/>
  <c r="J42" i="10" s="1"/>
  <c r="K42" i="10" s="1"/>
  <c r="C221" i="28"/>
  <c r="D59" i="29" s="1"/>
  <c r="B201" i="28"/>
  <c r="E210" i="28"/>
  <c r="E70" i="29" s="1"/>
  <c r="D224" i="28"/>
  <c r="V154" i="10"/>
  <c r="G144" i="10"/>
  <c r="AA132" i="10"/>
  <c r="A212" i="28"/>
  <c r="AC132" i="10"/>
  <c r="F7" i="10"/>
  <c r="I7" i="10" s="1"/>
  <c r="J7" i="10" s="1"/>
  <c r="K7" i="10" s="1"/>
  <c r="B202" i="28"/>
  <c r="B209" i="28"/>
  <c r="Q131" i="10"/>
  <c r="A209" i="28"/>
  <c r="F79" i="10"/>
  <c r="I79" i="10" s="1"/>
  <c r="J79" i="10" s="1"/>
  <c r="K79" i="10" s="1"/>
  <c r="D217" i="28"/>
  <c r="D201" i="28"/>
  <c r="D223" i="28"/>
  <c r="AF144" i="10"/>
  <c r="D142" i="10"/>
  <c r="B57" i="31"/>
  <c r="B56" i="31"/>
  <c r="B55" i="31" s="1"/>
  <c r="S43" i="22"/>
  <c r="B195" i="28"/>
  <c r="C42" i="29" s="1"/>
  <c r="R63" i="10"/>
  <c r="U63" i="10" s="1"/>
  <c r="W63" i="10" s="1"/>
  <c r="Y63" i="10" s="1"/>
  <c r="F30" i="10"/>
  <c r="I30" i="10" s="1"/>
  <c r="J30" i="10" s="1"/>
  <c r="K30" i="10" s="1"/>
  <c r="B142" i="10"/>
  <c r="A121" i="10"/>
  <c r="P125" i="10" s="1"/>
  <c r="Q126" i="10" s="1"/>
  <c r="G205" i="28"/>
  <c r="O193" i="28"/>
  <c r="O184" i="28"/>
  <c r="E223" i="28" s="1"/>
  <c r="E61" i="29" s="1"/>
  <c r="O175" i="28"/>
  <c r="E222" i="28" s="1"/>
  <c r="E60" i="29" s="1"/>
  <c r="O166" i="28"/>
  <c r="E221" i="28" s="1"/>
  <c r="E59" i="29" s="1"/>
  <c r="O187" i="28"/>
  <c r="O178" i="28"/>
  <c r="O169" i="28"/>
  <c r="O160" i="28"/>
  <c r="G197" i="28"/>
  <c r="G144" i="28"/>
  <c r="E203" i="28" s="1"/>
  <c r="E49" i="29" s="1"/>
  <c r="G138" i="28"/>
  <c r="G129" i="28"/>
  <c r="G120" i="28"/>
  <c r="G111" i="28"/>
  <c r="G102" i="28"/>
  <c r="G147" i="28"/>
  <c r="G153" i="28"/>
  <c r="E204" i="28" s="1"/>
  <c r="E50" i="29" s="1"/>
  <c r="G135" i="28"/>
  <c r="E202" i="28" s="1"/>
  <c r="E48" i="29" s="1"/>
  <c r="G126" i="28"/>
  <c r="E201" i="28" s="1"/>
  <c r="E47" i="29" s="1"/>
  <c r="G117" i="28"/>
  <c r="E200" i="28" s="1"/>
  <c r="E46" i="29" s="1"/>
  <c r="G108" i="28"/>
  <c r="E199" i="28" s="1"/>
  <c r="E45" i="29" s="1"/>
  <c r="O46" i="3"/>
  <c r="P47" i="3" s="1"/>
  <c r="B46" i="3" s="1"/>
  <c r="G193" i="28"/>
  <c r="E218" i="28" s="1"/>
  <c r="E56" i="29" s="1"/>
  <c r="G184" i="28"/>
  <c r="E217" i="28" s="1"/>
  <c r="E55" i="29" s="1"/>
  <c r="G175" i="28"/>
  <c r="E215" i="28"/>
  <c r="E53" i="29" s="1"/>
  <c r="G201" i="28"/>
  <c r="B42" i="29"/>
  <c r="E209" i="28"/>
  <c r="E69" i="29" s="1"/>
  <c r="E211" i="28"/>
  <c r="C217" i="28"/>
  <c r="D55" i="29" s="1"/>
  <c r="B221" i="28"/>
  <c r="D200" i="28"/>
  <c r="B217" i="28"/>
  <c r="B218" i="28"/>
  <c r="B224" i="28"/>
  <c r="C224" i="28"/>
  <c r="D62" i="29" s="1"/>
  <c r="C222" i="28"/>
  <c r="D60" i="29" s="1"/>
  <c r="A201" i="28"/>
  <c r="A207" i="28"/>
  <c r="B215" i="28"/>
  <c r="A202" i="28"/>
  <c r="D203" i="28"/>
  <c r="D209" i="28"/>
  <c r="L77" i="3"/>
  <c r="D41" i="10" s="1"/>
  <c r="F41" i="10" s="1"/>
  <c r="I41" i="10" s="1"/>
  <c r="J41" i="10" s="1"/>
  <c r="K41" i="10" s="1"/>
  <c r="G77" i="19"/>
  <c r="L76" i="3"/>
  <c r="D29" i="10" s="1"/>
  <c r="R34" i="10" s="1"/>
  <c r="U34" i="10" s="1"/>
  <c r="W34" i="10" s="1"/>
  <c r="Y34" i="10" s="1"/>
  <c r="G79" i="19"/>
  <c r="G82" i="19"/>
  <c r="Q154" i="10"/>
  <c r="L80" i="3"/>
  <c r="D77" i="10" s="1"/>
  <c r="R90" i="10" s="1"/>
  <c r="U90" i="10" s="1"/>
  <c r="W90" i="10" s="1"/>
  <c r="Y50" i="10"/>
  <c r="X50" i="10"/>
  <c r="G334" i="25"/>
  <c r="L334" i="25" s="1"/>
  <c r="B336" i="25"/>
  <c r="G336" i="25" s="1"/>
  <c r="C25" i="29"/>
  <c r="C336" i="25"/>
  <c r="H336" i="25" s="1"/>
  <c r="X126" i="10"/>
  <c r="V124" i="10"/>
  <c r="X124" i="10"/>
  <c r="X92" i="10"/>
  <c r="Y92" i="10"/>
  <c r="Y77" i="10"/>
  <c r="X77" i="10"/>
  <c r="Y35" i="10"/>
  <c r="X35" i="10"/>
  <c r="A372" i="25"/>
  <c r="A334" i="25" s="1"/>
  <c r="A338" i="25" s="1"/>
  <c r="G64" i="19"/>
  <c r="F78" i="10"/>
  <c r="I78" i="10" s="1"/>
  <c r="J78" i="10" s="1"/>
  <c r="K78" i="10" s="1"/>
  <c r="F43" i="10"/>
  <c r="I43" i="10" s="1"/>
  <c r="J43" i="10" s="1"/>
  <c r="K43" i="10" s="1"/>
  <c r="G53" i="19"/>
  <c r="G76" i="19"/>
  <c r="AF147" i="10"/>
  <c r="B149" i="10"/>
  <c r="J97" i="10"/>
  <c r="AA147" i="10"/>
  <c r="G147" i="10"/>
  <c r="Q144" i="10"/>
  <c r="A208" i="28"/>
  <c r="H230" i="28" s="1"/>
  <c r="A203" i="28"/>
  <c r="B203" i="28"/>
  <c r="A216" i="28"/>
  <c r="A199" i="28"/>
  <c r="B204" i="28"/>
  <c r="C215" i="28"/>
  <c r="D53" i="29" s="1"/>
  <c r="I46" i="29" s="1"/>
  <c r="B223" i="28"/>
  <c r="B210" i="28"/>
  <c r="D207" i="28"/>
  <c r="D212" i="28"/>
  <c r="D215" i="28"/>
  <c r="D216" i="28"/>
  <c r="D222" i="28"/>
  <c r="R7" i="10"/>
  <c r="U7" i="10" s="1"/>
  <c r="W7" i="10" s="1"/>
  <c r="Y7" i="10" s="1"/>
  <c r="G74" i="19"/>
  <c r="AC137" i="10"/>
  <c r="E208" i="28"/>
  <c r="E68" i="29" s="1"/>
  <c r="C223" i="28"/>
  <c r="D61" i="29" s="1"/>
  <c r="C216" i="28"/>
  <c r="D54" i="29" s="1"/>
  <c r="C218" i="28"/>
  <c r="D56" i="29" s="1"/>
  <c r="A210" i="28"/>
  <c r="B216" i="28"/>
  <c r="B199" i="28"/>
  <c r="D211" i="28"/>
  <c r="C207" i="28"/>
  <c r="D67" i="29" s="1"/>
  <c r="C200" i="28"/>
  <c r="D46" i="29" s="1"/>
  <c r="C201" i="28"/>
  <c r="D47" i="29" s="1"/>
  <c r="C209" i="28"/>
  <c r="D69" i="29" s="1"/>
  <c r="C202" i="28"/>
  <c r="D48" i="29" s="1"/>
  <c r="C210" i="28"/>
  <c r="D70" i="29" s="1"/>
  <c r="C203" i="28"/>
  <c r="D49" i="29" s="1"/>
  <c r="C211" i="28"/>
  <c r="C204" i="28"/>
  <c r="D50" i="29" s="1"/>
  <c r="C212" i="28"/>
  <c r="D71" i="29" s="1"/>
  <c r="A215" i="28"/>
  <c r="A222" i="28"/>
  <c r="A217" i="28"/>
  <c r="A223" i="28"/>
  <c r="A218" i="28"/>
  <c r="A224" i="28"/>
  <c r="R6" i="10"/>
  <c r="U6" i="10" s="1"/>
  <c r="W6" i="10" s="1"/>
  <c r="F5" i="10"/>
  <c r="I5" i="10" s="1"/>
  <c r="J5" i="10" s="1"/>
  <c r="K5" i="10" s="1"/>
  <c r="Y20" i="10"/>
  <c r="X20" i="10"/>
  <c r="X36" i="10"/>
  <c r="Y36" i="10"/>
  <c r="X91" i="10"/>
  <c r="Y91" i="10"/>
  <c r="Q124" i="10"/>
  <c r="X7" i="10"/>
  <c r="Y22" i="10"/>
  <c r="X22" i="10"/>
  <c r="Q134" i="10"/>
  <c r="Q136" i="10"/>
  <c r="G133" i="19"/>
  <c r="G132" i="19"/>
  <c r="G57" i="19"/>
  <c r="E154" i="19" s="1"/>
  <c r="V126" i="10"/>
  <c r="Y78" i="10"/>
  <c r="X49" i="10"/>
  <c r="H95" i="10"/>
  <c r="H91" i="10"/>
  <c r="F67" i="10"/>
  <c r="I67" i="10" s="1"/>
  <c r="J67" i="10" s="1"/>
  <c r="K67" i="10" s="1"/>
  <c r="F19" i="10"/>
  <c r="I19" i="10" s="1"/>
  <c r="J19" i="10" s="1"/>
  <c r="K19" i="10" s="1"/>
  <c r="AF137" i="10"/>
  <c r="F17" i="10"/>
  <c r="I17" i="10" s="1"/>
  <c r="J17" i="10" s="1"/>
  <c r="K17" i="10" s="1"/>
  <c r="L134" i="10"/>
  <c r="L132" i="10"/>
  <c r="G56" i="19"/>
  <c r="G50" i="19"/>
  <c r="R76" i="10"/>
  <c r="U76" i="10" s="1"/>
  <c r="W76" i="10" s="1"/>
  <c r="Y8" i="10"/>
  <c r="J91" i="10"/>
  <c r="Y21" i="10"/>
  <c r="J93" i="10"/>
  <c r="V141" i="10"/>
  <c r="G73" i="19"/>
  <c r="G72" i="19"/>
  <c r="G108" i="19"/>
  <c r="G109" i="19"/>
  <c r="C160" i="19"/>
  <c r="C158" i="19"/>
  <c r="C156" i="19"/>
  <c r="C154" i="19"/>
  <c r="B160" i="19"/>
  <c r="D16" i="29" s="1"/>
  <c r="B158" i="19"/>
  <c r="H108" i="10" s="1"/>
  <c r="N139" i="10" s="1"/>
  <c r="B156" i="19"/>
  <c r="H106" i="10" s="1"/>
  <c r="AH137" i="10" s="1"/>
  <c r="C161" i="19"/>
  <c r="C159" i="19"/>
  <c r="C157" i="19"/>
  <c r="C155" i="19"/>
  <c r="B161" i="19"/>
  <c r="H111" i="10" s="1"/>
  <c r="B159" i="19"/>
  <c r="H109" i="10" s="1"/>
  <c r="S146" i="10" s="1"/>
  <c r="B157" i="19"/>
  <c r="H107" i="10" s="1"/>
  <c r="AH134" i="10" s="1"/>
  <c r="B155" i="19"/>
  <c r="H105" i="10" s="1"/>
  <c r="I132" i="10" s="1"/>
  <c r="A221" i="28"/>
  <c r="E207" i="28"/>
  <c r="E67" i="29" s="1"/>
  <c r="E224" i="28"/>
  <c r="E62" i="29" s="1"/>
  <c r="D221" i="28"/>
  <c r="E212" i="28"/>
  <c r="E71" i="29" s="1"/>
  <c r="C208" i="28"/>
  <c r="D68" i="29" s="1"/>
  <c r="A200" i="28"/>
  <c r="E216" i="28"/>
  <c r="E54" i="29" s="1"/>
  <c r="A211" i="28"/>
  <c r="A204" i="28"/>
  <c r="G84" i="19"/>
  <c r="G85" i="19"/>
  <c r="G121" i="19"/>
  <c r="G120" i="19"/>
  <c r="D202" i="28"/>
  <c r="D204" i="28"/>
  <c r="D210" i="28"/>
  <c r="B207" i="28"/>
  <c r="B200" i="28"/>
  <c r="B208" i="28"/>
  <c r="B211" i="28"/>
  <c r="B212" i="28"/>
  <c r="G97" i="19"/>
  <c r="F126" i="19"/>
  <c r="F102" i="19"/>
  <c r="F54" i="19"/>
  <c r="F124" i="19"/>
  <c r="F88" i="19"/>
  <c r="F123" i="19"/>
  <c r="F63" i="19"/>
  <c r="F53" i="10" l="1"/>
  <c r="I53" i="10" s="1"/>
  <c r="J53" i="10" s="1"/>
  <c r="K53" i="10" s="1"/>
  <c r="Y62" i="10"/>
  <c r="I47" i="29"/>
  <c r="J47" i="29" s="1"/>
  <c r="K47" i="29" s="1"/>
  <c r="I45" i="29"/>
  <c r="J45" i="29" s="1"/>
  <c r="K45" i="29" s="1"/>
  <c r="F18" i="22" s="1"/>
  <c r="B338" i="25"/>
  <c r="D30" i="29" s="1"/>
  <c r="A118" i="10"/>
  <c r="F128" i="10" s="1"/>
  <c r="F156" i="10"/>
  <c r="Y64" i="10"/>
  <c r="E155" i="19"/>
  <c r="B117" i="10" s="1"/>
  <c r="D20" i="10" s="1"/>
  <c r="B43" i="22"/>
  <c r="B43" i="23" s="1"/>
  <c r="J19" i="29"/>
  <c r="R48" i="10"/>
  <c r="U48" i="10" s="1"/>
  <c r="W48" i="10" s="1"/>
  <c r="Y48" i="10" s="1"/>
  <c r="G61" i="19"/>
  <c r="J13" i="29"/>
  <c r="Z156" i="10"/>
  <c r="A116" i="10"/>
  <c r="Z128" i="10" s="1"/>
  <c r="AC129" i="10" s="1"/>
  <c r="J14" i="29"/>
  <c r="A156" i="10"/>
  <c r="A117" i="10"/>
  <c r="A128" i="10" s="1"/>
  <c r="J17" i="29"/>
  <c r="K156" i="10"/>
  <c r="A119" i="10"/>
  <c r="K128" i="10" s="1"/>
  <c r="N129" i="10" s="1"/>
  <c r="J18" i="29"/>
  <c r="AE156" i="10"/>
  <c r="A120" i="10"/>
  <c r="AE128" i="10" s="1"/>
  <c r="AH129" i="10" s="1"/>
  <c r="G96" i="19"/>
  <c r="J16" i="29"/>
  <c r="I49" i="29"/>
  <c r="E156" i="19"/>
  <c r="B118" i="10" s="1"/>
  <c r="D32" i="10" s="1"/>
  <c r="W153" i="10"/>
  <c r="X63" i="10"/>
  <c r="F29" i="10"/>
  <c r="I29" i="10" s="1"/>
  <c r="J29" i="10" s="1"/>
  <c r="K29" i="10" s="1"/>
  <c r="X34" i="10"/>
  <c r="J230" i="28"/>
  <c r="G155" i="10"/>
  <c r="H226" i="28"/>
  <c r="I96" i="10"/>
  <c r="D340" i="25"/>
  <c r="B198" i="28"/>
  <c r="B206" i="28" s="1"/>
  <c r="B214" i="28" s="1"/>
  <c r="B220" i="28" s="1"/>
  <c r="F334" i="25"/>
  <c r="I341" i="25" s="1"/>
  <c r="J222" i="28"/>
  <c r="C198" i="28"/>
  <c r="C206" i="28" s="1"/>
  <c r="C214" i="28" s="1"/>
  <c r="C220" i="28" s="1"/>
  <c r="J218" i="28"/>
  <c r="A342" i="25"/>
  <c r="B343" i="25"/>
  <c r="D35" i="29" s="1"/>
  <c r="D341" i="25"/>
  <c r="C343" i="25"/>
  <c r="C337" i="25"/>
  <c r="I92" i="10"/>
  <c r="J204" i="28"/>
  <c r="J214" i="28"/>
  <c r="H228" i="28"/>
  <c r="J228" i="28"/>
  <c r="H212" i="28"/>
  <c r="H220" i="28"/>
  <c r="J226" i="28"/>
  <c r="J212" i="28"/>
  <c r="H204" i="28"/>
  <c r="H216" i="28"/>
  <c r="J224" i="28"/>
  <c r="I48" i="29"/>
  <c r="J220" i="28"/>
  <c r="H198" i="28"/>
  <c r="AC134" i="10"/>
  <c r="AB133" i="10" s="1"/>
  <c r="D12" i="29"/>
  <c r="J206" i="28"/>
  <c r="J46" i="29"/>
  <c r="K46" i="29" s="1"/>
  <c r="S139" i="10"/>
  <c r="S144" i="10"/>
  <c r="R145" i="10" s="1"/>
  <c r="J202" i="28"/>
  <c r="D139" i="10"/>
  <c r="C138" i="10" s="1"/>
  <c r="D134" i="10"/>
  <c r="C133" i="10" s="1"/>
  <c r="S124" i="10"/>
  <c r="H200" i="28"/>
  <c r="D11" i="29"/>
  <c r="I147" i="10"/>
  <c r="S129" i="10"/>
  <c r="C109" i="10"/>
  <c r="D109" i="10" s="1"/>
  <c r="D17" i="29"/>
  <c r="J198" i="28"/>
  <c r="H202" i="28"/>
  <c r="J200" i="28"/>
  <c r="J210" i="28"/>
  <c r="H214" i="28"/>
  <c r="H206" i="28"/>
  <c r="A341" i="25"/>
  <c r="B341" i="25"/>
  <c r="D33" i="29" s="1"/>
  <c r="K334" i="25"/>
  <c r="O338" i="25" s="1"/>
  <c r="D337" i="25"/>
  <c r="D338" i="25"/>
  <c r="C338" i="25"/>
  <c r="C339" i="25"/>
  <c r="A340" i="25"/>
  <c r="A343" i="25"/>
  <c r="C341" i="25"/>
  <c r="C340" i="25"/>
  <c r="B342" i="25"/>
  <c r="D34" i="29" s="1"/>
  <c r="D343" i="25"/>
  <c r="A339" i="25"/>
  <c r="B348" i="25" s="1"/>
  <c r="D339" i="25"/>
  <c r="B340" i="25"/>
  <c r="D32" i="29" s="1"/>
  <c r="D342" i="25"/>
  <c r="B339" i="25"/>
  <c r="D31" i="29" s="1"/>
  <c r="B337" i="25"/>
  <c r="D29" i="29" s="1"/>
  <c r="C342" i="25"/>
  <c r="A337" i="25"/>
  <c r="B25" i="29"/>
  <c r="I137" i="10"/>
  <c r="S134" i="10"/>
  <c r="D14" i="29"/>
  <c r="D10" i="29"/>
  <c r="S136" i="10"/>
  <c r="D129" i="10"/>
  <c r="D144" i="10"/>
  <c r="C143" i="10" s="1"/>
  <c r="AC149" i="10"/>
  <c r="AB148" i="10" s="1"/>
  <c r="I142" i="10"/>
  <c r="AC139" i="10"/>
  <c r="AB138" i="10" s="1"/>
  <c r="I134" i="10"/>
  <c r="H133" i="10" s="1"/>
  <c r="AH132" i="10"/>
  <c r="AG133" i="10" s="1"/>
  <c r="I129" i="10"/>
  <c r="AH139" i="10"/>
  <c r="AG138" i="10" s="1"/>
  <c r="X129" i="10"/>
  <c r="X139" i="10"/>
  <c r="C110" i="10"/>
  <c r="D110" i="10" s="1"/>
  <c r="S154" i="10" s="1"/>
  <c r="X144" i="10"/>
  <c r="S141" i="10"/>
  <c r="D15" i="29"/>
  <c r="X134" i="10"/>
  <c r="S131" i="10"/>
  <c r="N134" i="10"/>
  <c r="G127" i="10"/>
  <c r="I127" i="10"/>
  <c r="G129" i="10"/>
  <c r="AC144" i="10"/>
  <c r="AB143" i="10" s="1"/>
  <c r="D149" i="10"/>
  <c r="C148" i="10" s="1"/>
  <c r="C106" i="10"/>
  <c r="D106" i="10" s="1"/>
  <c r="I157" i="10" s="1"/>
  <c r="I149" i="10"/>
  <c r="G80" i="19"/>
  <c r="G75" i="19"/>
  <c r="AH147" i="10"/>
  <c r="I139" i="10"/>
  <c r="C107" i="10"/>
  <c r="D107" i="10" s="1"/>
  <c r="N155" i="10" s="1"/>
  <c r="I144" i="10"/>
  <c r="AH142" i="10"/>
  <c r="N132" i="10"/>
  <c r="N149" i="10"/>
  <c r="N144" i="10"/>
  <c r="W125" i="10"/>
  <c r="H122" i="10" s="1"/>
  <c r="D13" i="29"/>
  <c r="N142" i="10"/>
  <c r="AH144" i="10"/>
  <c r="AH149" i="10"/>
  <c r="N137" i="10"/>
  <c r="M138" i="10" s="1"/>
  <c r="C108" i="10"/>
  <c r="D108" i="10" s="1"/>
  <c r="N147" i="10"/>
  <c r="F77" i="10"/>
  <c r="I77" i="10" s="1"/>
  <c r="J77" i="10" s="1"/>
  <c r="K77" i="10" s="1"/>
  <c r="H110" i="10"/>
  <c r="X141" i="10" s="1"/>
  <c r="J216" i="28"/>
  <c r="H222" i="28"/>
  <c r="H218" i="28"/>
  <c r="H224" i="28"/>
  <c r="J208" i="28"/>
  <c r="G135" i="19"/>
  <c r="G140" i="19"/>
  <c r="G89" i="19"/>
  <c r="G94" i="19"/>
  <c r="G115" i="19"/>
  <c r="G110" i="19"/>
  <c r="D155" i="19"/>
  <c r="G105" i="19"/>
  <c r="G100" i="19"/>
  <c r="G124" i="19"/>
  <c r="G129" i="19"/>
  <c r="H208" i="28"/>
  <c r="H210" i="28"/>
  <c r="G139" i="19"/>
  <c r="G134" i="19"/>
  <c r="G87" i="19"/>
  <c r="G92" i="19"/>
  <c r="G113" i="19"/>
  <c r="G118" i="19"/>
  <c r="G98" i="19"/>
  <c r="G103" i="19"/>
  <c r="G127" i="19"/>
  <c r="G122" i="19"/>
  <c r="G142" i="19"/>
  <c r="G137" i="19"/>
  <c r="G91" i="19"/>
  <c r="G86" i="19"/>
  <c r="G112" i="19"/>
  <c r="G117" i="19"/>
  <c r="J196" i="28"/>
  <c r="H196" i="28"/>
  <c r="D154" i="19"/>
  <c r="B116" i="10"/>
  <c r="D8" i="10" s="1"/>
  <c r="G99" i="19"/>
  <c r="G104" i="19"/>
  <c r="X76" i="10"/>
  <c r="Y76" i="10"/>
  <c r="G128" i="19"/>
  <c r="G123" i="19"/>
  <c r="X90" i="10"/>
  <c r="Y90" i="10"/>
  <c r="G136" i="19"/>
  <c r="G141" i="19"/>
  <c r="G93" i="19"/>
  <c r="G88" i="19"/>
  <c r="G116" i="19"/>
  <c r="G111" i="19"/>
  <c r="G106" i="19"/>
  <c r="G101" i="19"/>
  <c r="G125" i="19"/>
  <c r="G130" i="19"/>
  <c r="Y6" i="10"/>
  <c r="X6" i="10"/>
  <c r="G337" i="25"/>
  <c r="G29" i="29" s="1"/>
  <c r="H341" i="25" l="1"/>
  <c r="F338" i="25"/>
  <c r="I340" i="25"/>
  <c r="F341" i="25"/>
  <c r="X48" i="10"/>
  <c r="H337" i="25"/>
  <c r="I338" i="25"/>
  <c r="E157" i="19"/>
  <c r="D157" i="19" s="1"/>
  <c r="G157" i="10"/>
  <c r="H156" i="10" s="1"/>
  <c r="I155" i="10"/>
  <c r="B45" i="22"/>
  <c r="B45" i="23" s="1"/>
  <c r="E18" i="23"/>
  <c r="N127" i="10"/>
  <c r="I342" i="25"/>
  <c r="F342" i="25"/>
  <c r="F339" i="25"/>
  <c r="G339" i="25"/>
  <c r="G31" i="29" s="1"/>
  <c r="G341" i="25"/>
  <c r="G33" i="29" s="1"/>
  <c r="H340" i="25"/>
  <c r="F340" i="25"/>
  <c r="G342" i="25"/>
  <c r="G34" i="29" s="1"/>
  <c r="F337" i="25"/>
  <c r="H338" i="25"/>
  <c r="AH127" i="10"/>
  <c r="B127" i="10"/>
  <c r="D127" i="10"/>
  <c r="B129" i="10"/>
  <c r="D157" i="10"/>
  <c r="D155" i="10"/>
  <c r="B157" i="10"/>
  <c r="B155" i="10"/>
  <c r="AF127" i="10"/>
  <c r="AF129" i="10"/>
  <c r="AF157" i="10"/>
  <c r="AF155" i="10"/>
  <c r="AA127" i="10"/>
  <c r="AA129" i="10"/>
  <c r="AC127" i="10"/>
  <c r="AC157" i="10"/>
  <c r="AA157" i="10"/>
  <c r="AA155" i="10"/>
  <c r="AC155" i="10"/>
  <c r="L129" i="10"/>
  <c r="L127" i="10"/>
  <c r="L157" i="10"/>
  <c r="L155" i="10"/>
  <c r="K18" i="29"/>
  <c r="L18" i="29" s="1"/>
  <c r="K16" i="29"/>
  <c r="L16" i="29" s="1"/>
  <c r="K17" i="29"/>
  <c r="L17" i="29" s="1"/>
  <c r="K19" i="29"/>
  <c r="L19" i="29" s="1"/>
  <c r="K13" i="29"/>
  <c r="K14" i="29"/>
  <c r="L14" i="29" s="1"/>
  <c r="K15" i="29"/>
  <c r="L15" i="29" s="1"/>
  <c r="J49" i="29"/>
  <c r="K49" i="29" s="1"/>
  <c r="O65" i="3" s="1"/>
  <c r="N66" i="3" s="1"/>
  <c r="J48" i="29"/>
  <c r="K48" i="29" s="1"/>
  <c r="L29" i="22" s="1"/>
  <c r="S152" i="10"/>
  <c r="R153" i="10" s="1"/>
  <c r="D156" i="19"/>
  <c r="E161" i="19"/>
  <c r="D161" i="19" s="1"/>
  <c r="E159" i="19"/>
  <c r="B121" i="10" s="1"/>
  <c r="D68" i="10" s="1"/>
  <c r="E160" i="19"/>
  <c r="B122" i="10" s="1"/>
  <c r="D80" i="10" s="1"/>
  <c r="R93" i="10" s="1"/>
  <c r="U93" i="10" s="1"/>
  <c r="W93" i="10" s="1"/>
  <c r="E158" i="19"/>
  <c r="B120" i="10" s="1"/>
  <c r="D56" i="10" s="1"/>
  <c r="R65" i="10" s="1"/>
  <c r="U65" i="10" s="1"/>
  <c r="W65" i="10" s="1"/>
  <c r="F343" i="25"/>
  <c r="I343" i="25"/>
  <c r="G340" i="25"/>
  <c r="G32" i="29" s="1"/>
  <c r="G343" i="25"/>
  <c r="G35" i="29" s="1"/>
  <c r="H343" i="25"/>
  <c r="H339" i="25"/>
  <c r="H342" i="25"/>
  <c r="G338" i="25"/>
  <c r="G30" i="29" s="1"/>
  <c r="I337" i="25"/>
  <c r="I339" i="25"/>
  <c r="O339" i="25"/>
  <c r="M343" i="25" s="1"/>
  <c r="H148" i="10"/>
  <c r="I229" i="28"/>
  <c r="S126" i="10"/>
  <c r="R125" i="10" s="1"/>
  <c r="H121" i="10" s="1"/>
  <c r="J29" i="29"/>
  <c r="K29" i="29" s="1"/>
  <c r="I35" i="29" s="1"/>
  <c r="M35" i="29" s="1"/>
  <c r="F16" i="22" s="1"/>
  <c r="E16" i="23" s="1"/>
  <c r="D346" i="25"/>
  <c r="B346" i="25"/>
  <c r="D348" i="25"/>
  <c r="I213" i="28"/>
  <c r="M202" i="28" s="1"/>
  <c r="N202" i="28" s="1"/>
  <c r="I221" i="28"/>
  <c r="I225" i="28"/>
  <c r="I217" i="28"/>
  <c r="L28" i="22"/>
  <c r="L28" i="23" s="1"/>
  <c r="I205" i="28"/>
  <c r="M200" i="28" s="1"/>
  <c r="N200" i="28" s="1"/>
  <c r="R140" i="10"/>
  <c r="B119" i="10"/>
  <c r="D44" i="10" s="1"/>
  <c r="R51" i="10" s="1"/>
  <c r="U51" i="10" s="1"/>
  <c r="W51" i="10" s="1"/>
  <c r="H138" i="10"/>
  <c r="M133" i="10"/>
  <c r="L27" i="22"/>
  <c r="L27" i="23" s="1"/>
  <c r="R135" i="10"/>
  <c r="I201" i="28"/>
  <c r="M199" i="28" s="1"/>
  <c r="N199" i="28" s="1"/>
  <c r="R130" i="10"/>
  <c r="X136" i="10"/>
  <c r="W135" i="10" s="1"/>
  <c r="W140" i="10"/>
  <c r="M148" i="10"/>
  <c r="H143" i="10"/>
  <c r="H128" i="10"/>
  <c r="H118" i="10" s="1"/>
  <c r="AG148" i="10"/>
  <c r="AH157" i="10"/>
  <c r="AG143" i="10"/>
  <c r="AH155" i="10"/>
  <c r="M143" i="10"/>
  <c r="I209" i="28"/>
  <c r="M201" i="28" s="1"/>
  <c r="N201" i="28" s="1"/>
  <c r="N157" i="10"/>
  <c r="X146" i="10"/>
  <c r="W145" i="10" s="1"/>
  <c r="C111" i="10"/>
  <c r="D111" i="10" s="1"/>
  <c r="X131" i="10"/>
  <c r="W130" i="10" s="1"/>
  <c r="I197" i="28"/>
  <c r="M198" i="28" s="1"/>
  <c r="N198" i="28" s="1"/>
  <c r="F20" i="10"/>
  <c r="I20" i="10" s="1"/>
  <c r="J20" i="10" s="1"/>
  <c r="R23" i="10"/>
  <c r="U23" i="10" s="1"/>
  <c r="W23" i="10" s="1"/>
  <c r="R9" i="10"/>
  <c r="U9" i="10" s="1"/>
  <c r="W9" i="10" s="1"/>
  <c r="F8" i="10"/>
  <c r="I8" i="10" s="1"/>
  <c r="J8" i="10" s="1"/>
  <c r="F32" i="10"/>
  <c r="I32" i="10" s="1"/>
  <c r="J32" i="10" s="1"/>
  <c r="R37" i="10"/>
  <c r="U37" i="10" s="1"/>
  <c r="W37" i="10" s="1"/>
  <c r="Q337" i="25"/>
  <c r="L29" i="29" s="1"/>
  <c r="M342" i="25"/>
  <c r="M156" i="10" l="1"/>
  <c r="G346" i="25"/>
  <c r="J75" i="3"/>
  <c r="K75" i="3" s="1"/>
  <c r="M14" i="29"/>
  <c r="J34" i="22" s="1"/>
  <c r="J34" i="23" s="1"/>
  <c r="J80" i="3"/>
  <c r="K80" i="3" s="1"/>
  <c r="M19" i="29"/>
  <c r="J39" i="22" s="1"/>
  <c r="J39" i="23" s="1"/>
  <c r="C128" i="10"/>
  <c r="H117" i="10" s="1"/>
  <c r="J77" i="3"/>
  <c r="M16" i="29"/>
  <c r="J36" i="22" s="1"/>
  <c r="J36" i="23" s="1"/>
  <c r="J78" i="3"/>
  <c r="K78" i="3" s="1"/>
  <c r="M17" i="29"/>
  <c r="J37" i="22" s="1"/>
  <c r="J37" i="23" s="1"/>
  <c r="J79" i="3"/>
  <c r="K79" i="3" s="1"/>
  <c r="M18" i="29"/>
  <c r="J38" i="22" s="1"/>
  <c r="J38" i="23" s="1"/>
  <c r="AG128" i="10"/>
  <c r="H120" i="10" s="1"/>
  <c r="J76" i="3"/>
  <c r="M15" i="29"/>
  <c r="J35" i="22" s="1"/>
  <c r="J35" i="23" s="1"/>
  <c r="I346" i="25"/>
  <c r="G348" i="25"/>
  <c r="Q339" i="25"/>
  <c r="Q29" i="29" s="1"/>
  <c r="C156" i="10"/>
  <c r="I348" i="25"/>
  <c r="M128" i="10"/>
  <c r="H119" i="10" s="1"/>
  <c r="AB128" i="10"/>
  <c r="H116" i="10" s="1"/>
  <c r="AB156" i="10"/>
  <c r="O29" i="29"/>
  <c r="P29" i="29" s="1"/>
  <c r="I36" i="29" s="1"/>
  <c r="M36" i="29" s="1"/>
  <c r="F17" i="22" s="1"/>
  <c r="E17" i="23" s="1"/>
  <c r="N64" i="3"/>
  <c r="O64" i="3" s="1"/>
  <c r="L29" i="23"/>
  <c r="Q34" i="22"/>
  <c r="P29" i="22"/>
  <c r="Q37" i="22"/>
  <c r="Q36" i="22"/>
  <c r="Q33" i="22"/>
  <c r="Q38" i="22"/>
  <c r="Q39" i="22"/>
  <c r="Q35" i="22"/>
  <c r="J36" i="29"/>
  <c r="O36" i="29"/>
  <c r="L13" i="29"/>
  <c r="O35" i="29"/>
  <c r="H16" i="22" s="1"/>
  <c r="G16" i="23" s="1"/>
  <c r="J35" i="29"/>
  <c r="J32" i="29" s="1"/>
  <c r="D160" i="19"/>
  <c r="F80" i="10"/>
  <c r="I80" i="10" s="1"/>
  <c r="J80" i="10" s="1"/>
  <c r="K80" i="10" s="1"/>
  <c r="K81" i="10" s="1"/>
  <c r="D158" i="19"/>
  <c r="F68" i="10"/>
  <c r="I68" i="10" s="1"/>
  <c r="J68" i="10" s="1"/>
  <c r="J69" i="10" s="1"/>
  <c r="J70" i="10" s="1"/>
  <c r="R79" i="10"/>
  <c r="U79" i="10" s="1"/>
  <c r="W79" i="10" s="1"/>
  <c r="X79" i="10" s="1"/>
  <c r="X81" i="10" s="1"/>
  <c r="X82" i="10" s="1"/>
  <c r="D159" i="19"/>
  <c r="C347" i="25"/>
  <c r="M338" i="25" s="1"/>
  <c r="L342" i="25" s="1"/>
  <c r="K347" i="25" s="1"/>
  <c r="P28" i="22"/>
  <c r="F56" i="10"/>
  <c r="I56" i="10" s="1"/>
  <c r="J56" i="10" s="1"/>
  <c r="J57" i="10" s="1"/>
  <c r="J58" i="10" s="1"/>
  <c r="F44" i="10"/>
  <c r="I44" i="10" s="1"/>
  <c r="J44" i="10" s="1"/>
  <c r="K44" i="10" s="1"/>
  <c r="K45" i="10" s="1"/>
  <c r="F39" i="22"/>
  <c r="I39" i="23" s="1"/>
  <c r="P27" i="22"/>
  <c r="AG156" i="10"/>
  <c r="X23" i="10"/>
  <c r="X25" i="10" s="1"/>
  <c r="X26" i="10" s="1"/>
  <c r="Y23" i="10"/>
  <c r="Y25" i="10" s="1"/>
  <c r="Y51" i="10"/>
  <c r="Y53" i="10" s="1"/>
  <c r="X51" i="10"/>
  <c r="X53" i="10" s="1"/>
  <c r="X54" i="10" s="1"/>
  <c r="X65" i="10"/>
  <c r="X67" i="10" s="1"/>
  <c r="X68" i="10" s="1"/>
  <c r="Y65" i="10"/>
  <c r="Y67" i="10" s="1"/>
  <c r="K20" i="10"/>
  <c r="K21" i="10" s="1"/>
  <c r="J21" i="10"/>
  <c r="J22" i="10" s="1"/>
  <c r="Y37" i="10"/>
  <c r="Y39" i="10" s="1"/>
  <c r="X37" i="10"/>
  <c r="X39" i="10" s="1"/>
  <c r="X40" i="10" s="1"/>
  <c r="K8" i="10"/>
  <c r="K9" i="10" s="1"/>
  <c r="J9" i="10"/>
  <c r="J10" i="10" s="1"/>
  <c r="X93" i="10"/>
  <c r="X95" i="10" s="1"/>
  <c r="X96" i="10" s="1"/>
  <c r="Y93" i="10"/>
  <c r="Y95" i="10" s="1"/>
  <c r="J33" i="10"/>
  <c r="J34" i="10" s="1"/>
  <c r="K32" i="10"/>
  <c r="K33" i="10" s="1"/>
  <c r="Y9" i="10"/>
  <c r="Y11" i="10" s="1"/>
  <c r="X9" i="10"/>
  <c r="X11" i="10" s="1"/>
  <c r="X12" i="10" s="1"/>
  <c r="F34" i="22" l="1"/>
  <c r="I34" i="23" s="1"/>
  <c r="H347" i="25"/>
  <c r="M339" i="25" s="1"/>
  <c r="L343" i="25" s="1"/>
  <c r="K348" i="25" s="1"/>
  <c r="F36" i="22"/>
  <c r="I36" i="23" s="1"/>
  <c r="K77" i="3"/>
  <c r="J74" i="3"/>
  <c r="K74" i="3" s="1"/>
  <c r="M13" i="29"/>
  <c r="J33" i="22" s="1"/>
  <c r="J33" i="23" s="1"/>
  <c r="F37" i="22"/>
  <c r="I37" i="23" s="1"/>
  <c r="F38" i="22"/>
  <c r="I38" i="23" s="1"/>
  <c r="F35" i="22"/>
  <c r="I35" i="23" s="1"/>
  <c r="K76" i="3"/>
  <c r="H17" i="22"/>
  <c r="G17" i="23" s="1"/>
  <c r="F33" i="22"/>
  <c r="I33" i="23" s="1"/>
  <c r="J33" i="29"/>
  <c r="Y79" i="10"/>
  <c r="Y81" i="10" s="1"/>
  <c r="X83" i="10" s="1"/>
  <c r="X84" i="10" s="1"/>
  <c r="X85" i="10" s="1"/>
  <c r="J81" i="10"/>
  <c r="J82" i="10" s="1"/>
  <c r="J83" i="10" s="1"/>
  <c r="J45" i="10"/>
  <c r="J46" i="10" s="1"/>
  <c r="J47" i="10" s="1"/>
  <c r="J48" i="10" s="1"/>
  <c r="J49" i="10" s="1"/>
  <c r="N77" i="3" s="1"/>
  <c r="L36" i="22" s="1"/>
  <c r="K68" i="10"/>
  <c r="K69" i="10" s="1"/>
  <c r="J71" i="10" s="1"/>
  <c r="J72" i="10" s="1"/>
  <c r="J73" i="10" s="1"/>
  <c r="N79" i="3" s="1"/>
  <c r="L38" i="22" s="1"/>
  <c r="N68" i="3"/>
  <c r="K56" i="10"/>
  <c r="K57" i="10" s="1"/>
  <c r="J59" i="10" s="1"/>
  <c r="J60" i="10" s="1"/>
  <c r="J61" i="10" s="1"/>
  <c r="N78" i="3" s="1"/>
  <c r="L37" i="22" s="1"/>
  <c r="X27" i="10"/>
  <c r="X28" i="10" s="1"/>
  <c r="X29" i="10" s="1"/>
  <c r="X69" i="10"/>
  <c r="X70" i="10" s="1"/>
  <c r="X71" i="10" s="1"/>
  <c r="J35" i="10"/>
  <c r="J84" i="10" s="1"/>
  <c r="J85" i="10" s="1"/>
  <c r="N80" i="3" s="1"/>
  <c r="L39" i="22" s="1"/>
  <c r="X13" i="10"/>
  <c r="X14" i="10" s="1"/>
  <c r="X15" i="10" s="1"/>
  <c r="J11" i="10"/>
  <c r="J12" i="10" s="1"/>
  <c r="J13" i="10" s="1"/>
  <c r="N74" i="3" s="1"/>
  <c r="J23" i="10"/>
  <c r="J24" i="10" s="1"/>
  <c r="J25" i="10" s="1"/>
  <c r="N75" i="3" s="1"/>
  <c r="L34" i="22" s="1"/>
  <c r="X55" i="10"/>
  <c r="X56" i="10" s="1"/>
  <c r="X57" i="10" s="1"/>
  <c r="X97" i="10"/>
  <c r="X98" i="10" s="1"/>
  <c r="X99" i="10" s="1"/>
  <c r="X41" i="10"/>
  <c r="X42" i="10" s="1"/>
  <c r="X43" i="10" s="1"/>
  <c r="O66" i="3" l="1"/>
  <c r="N69" i="3" s="1"/>
  <c r="P62" i="3" s="1"/>
  <c r="P60" i="3"/>
  <c r="P61" i="3"/>
  <c r="J36" i="10"/>
  <c r="J37" i="10" s="1"/>
  <c r="N76" i="3" s="1"/>
  <c r="M34" i="23"/>
  <c r="M75" i="3"/>
  <c r="L33" i="22"/>
  <c r="M33" i="23" s="1"/>
  <c r="M74" i="3"/>
  <c r="M36" i="23"/>
  <c r="M77" i="3"/>
  <c r="M38" i="23"/>
  <c r="M79" i="3"/>
  <c r="M39" i="23"/>
  <c r="M80" i="3"/>
  <c r="M37" i="23"/>
  <c r="M78" i="3"/>
  <c r="Q60" i="3" l="1"/>
  <c r="S44" i="22" s="1"/>
  <c r="Z37" i="22"/>
  <c r="O33" i="22"/>
  <c r="P33" i="22" s="1"/>
  <c r="Z43" i="22"/>
  <c r="O39" i="22"/>
  <c r="P39" i="22" s="1"/>
  <c r="Z41" i="22"/>
  <c r="O37" i="22"/>
  <c r="P37" i="22" s="1"/>
  <c r="Z42" i="22"/>
  <c r="O38" i="22"/>
  <c r="P38" i="22" s="1"/>
  <c r="Z38" i="22"/>
  <c r="O34" i="22"/>
  <c r="P34" i="22" s="1"/>
  <c r="Z40" i="22"/>
  <c r="O36" i="22"/>
  <c r="P36" i="22" s="1"/>
  <c r="P68" i="3"/>
  <c r="L35" i="22"/>
  <c r="M35" i="23" s="1"/>
  <c r="M76" i="3"/>
  <c r="P71" i="3" l="1"/>
  <c r="B47" i="3" s="1"/>
  <c r="B46" i="22" s="1"/>
  <c r="Z39" i="22"/>
  <c r="O35" i="22"/>
  <c r="P35" i="22" s="1"/>
  <c r="U33" i="22" l="1"/>
  <c r="W33" i="22" s="1"/>
  <c r="S45" i="22" s="1"/>
  <c r="R60" i="22" s="1"/>
  <c r="H2" i="3" s="1"/>
  <c r="A2" i="22" s="1"/>
  <c r="A2" i="23" s="1"/>
  <c r="M62" i="22" l="1"/>
  <c r="B55" i="3" s="1"/>
  <c r="B53" i="22" s="1"/>
  <c r="B54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BPFK Banjarbaru</author>
  </authors>
  <commentList>
    <comment ref="N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BPFK Banjarbaru</author>
  </authors>
  <commentList>
    <comment ref="J1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2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3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49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6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7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85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BPFK Banjarbaru</author>
  </authors>
  <commentList>
    <comment ref="P27" authorId="0" shapeId="0" xr:uid="{00000000-0006-0000-0400-000001000000}">
      <text>
        <r>
          <rPr>
            <b/>
            <sz val="9"/>
            <rFont val="Times New Roman"/>
            <family val="1"/>
          </rPr>
          <t>ASUS:
VALID ( 11 - 5 - 2019 )
C. Huda</t>
        </r>
        <r>
          <rPr>
            <sz val="9"/>
            <rFont val="Times New Roman"/>
            <family val="1"/>
          </rPr>
          <t xml:space="preserve">
</t>
        </r>
      </text>
    </comment>
    <comment ref="P33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R33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S33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R60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25" authorId="0" shapeId="0" xr:uid="{00000000-0006-0000-0500-000001000000}">
      <text>
        <r>
          <rPr>
            <b/>
            <sz val="9"/>
            <rFont val="Times New Roman"/>
            <family val="1"/>
          </rPr>
          <t>ZAEN:</t>
        </r>
        <r>
          <rPr>
            <sz val="9"/>
            <rFont val="Times New Roman"/>
            <family val="1"/>
          </rPr>
          <t xml:space="preserve">
Harap diluruskan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0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L338" authorId="0" shapeId="0" xr:uid="{00000000-0006-0000-0900-000001000000}">
      <text>
        <r>
          <rPr>
            <b/>
            <sz val="9"/>
            <rFont val="Tahoma"/>
            <family val="2"/>
          </rPr>
          <t>HP:</t>
        </r>
        <r>
          <rPr>
            <sz val="9"/>
            <rFont val="Tahoma"/>
            <family val="2"/>
          </rPr>
          <t xml:space="preserve">
dari input data</t>
        </r>
      </text>
    </comment>
  </commentList>
</comments>
</file>

<file path=xl/sharedStrings.xml><?xml version="1.0" encoding="utf-8"?>
<sst xmlns="http://schemas.openxmlformats.org/spreadsheetml/2006/main" count="1979" uniqueCount="522">
  <si>
    <t>Sertifikat / Surat Keterangan : 18 /     /        -        /E -                         DL / Dt</t>
  </si>
  <si>
    <t>Merek</t>
  </si>
  <si>
    <t xml:space="preserve">: </t>
  </si>
  <si>
    <t>Model/Tipe</t>
  </si>
  <si>
    <t>No. Seri</t>
  </si>
  <si>
    <t>Resolusi</t>
  </si>
  <si>
    <t>Nama Ruang</t>
  </si>
  <si>
    <t xml:space="preserve">I.     </t>
  </si>
  <si>
    <t>Awal</t>
  </si>
  <si>
    <t>Akhir</t>
  </si>
  <si>
    <t>1. Suhu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</si>
  <si>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</si>
  <si>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</si>
  <si>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 RH</t>
  </si>
  <si>
    <t xml:space="preserve">3. Tegangan jala - jala </t>
  </si>
  <si>
    <t>:</t>
  </si>
  <si>
    <t>Volt</t>
  </si>
  <si>
    <t xml:space="preserve">II.     </t>
  </si>
  <si>
    <t>Score</t>
  </si>
  <si>
    <t>1. Fisik</t>
  </si>
  <si>
    <t>: Baik / Tidak Baik</t>
  </si>
  <si>
    <t>5%</t>
  </si>
  <si>
    <t>2. Fungsi</t>
  </si>
  <si>
    <t>III.</t>
  </si>
  <si>
    <t>No</t>
  </si>
  <si>
    <t>Parameter</t>
  </si>
  <si>
    <t>Hasil Ukur</t>
  </si>
  <si>
    <t>Ambang Batas yang diijinkan</t>
  </si>
  <si>
    <t xml:space="preserve">Score </t>
  </si>
  <si>
    <t>MΩ</t>
  </si>
  <si>
    <t>10%</t>
  </si>
  <si>
    <t>Resistansi Pembumian Protektif</t>
  </si>
  <si>
    <t>Ω</t>
  </si>
  <si>
    <t>≤ 0.2 Ω</t>
  </si>
  <si>
    <t>Arus bocor peralatan untuk peralatan elektromedik kelas I / II</t>
  </si>
  <si>
    <t>µA</t>
  </si>
  <si>
    <t>≤  500 / 100 µA</t>
  </si>
  <si>
    <t>20%</t>
  </si>
  <si>
    <t>IV.</t>
  </si>
  <si>
    <t>Setting                             Pada Standar</t>
  </si>
  <si>
    <t xml:space="preserve"> Pembacaan UUT</t>
  </si>
  <si>
    <t>Toleransi</t>
  </si>
  <si>
    <t>I</t>
  </si>
  <si>
    <t>II</t>
  </si>
  <si>
    <t>III</t>
  </si>
  <si>
    <t>IV</t>
  </si>
  <si>
    <t>V</t>
  </si>
  <si>
    <r>
      <rPr>
        <sz val="11"/>
        <rFont val="Arial"/>
        <family val="2"/>
      </rPr>
      <t xml:space="preserve"> </t>
    </r>
    <r>
      <rPr>
        <u/>
        <sz val="11"/>
        <rFont val="Arial"/>
        <family val="2"/>
      </rPr>
      <t>+</t>
    </r>
    <r>
      <rPr>
        <sz val="11"/>
        <rFont val="Arial"/>
        <family val="2"/>
      </rPr>
      <t xml:space="preserve"> 5%</t>
    </r>
  </si>
  <si>
    <t>Frekuensi Heart Rate (BPM)</t>
  </si>
  <si>
    <t>2</t>
  </si>
  <si>
    <t>4</t>
  </si>
  <si>
    <t>6</t>
  </si>
  <si>
    <t>V.</t>
  </si>
  <si>
    <t>Keterangan</t>
  </si>
  <si>
    <t>...............................................................................................</t>
  </si>
  <si>
    <t xml:space="preserve"> </t>
  </si>
  <si>
    <t>VI.</t>
  </si>
  <si>
    <t>Electrical Safety Analyzer, Merek : FLUKE  Model : ESA 620 SN :1837056, 1834020</t>
  </si>
  <si>
    <t>Digital Thermohygrometer, Merek : KIMO, Model : KH-210 , SN: 15062875, 15062874, 14082463, 15062872, 15062873</t>
  </si>
  <si>
    <t>Digital Thermohygrometer, Merek : Sekonic, Model : ST - 50A, SN: HE 21-000670,  HE 21-000669</t>
  </si>
  <si>
    <t xml:space="preserve">VII. </t>
  </si>
  <si>
    <t>Kesimpulan</t>
  </si>
  <si>
    <t>VIII.</t>
  </si>
  <si>
    <t>Petugas Kalibrasi</t>
  </si>
  <si>
    <t>Nomor Surat Keterangan : 18 / M -</t>
  </si>
  <si>
    <t>BPM</t>
  </si>
  <si>
    <t>Metode Kerja</t>
  </si>
  <si>
    <t>MK 024 - 18</t>
  </si>
  <si>
    <t>I.</t>
  </si>
  <si>
    <t>Rata2</t>
  </si>
  <si>
    <t xml:space="preserve">1. Suhu </t>
  </si>
  <si>
    <t>°C</t>
  </si>
  <si>
    <t>2. Kelembaban</t>
  </si>
  <si>
    <t>%RH</t>
  </si>
  <si>
    <t>3. Tegangan Jala - jala</t>
  </si>
  <si>
    <t>II.</t>
  </si>
  <si>
    <t>Baik</t>
  </si>
  <si>
    <t>Arus bocor peralatan untuk peralatan elektromedik kelas II</t>
  </si>
  <si>
    <t>3</t>
  </si>
  <si>
    <t>5</t>
  </si>
  <si>
    <t>7</t>
  </si>
  <si>
    <t>Ketidakpastian pengukuran dilaporkan pada tingkat kepercayaan 95% dengan faktor cakupan k= 2</t>
  </si>
  <si>
    <t>Catu daya menggunakan baterai</t>
  </si>
  <si>
    <t/>
  </si>
  <si>
    <t>Thermohygrolight, Merek : Greisinger, Model : GFTB 200, SN : 34903053</t>
  </si>
  <si>
    <t>VII.</t>
  </si>
  <si>
    <t>Taufik Priawan</t>
  </si>
  <si>
    <t>IX.</t>
  </si>
  <si>
    <t>Tanggal Pembuatan Laporan</t>
  </si>
  <si>
    <t xml:space="preserve"> Pembacaan UUT Terkoreksi</t>
  </si>
  <si>
    <t>Rata - Rata terkoreksi</t>
  </si>
  <si>
    <t>Koreksi</t>
  </si>
  <si>
    <t>Standar deviasi</t>
  </si>
  <si>
    <t>Koreksi Relatif %</t>
  </si>
  <si>
    <t>U95</t>
  </si>
  <si>
    <t>Tidak Baik</t>
  </si>
  <si>
    <t>2. Tidak terdapat grounding</t>
  </si>
  <si>
    <t>2. Catu daya menggunakan genset</t>
  </si>
  <si>
    <t>2. Catu daya menngunakan baterai</t>
  </si>
  <si>
    <t>2.  Catu daya menggunakan adaptor</t>
  </si>
  <si>
    <t>Dany Firmanto</t>
  </si>
  <si>
    <t>Donny Martha</t>
  </si>
  <si>
    <t>Choirul Huda</t>
  </si>
  <si>
    <t>Rangga Prasetya Hantoko</t>
  </si>
  <si>
    <t>Muhammad Zaenuri Sugiasmoro</t>
  </si>
  <si>
    <t>Muhammad Arrizal Septiawan</t>
  </si>
  <si>
    <t>Supriyanto</t>
  </si>
  <si>
    <t>Isra Mahensa</t>
  </si>
  <si>
    <t xml:space="preserve">Alat yang di kalibrasi dalam batas toleransi dan dinyatakan LAIK PAKAI </t>
  </si>
  <si>
    <t xml:space="preserve">Alat yang di kalibrasi melebihi batas toleransi dan dinyatakan TIDAK LAIK PAKAI </t>
  </si>
  <si>
    <t>UNCERTAINTY</t>
  </si>
  <si>
    <t>BPM 30</t>
  </si>
  <si>
    <t>Komponen</t>
  </si>
  <si>
    <t>Satuan</t>
  </si>
  <si>
    <t>Distribusi</t>
  </si>
  <si>
    <t>Pembagi</t>
  </si>
  <si>
    <t>vi</t>
  </si>
  <si>
    <t>ui</t>
  </si>
  <si>
    <t>ci</t>
  </si>
  <si>
    <t>uici</t>
  </si>
  <si>
    <r>
      <rPr>
        <b/>
        <i/>
        <sz val="11"/>
        <rFont val="Calibri"/>
        <family val="2"/>
        <scheme val="minor"/>
      </rP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</si>
  <si>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rPr>
        <b/>
        <i/>
        <sz val="11"/>
        <rFont val="Calibri"/>
        <family val="2"/>
        <scheme val="minor"/>
      </rP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</si>
  <si>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</si>
  <si>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Repeatibility</t>
  </si>
  <si>
    <t>bpm</t>
  </si>
  <si>
    <t>normal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</si>
  <si>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</si>
  <si>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</si>
  <si>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</si>
  <si>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</si>
  <si>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</si>
  <si>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</si>
  <si>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</si>
  <si>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</si>
  <si>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</si>
  <si>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</si>
  <si>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</si>
  <si>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 xml:space="preserve">Drift </t>
  </si>
  <si>
    <t>rect.</t>
  </si>
  <si>
    <t xml:space="preserve">1. Repeatability </t>
  </si>
  <si>
    <t>2. Daya baca UUT</t>
  </si>
  <si>
    <t>Sertifikat Standart</t>
  </si>
  <si>
    <t xml:space="preserve">3. Drift standar </t>
  </si>
  <si>
    <t>Jumlah</t>
  </si>
  <si>
    <t>4. Sertifikat Standar</t>
  </si>
  <si>
    <t>Ketidakpastian baku gabungan, Uc</t>
  </si>
  <si>
    <r>
      <rPr>
        <vertAlign val="subscript"/>
        <sz val="11"/>
        <rFont val="Times New Roman"/>
        <family val="1"/>
      </rP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</si>
  <si>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</si>
  <si>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</si>
  <si>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</si>
  <si>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</si>
  <si>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</si>
  <si>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</si>
  <si>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BPM 60</t>
  </si>
  <si>
    <t>Faktorcakupan, k-student's for veff and CL 95%</t>
  </si>
  <si>
    <t>Ketidakpastian bentangan, U= k.Uc</t>
  </si>
  <si>
    <t>RPM</t>
  </si>
  <si>
    <t>BPM 90</t>
  </si>
  <si>
    <t>BPM 120</t>
  </si>
  <si>
    <t>Drift Standart</t>
  </si>
  <si>
    <t>BPM 180</t>
  </si>
  <si>
    <t>BPM 210</t>
  </si>
  <si>
    <t>KIMO</t>
  </si>
  <si>
    <t>Suhu</t>
  </si>
  <si>
    <t>Kelembaban</t>
  </si>
  <si>
    <t>Reading</t>
  </si>
  <si>
    <t>INTERPOLASI SUHU</t>
  </si>
  <si>
    <t>U Termo</t>
  </si>
  <si>
    <t>INTERPOLASI KELEMBABAN</t>
  </si>
  <si>
    <t>Koreksi 2018</t>
  </si>
  <si>
    <t>DRIFT</t>
  </si>
  <si>
    <t>-</t>
  </si>
  <si>
    <t>of reading 0.12%</t>
  </si>
  <si>
    <t>Hasil Interpolasi</t>
  </si>
  <si>
    <t>INTERPOLASI KOREKSI</t>
  </si>
  <si>
    <t>Pengukuran I</t>
  </si>
  <si>
    <t>Pengukuran II</t>
  </si>
  <si>
    <t>Pengukuran III</t>
  </si>
  <si>
    <t>Pengukuran IV</t>
  </si>
  <si>
    <t>Pengukuran V</t>
  </si>
  <si>
    <t>INTERPOLASI DRIFT</t>
  </si>
  <si>
    <t xml:space="preserve">Ambang Batas </t>
  </si>
  <si>
    <t>yang diijinkan</t>
  </si>
  <si>
    <t>No.</t>
  </si>
  <si>
    <t>Setting Standar</t>
  </si>
  <si>
    <t>Pambacaan Alat</t>
  </si>
  <si>
    <t>Ketidakpastian Pengukuran</t>
  </si>
  <si>
    <t>Koreksi Relatif (%)</t>
  </si>
  <si>
    <t>Nama</t>
  </si>
  <si>
    <t>Tanggal</t>
  </si>
  <si>
    <t>Paraf</t>
  </si>
  <si>
    <t>Score Total</t>
  </si>
  <si>
    <t>Dibuat Oleh :</t>
  </si>
  <si>
    <t>Penyelia :</t>
  </si>
  <si>
    <t>Menyetujui,</t>
  </si>
  <si>
    <t>Kepala Instalasi Laboratorium</t>
  </si>
  <si>
    <t>Pengujian dan Kalibrasi</t>
  </si>
  <si>
    <t>Halaman 2 dari 2 halaman</t>
  </si>
  <si>
    <t>INPUT SERTIFIKAT THERMOHYGROMETER</t>
  </si>
  <si>
    <t>KOREKSI KIMO THERMOHYGROMETER 15062873</t>
  </si>
  <si>
    <t>Tahun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</si>
  <si>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</si>
  <si>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</si>
  <si>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</si>
  <si>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</si>
  <si>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</si>
  <si>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</si>
  <si>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</si>
  <si>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</si>
  <si>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</si>
  <si>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</si>
  <si>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</si>
  <si>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</si>
  <si>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</si>
  <si>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</si>
  <si>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A</t>
  </si>
  <si>
    <t>B</t>
  </si>
  <si>
    <t>C</t>
  </si>
  <si>
    <t>D</t>
  </si>
  <si>
    <t>E</t>
  </si>
  <si>
    <t>F</t>
  </si>
  <si>
    <t>G</t>
  </si>
  <si>
    <t>Rata-rata standar</t>
  </si>
  <si>
    <t>Rata-rata Terkoreksi</t>
  </si>
  <si>
    <t>STDEV</t>
  </si>
  <si>
    <t>Konversi TEXT</t>
  </si>
  <si>
    <t xml:space="preserve"> °C</t>
  </si>
  <si>
    <t xml:space="preserve"> %RH</t>
  </si>
  <si>
    <t xml:space="preserve">( </t>
  </si>
  <si>
    <t xml:space="preserve"> ± </t>
  </si>
  <si>
    <t xml:space="preserve"> )</t>
  </si>
  <si>
    <t>INTERPOLASI KOREKSI SUHU</t>
  </si>
  <si>
    <t>INTERPOLASI KOREKSI KELEMBABAN</t>
  </si>
  <si>
    <t>Thermohygrolight, Merek : KIMO, Model : KH-210-AO, SN : 14082463</t>
  </si>
  <si>
    <t>Thermohygrolight, Merek : Greisinger, Model : GFTB 200, SN : 34903046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</si>
  <si>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</si>
  <si>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</si>
  <si>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</si>
  <si>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INPUT DATA SERTIFIKAT ESA</t>
  </si>
  <si>
    <t>ESA 620 (1837056)</t>
  </si>
  <si>
    <t>ESA 620 (1834020)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</si>
  <si>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</si>
  <si>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</si>
  <si>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</si>
  <si>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</si>
  <si>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</si>
  <si>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</si>
  <si>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</si>
  <si>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</si>
  <si>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t>Resistance</t>
  </si>
  <si>
    <t>ESA 615 (2853078)</t>
  </si>
  <si>
    <t>ESA 615 (3148907)</t>
  </si>
  <si>
    <t>ESA 615 (3148908)</t>
  </si>
  <si>
    <t>ESA 615 (3699030)</t>
  </si>
  <si>
    <t>H</t>
  </si>
  <si>
    <t>VI</t>
  </si>
  <si>
    <t>Tegangan jala-jala listrik</t>
  </si>
  <si>
    <t>Pembacaan Standar</t>
  </si>
  <si>
    <t>Pembacaan terkoreksi</t>
  </si>
  <si>
    <t>Hasil</t>
  </si>
  <si>
    <t>Tahanan isolasi kabel catu daya</t>
  </si>
  <si>
    <t>Resistansi pembumian protektif</t>
  </si>
  <si>
    <t>Arus bocor</t>
  </si>
  <si>
    <t>Thermohygrometer, Merek : KIMO, KH-210-AO (14082463)</t>
  </si>
  <si>
    <t>Achmad Fauzan Adzim</t>
  </si>
  <si>
    <t>1. Ketidakpastian pengukuran dilaporkan pada tingkat kepercayaan 95% dengan faktor cakupan k= 2</t>
  </si>
  <si>
    <t>1. Fetal Simulator, Merek : Fluke Biomedical, Model : PS 320 ( 1828012 )</t>
  </si>
  <si>
    <t xml:space="preserve">Electical Safety Analyzer, Merek : Fluke, Model : ESA 620 (1837056) </t>
  </si>
  <si>
    <t>2. Hasil pengukuran keselamatan listrik tertelusur ke Satuan Internasional ( SI ) melalui CALTEK PTE LTD</t>
  </si>
  <si>
    <t>Thermohygrometer, Merek : KIMO, KH-210-AO (15062872)</t>
  </si>
  <si>
    <t>1. Fetal Simulator, Merek : Fluke Biomedical, Model : PS 320 ( 1828016 )</t>
  </si>
  <si>
    <t>Electical Safety Analyzer, Merek : Fluke, Model : ESA 620 ( 1834020 )</t>
  </si>
  <si>
    <t>Thermohygrometer, Merek : KIMO, KH-210-AO ( 15062874 )</t>
  </si>
  <si>
    <t>1. Fetal Simulator, Merek : Fluke Biomedical, Model : PS 320 ( 3204002)</t>
  </si>
  <si>
    <t xml:space="preserve">Electical Safety Analyzer, Merek : Fluke, Model : ESA 615 (2853077) </t>
  </si>
  <si>
    <t>2. Hasil pengukuran keselamatan listrik tertelusur ke Satuan Internasional ( SI ) melalui PT. KALIMAN ( LK - 032 - IDN )</t>
  </si>
  <si>
    <t>Thermohygrometer, Merek : KIMO, KH-210-AO (15062875)</t>
  </si>
  <si>
    <t>≤ 500 µA</t>
  </si>
  <si>
    <t>1. Fetal Simulator, Merek : Fluke Biomedical, Model : PS 320 ( 3204003 )</t>
  </si>
  <si>
    <t>Electical Safety Analyzer, Merek : Fluke, Model : ESA 615 (2853078)</t>
  </si>
  <si>
    <t>Thermohygrometer, Merek : SEKONIC, ST-50A (HE 21-000670)</t>
  </si>
  <si>
    <t>≤ 100 µA</t>
  </si>
  <si>
    <t>1. Fetal Simulator, Merek : Fluke Biomedical, Model : PS 320 ( 4312020 )</t>
  </si>
  <si>
    <t>Electical Safety Analyzer, Merek : Fluke, Model : ESA 615 (3148907)</t>
  </si>
  <si>
    <t>Thermohygrometer, Merek : SEKONIC, ST-50A (HE 21-000669)</t>
  </si>
  <si>
    <t>Gusti Arya Dinata</t>
  </si>
  <si>
    <t xml:space="preserve">Electical Safety Analyzer, Merek : Fluke, Model : ESA 615 (3148908) </t>
  </si>
  <si>
    <t>Thermohygrometer, Merek : GREISINGER,GFTB 200 (34903053)</t>
  </si>
  <si>
    <t>Hamdan Syarif</t>
  </si>
  <si>
    <t xml:space="preserve">Electical Safety Analyzer, Merek : Fluke, Model : ESA 615 (3699030) </t>
  </si>
  <si>
    <t>Thermohygrometer, Merek : GREISINGER,GFTB 200 (34903046)</t>
  </si>
  <si>
    <t>Hary Ernanto</t>
  </si>
  <si>
    <t xml:space="preserve">Electical Safety Analyzer, Merek : Fluke, Model : ESA 615 (,,,,,) </t>
  </si>
  <si>
    <t>Thermohygrometer, Merek : GREISINGER,GFTB 200 (34903051)</t>
  </si>
  <si>
    <t xml:space="preserve">Electical Safety Analyzer, Merek : Fluke, Model : ESA 615 (,,,,) </t>
  </si>
  <si>
    <t>Thermohygrometer, Merek : GREISINGER,GFTB 202 (34904091)</t>
  </si>
  <si>
    <t>Thermohygrometer, Merek : KIMO, KH-210-AO (15062873)</t>
  </si>
  <si>
    <t>Muhammad Iqbal Saiful Rahman</t>
  </si>
  <si>
    <t>Muhammad Irfan Husnuzhzhan</t>
  </si>
  <si>
    <t>Rangga Setya Hantoko</t>
  </si>
  <si>
    <t>Septia Khairunnisa</t>
  </si>
  <si>
    <t>Venna Filosofia</t>
  </si>
  <si>
    <t>KESIMPULAN</t>
  </si>
  <si>
    <t>SIMBOL</t>
  </si>
  <si>
    <t>Nomor Sertifikat : 18 /</t>
  </si>
  <si>
    <t>PS 320 ( 1828012 )</t>
  </si>
  <si>
    <t>PS 320 ( 1828016 )</t>
  </si>
  <si>
    <t>PS 320 ( 3204002 )</t>
  </si>
  <si>
    <t>Koreksi PS320</t>
  </si>
  <si>
    <t>Setting BPM</t>
  </si>
  <si>
    <t>PS 320 ( 3204003 )</t>
  </si>
  <si>
    <t>PS 320 ( 4312020 )</t>
  </si>
  <si>
    <t xml:space="preserve">PS 320 </t>
  </si>
  <si>
    <t>KOREKSI PS320</t>
  </si>
  <si>
    <r>
      <t>v</t>
    </r>
    <r>
      <rPr>
        <vertAlign val="subscript"/>
        <sz val="10"/>
        <color rgb="FFFF0000"/>
        <rFont val="Times New Roman"/>
        <family val="1"/>
      </rPr>
      <t>i</t>
    </r>
  </si>
  <si>
    <r>
      <t>U</t>
    </r>
    <r>
      <rPr>
        <vertAlign val="subscript"/>
        <sz val="10"/>
        <color rgb="FFFF0000"/>
        <rFont val="Times New Roman"/>
        <family val="1"/>
      </rPr>
      <t>i</t>
    </r>
  </si>
  <si>
    <r>
      <t>C</t>
    </r>
    <r>
      <rPr>
        <vertAlign val="subscript"/>
        <sz val="10"/>
        <color rgb="FFFF0000"/>
        <rFont val="Times New Roman"/>
        <family val="1"/>
      </rPr>
      <t>i</t>
    </r>
  </si>
  <si>
    <r>
      <t>U</t>
    </r>
    <r>
      <rPr>
        <vertAlign val="subscript"/>
        <sz val="10"/>
        <color rgb="FFFF0000"/>
        <rFont val="Times New Roman"/>
        <family val="1"/>
      </rPr>
      <t>i</t>
    </r>
    <r>
      <rPr>
        <sz val="10"/>
        <color rgb="FFFF0000"/>
        <rFont val="Times New Roman"/>
        <family val="1"/>
      </rPr>
      <t>C</t>
    </r>
    <r>
      <rPr>
        <vertAlign val="subscript"/>
        <sz val="10"/>
        <color rgb="FFFF0000"/>
        <rFont val="Times New Roman"/>
        <family val="1"/>
      </rPr>
      <t>i</t>
    </r>
  </si>
  <si>
    <r>
      <t>(U</t>
    </r>
    <r>
      <rPr>
        <vertAlign val="subscript"/>
        <sz val="10"/>
        <color rgb="FFFF0000"/>
        <rFont val="Times New Roman"/>
        <family val="1"/>
      </rPr>
      <t>i</t>
    </r>
    <r>
      <rPr>
        <sz val="10"/>
        <color rgb="FFFF0000"/>
        <rFont val="Times New Roman"/>
        <family val="1"/>
      </rPr>
      <t>C</t>
    </r>
    <r>
      <rPr>
        <vertAlign val="subscript"/>
        <sz val="10"/>
        <color rgb="FFFF0000"/>
        <rFont val="Times New Roman"/>
        <family val="1"/>
      </rPr>
      <t>i</t>
    </r>
    <r>
      <rPr>
        <sz val="10"/>
        <color rgb="FFFF0000"/>
        <rFont val="Times New Roman"/>
        <family val="1"/>
      </rPr>
      <t>)</t>
    </r>
    <r>
      <rPr>
        <vertAlign val="superscript"/>
        <sz val="10"/>
        <color rgb="FFFF0000"/>
        <rFont val="Times New Roman"/>
        <family val="1"/>
      </rPr>
      <t>2</t>
    </r>
  </si>
  <si>
    <r>
      <t>(U</t>
    </r>
    <r>
      <rPr>
        <vertAlign val="subscript"/>
        <sz val="10"/>
        <color rgb="FFFF0000"/>
        <rFont val="Times New Roman"/>
        <family val="1"/>
      </rPr>
      <t>i</t>
    </r>
    <r>
      <rPr>
        <sz val="10"/>
        <color rgb="FFFF0000"/>
        <rFont val="Times New Roman"/>
        <family val="1"/>
      </rPr>
      <t>C</t>
    </r>
    <r>
      <rPr>
        <vertAlign val="subscript"/>
        <sz val="10"/>
        <color rgb="FFFF0000"/>
        <rFont val="Times New Roman"/>
        <family val="1"/>
      </rPr>
      <t>i</t>
    </r>
    <r>
      <rPr>
        <sz val="10"/>
        <color rgb="FFFF0000"/>
        <rFont val="Times New Roman"/>
        <family val="1"/>
      </rPr>
      <t>)</t>
    </r>
    <r>
      <rPr>
        <vertAlign val="superscript"/>
        <sz val="10"/>
        <color rgb="FFFF0000"/>
        <rFont val="Times New Roman"/>
        <family val="1"/>
      </rPr>
      <t>4</t>
    </r>
    <r>
      <rPr>
        <sz val="10"/>
        <color rgb="FFFF0000"/>
        <rFont val="Times New Roman"/>
        <family val="1"/>
      </rPr>
      <t>/V</t>
    </r>
    <r>
      <rPr>
        <vertAlign val="subscript"/>
        <sz val="10"/>
        <color rgb="FFFF0000"/>
        <rFont val="Times New Roman"/>
        <family val="1"/>
      </rPr>
      <t>i</t>
    </r>
  </si>
  <si>
    <t>VALIDASI</t>
  </si>
  <si>
    <t>30 BPM</t>
  </si>
  <si>
    <t>60 BPM</t>
  </si>
  <si>
    <t>90 BPM</t>
  </si>
  <si>
    <t>120 BPM</t>
  </si>
  <si>
    <t>150 BPM</t>
  </si>
  <si>
    <t>180 BPM</t>
  </si>
  <si>
    <t>210 BPM</t>
  </si>
  <si>
    <t xml:space="preserve">&gt; 2 MΩ
</t>
  </si>
  <si>
    <t>NIP 198008062010121001</t>
  </si>
  <si>
    <t>NIP 198103112010121001</t>
  </si>
  <si>
    <t>Pengujian Keselamatan Listrik</t>
  </si>
  <si>
    <t>Kondisi Ruang</t>
  </si>
  <si>
    <t>Pemeriksaan Kondisi Fisik dan Fungsi Alat</t>
  </si>
  <si>
    <t>Alat yang dikalibrasi  dinyatakan LAIK PAKAI / TIDAK LAIK PAKAI</t>
  </si>
  <si>
    <t>Fetal Simulator, Merek : Fluke, Model : PS 320 SN : 1828012, 1828016, 3204002, 3204003, 4312020, 4662032, 4662033</t>
  </si>
  <si>
    <t>Electrical Safety Analyzer, Merek : FLUKE, Model : ESA 615, SN : 2853077, 2853078, 3148907, 3148908, 3699030, 4670010, 4669058</t>
  </si>
  <si>
    <t>Digital Thermohygrometer, Merek : GREISINGER, Model : GFTB 200, SN: 34903046,  34903053, 34903051, 34904091</t>
  </si>
  <si>
    <t>PS 320 ( 4662032 )</t>
  </si>
  <si>
    <t>PS 320 ( 4662033 )</t>
  </si>
  <si>
    <t xml:space="preserve">Alat ukur yang digunakan </t>
  </si>
  <si>
    <t>Alat ukur yang digunakan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</si>
  <si>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</si>
  <si>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</si>
  <si>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</si>
  <si>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bistos</t>
  </si>
  <si>
    <t>BT - 200</t>
  </si>
  <si>
    <t>BDH10736</t>
  </si>
  <si>
    <t>IGD</t>
  </si>
  <si>
    <t>Fatimah Novrianisa</t>
  </si>
  <si>
    <t>11 Maret 2020</t>
  </si>
  <si>
    <t>Alat Ukur Yang Digunakan</t>
  </si>
  <si>
    <t>Hasil pengujian Keselamatan Listrik tertelusur ke Satuan Internasional ( SI ) melalui PT. Kaliman (LK-032-IDN)</t>
  </si>
  <si>
    <t>Hasil pengujian Keselamatan Listrik tertelusur ke Satuan Internasional ( SI ) melalui PT. CALTEK PTE LTD</t>
  </si>
  <si>
    <t xml:space="preserve">Fetal Simulator, Merek : Fluke Biomedical, Model : PS 320, SN : 1828012 </t>
  </si>
  <si>
    <t xml:space="preserve">Fetal Simulator, Merek : Fluke Biomedical, Model : PS 320, SN : 1828016 </t>
  </si>
  <si>
    <t>Fetal Simulator, Merek : Fluke Biomedical, Model : PS 320, SN : 3204002</t>
  </si>
  <si>
    <t>Fetal Simulator, Merek : Fluke Biomedical, Model : PS 320 , SN : 3204003</t>
  </si>
  <si>
    <t>Fetal Simulator, Merek : Fluke Biomedical, Model : PS 320, SN : 4312020</t>
  </si>
  <si>
    <t>Fetal Simulator, Merek : Fluke Biomedical, Model : PS 320, SN : 4662032</t>
  </si>
  <si>
    <t>Fetal Simulator, Merek : Fluke Biomedical, Model : PS 320, SN : 4662033</t>
  </si>
  <si>
    <t xml:space="preserve">Resistansi isolasi </t>
  </si>
  <si>
    <t>Kalibrasi Akurasi Frekuensi Heart Rate</t>
  </si>
  <si>
    <t>Rata Rata</t>
  </si>
  <si>
    <t>Tidak terdapat grounding</t>
  </si>
  <si>
    <t>Hasil Skor</t>
  </si>
  <si>
    <t>Kondisi</t>
  </si>
  <si>
    <t>Listrik</t>
  </si>
  <si>
    <t>Frekuensi</t>
  </si>
  <si>
    <t>Batas</t>
  </si>
  <si>
    <t>Lembar Kerja Kalibrasi Fetal Doppler</t>
  </si>
  <si>
    <t>Tanggal Kalibrasi</t>
  </si>
  <si>
    <t>Tempat Kalibrasi</t>
  </si>
  <si>
    <t>Input Data Kalibrasi Fetal Doppler</t>
  </si>
  <si>
    <t>Hasil Kalibrasi Frekuensi Heart Rate (BPM) tertelusur ke Satuan Internasional ( SI ) melalui CALTEK PTE LTD</t>
  </si>
  <si>
    <t>Alat yang dikalibrasi dalam batas toleransi dan dinyatakan LAIK PAKAI, dimana hasil atau skor akhir sama dengan atau melampaui 70 % berdasarkan Keputusan Direktur Jenderal Pelayanan Kesehatan No : HK.02.02/V/0412/2020</t>
  </si>
  <si>
    <t>Alat yang dikalibrasi melebihi batas toleransi dan dinyatakan TIDAK LAIK PAKAI,  dimana hasil atau skor akhir dibawah 70 % berdasarkan Keputusan Direktur Jenderal Pelayanan Kesehatan No : HK.02.02/V/0412/2020</t>
  </si>
  <si>
    <t>Hasil Kalibrasi Fetal Doppler</t>
  </si>
  <si>
    <t>NC</t>
  </si>
  <si>
    <t>Alat tidak boleh digunakan pada instalasi yang tanpa dilengkapi grounding</t>
  </si>
  <si>
    <t>Wardimanul Abrar</t>
  </si>
  <si>
    <t>Muhammad Alpian Hadi</t>
  </si>
  <si>
    <t>Ahmad Ghazali</t>
  </si>
  <si>
    <t>Ryan Rama Chaesar R</t>
  </si>
  <si>
    <t>Siti Fathul Jannah</t>
  </si>
  <si>
    <t>KOREKSI Extech SD700/A.100609</t>
  </si>
  <si>
    <t>KOREKSI Extech SD700/A.100605</t>
  </si>
  <si>
    <t>KOREKSI Extech SD700/A.100611</t>
  </si>
  <si>
    <t>KOREKSI Extech SD700/A.100616</t>
  </si>
  <si>
    <t>KOREKSI Extech SD700/A.100617</t>
  </si>
  <si>
    <t>KOREKSI Extech SD700/A.100618</t>
  </si>
  <si>
    <t>KOREKSI Extech SD700/A.100586</t>
  </si>
  <si>
    <t>Thermohygrolight, Merek : Greisinger, Model : GFTB 200, SN : 34903051</t>
  </si>
  <si>
    <t>Digital Thermohygro Barometer : EXTECH, SD700, SN : A.100609</t>
  </si>
  <si>
    <t>Digital Thermohygro Barometer : EXTECH, SD700, SN : A.100605</t>
  </si>
  <si>
    <t>Digital Thermohygro Barometer : EXTECH, SD700, SN : A.100611</t>
  </si>
  <si>
    <t>Digital Thermohygro Barometer : EXTECH, SD700, SN : A.100616</t>
  </si>
  <si>
    <t>Digital Thermohygro Barometer : EXTECH, SD700, SN : A.100617</t>
  </si>
  <si>
    <t>Digital Thermohygro Barometer : EXTECH, SD700, SN : A.100618</t>
  </si>
  <si>
    <t>Digital Thermohygro Barometer : EXTECH, SD700, SN : A.100586</t>
  </si>
  <si>
    <t>Digital Thermohygro Barometer : EXTECH, SD700, SN : A.100609, A.100605, A.100611, A.100616,  A.100617</t>
  </si>
  <si>
    <t xml:space="preserve">A.100618, A.100586 </t>
  </si>
  <si>
    <t>Revisi</t>
  </si>
  <si>
    <t>Rev 0</t>
  </si>
  <si>
    <t>Rev 1</t>
  </si>
  <si>
    <t>Perbaikan NC kelas II</t>
  </si>
  <si>
    <t>Tidak terdapat grounding di ruangan</t>
  </si>
  <si>
    <t>ESA 615 (4670010)</t>
  </si>
  <si>
    <t>ESA (4669058)</t>
  </si>
  <si>
    <t>NO</t>
  </si>
  <si>
    <t>Electrical Safety Analyzer, Merek : Fluke, Model : ESA 615, SN : 4670010</t>
  </si>
  <si>
    <t>Electrical Safety Analyzer, Merek : Fluke, Model : ESA 615, SN : 4669058</t>
  </si>
  <si>
    <t>Maksimal keluar 2 titik</t>
  </si>
  <si>
    <t>STDEV DB Suhu masih manual</t>
  </si>
  <si>
    <t>DONE</t>
  </si>
  <si>
    <t>Pemilihan no. sertifikat / surat ket masih manual</t>
  </si>
  <si>
    <t>Oleh</t>
  </si>
  <si>
    <t>Arya</t>
  </si>
  <si>
    <t>Arus diberi strip = Value</t>
  </si>
  <si>
    <t>Venna</t>
  </si>
  <si>
    <t>Pembacaan Alat</t>
  </si>
  <si>
    <t>PS320</t>
  </si>
  <si>
    <t>SUHU</t>
  </si>
  <si>
    <t>SUHU dan KELEMBABAN</t>
  </si>
  <si>
    <t>koreksi</t>
  </si>
  <si>
    <t>terkoreksi</t>
  </si>
  <si>
    <t>Convert TEXT</t>
  </si>
  <si>
    <t>VAC</t>
  </si>
  <si>
    <t>MAIN - PE</t>
  </si>
  <si>
    <t>Terkoreksi</t>
  </si>
  <si>
    <t>HASIL FORECAST</t>
  </si>
  <si>
    <t>PEMBACAAN STANDAR</t>
  </si>
  <si>
    <t>Tipe / Model</t>
  </si>
  <si>
    <t>Nomor Seri</t>
  </si>
  <si>
    <t>Nomor Sertifikat</t>
  </si>
  <si>
    <t>Treceable</t>
  </si>
  <si>
    <t>Fetal Simulator</t>
  </si>
  <si>
    <t>Electrical Safety Analyzer</t>
  </si>
  <si>
    <t>ESA 620</t>
  </si>
  <si>
    <t>ESA 615</t>
  </si>
  <si>
    <t>Thermohygrometer</t>
  </si>
  <si>
    <t>Thermohygrolight</t>
  </si>
  <si>
    <t>KH-210-AO</t>
  </si>
  <si>
    <t>GFTB 200</t>
  </si>
  <si>
    <t>Digital Thermohygro Barometer</t>
  </si>
  <si>
    <t>SD700</t>
  </si>
  <si>
    <t>HE-21.000669</t>
  </si>
  <si>
    <t>HE-21.000670</t>
  </si>
  <si>
    <t>A.100609</t>
  </si>
  <si>
    <t>A.100605</t>
  </si>
  <si>
    <t>A.100611</t>
  </si>
  <si>
    <t>A.100616</t>
  </si>
  <si>
    <t>A.100617</t>
  </si>
  <si>
    <t xml:space="preserve"> A.100618</t>
  </si>
  <si>
    <t>A.100586</t>
  </si>
  <si>
    <t>J</t>
  </si>
  <si>
    <t>K</t>
  </si>
  <si>
    <t>L</t>
  </si>
  <si>
    <t>M</t>
  </si>
  <si>
    <t>N</t>
  </si>
  <si>
    <t>O</t>
  </si>
  <si>
    <t>P</t>
  </si>
  <si>
    <t>Q</t>
  </si>
  <si>
    <t>R</t>
  </si>
  <si>
    <t>Ua</t>
  </si>
  <si>
    <t>sum</t>
  </si>
  <si>
    <t>Tidak terdapat grounding diruangan</t>
  </si>
  <si>
    <t>Choirul Huda,S.Tr.Kes</t>
  </si>
  <si>
    <t>Tanggal Penerimaan Alat</t>
  </si>
  <si>
    <t>±</t>
  </si>
  <si>
    <t>Hasil Kalibrasi Frekuensi Heart Rate (BPM) tertelusur ke Satuan Internasional ( SI ) melalui PT.KALIMAN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</si>
  <si>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</si>
  <si>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</si>
  <si>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</si>
  <si>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</si>
  <si>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 xml:space="preserve">                                                                 </t>
  </si>
  <si>
    <t xml:space="preserve">Nama Alat            : </t>
  </si>
  <si>
    <t>Fetal Doppler</t>
  </si>
  <si>
    <t xml:space="preserve">Nomor Order           : </t>
  </si>
  <si>
    <t>Model / Tipe</t>
  </si>
  <si>
    <t>Nama Pemilik      :</t>
  </si>
  <si>
    <t xml:space="preserve">Identitas Pemilik     : </t>
  </si>
  <si>
    <t>Alamat Pemilik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</si>
  <si>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</si>
  <si>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</si>
  <si>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</si>
  <si>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</si>
  <si>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</si>
  <si>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</si>
  <si>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</si>
  <si>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</si>
  <si>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</si>
  <si>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</si>
  <si>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</si>
  <si>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</si>
  <si>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</si>
  <si>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</si>
  <si>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</si>
  <si>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</si>
  <si>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</si>
  <si>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</si>
  <si>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</si>
  <si>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</si>
  <si>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Jalan ABC</t>
  </si>
  <si>
    <t>OA.024-18</t>
  </si>
  <si>
    <t>Laik Pakai, disarankan untuk dikalibrasi ulang pada tanggal…......</t>
  </si>
  <si>
    <t>5.4.2022</t>
  </si>
  <si>
    <t>Penambahan sheet sertifikat</t>
  </si>
  <si>
    <t>Done</t>
  </si>
  <si>
    <t>Septia</t>
  </si>
  <si>
    <t>Rev 4 : 5.4.2022</t>
  </si>
  <si>
    <t>1 / IV - 21 / E - 03.000 DL</t>
  </si>
  <si>
    <r>
      <t>( M</t>
    </r>
    <r>
      <rPr>
        <b/>
        <sz val="11"/>
        <rFont val="Calibri"/>
        <family val="2"/>
      </rPr>
      <t>Ω</t>
    </r>
    <r>
      <rPr>
        <b/>
        <sz val="11"/>
        <rFont val="Times New Roman"/>
        <family val="1"/>
      </rPr>
      <t xml:space="preserve"> )</t>
    </r>
  </si>
  <si>
    <r>
      <t xml:space="preserve">( </t>
    </r>
    <r>
      <rPr>
        <b/>
        <sz val="11"/>
        <rFont val="Calibri"/>
        <family val="2"/>
      </rPr>
      <t>Ω</t>
    </r>
    <r>
      <rPr>
        <b/>
        <sz val="11"/>
        <rFont val="Times New Roman"/>
        <family val="1"/>
      </rPr>
      <t xml:space="preserve"> )</t>
    </r>
  </si>
  <si>
    <t>Arus bocor peralatan untuk peralatan elektromedik kelas I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</si>
  <si>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</si>
  <si>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</si>
  <si>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</si>
  <si>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</si>
  <si>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Fetal Simulator, Merek : Fluke Biomedical, Model : PS 320, SN : 1828012</t>
  </si>
  <si>
    <t>Fetal Simulator, Merek : Fluke Biomedical, Model : PS 320, SN : 1828016</t>
  </si>
  <si>
    <r>
      <t>o</t>
    </r>
    <r>
      <rPr>
        <sz val="11"/>
        <color indexed="9"/>
        <rFont val="Arial"/>
        <family val="2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</si>
</sst>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0.0\ &quot;MΩ&quot;"/>
    <numFmt numFmtId="165" formatCode="0.0\ \ \ \ \ \ &quot;±&quot;\ "/>
    <numFmt numFmtId="166" formatCode="0.0"/>
    <numFmt numFmtId="167" formatCode="[$-F800]dddd\,\ mmmm\ dd\,\ yyyy"/>
    <numFmt numFmtId="168" formatCode="0.0\ &quot;µA&quot;"/>
    <numFmt numFmtId="169" formatCode="0\ &quot;BPM&quot;"/>
    <numFmt numFmtId="170" formatCode="0.00\ &quot;%&quot;"/>
    <numFmt numFmtId="171" formatCode="0\ &quot;%&quot;"/>
    <numFmt numFmtId="172" formatCode="&quot;±&quot;\ 0.0"/>
    <numFmt numFmtId="173" formatCode="0.0;[Red]0.0"/>
    <numFmt numFmtId="174" formatCode="0.000"/>
    <numFmt numFmtId="175" formatCode="0.000\ &quot;Ω&quot;"/>
    <numFmt numFmtId="176" formatCode="0.0000"/>
    <numFmt numFmtId="177" formatCode="0.00000"/>
    <numFmt numFmtId="178" formatCode="0.000000"/>
    <numFmt numFmtId="179" formatCode="0.000E+00"/>
    <numFmt numFmtId="180" formatCode="0.0\ \ &quot;Volt&quot;"/>
    <numFmt numFmtId="181" formatCode="&quot;±&quot;\ 0\ %"/>
    <numFmt numFmtId="182" formatCode="0.0\ &quot;µ&quot;\A"/>
    <numFmt numFmtId="183" formatCode="0.0\ &quot;Ω&quot;"/>
    <numFmt numFmtId="184" formatCode="0.0\ &quot;%&quot;"/>
    <numFmt numFmtId="185" formatCode="[$-421]dd\ mmmm\ yyyy;@"/>
    <numFmt numFmtId="186" formatCode="0.0000000"/>
  </numFmts>
  <fonts count="102">
    <font>
      <sz val="10"/>
      <name val="Arial"/>
      <charset val="134"/>
    </font>
    <font>
      <b/>
      <i/>
      <u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i/>
      <sz val="1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i/>
      <u/>
      <sz val="20"/>
      <name val="Arial"/>
      <family val="2"/>
    </font>
    <font>
      <b/>
      <i/>
      <u/>
      <sz val="8"/>
      <name val="Arial"/>
      <family val="2"/>
    </font>
    <font>
      <sz val="12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i/>
      <sz val="11"/>
      <name val="Times New Roman"/>
      <family val="1"/>
    </font>
    <font>
      <b/>
      <sz val="8"/>
      <color theme="1"/>
      <name val="Calibri"/>
      <family val="2"/>
      <scheme val="minor"/>
    </font>
    <font>
      <b/>
      <sz val="8"/>
      <name val="Times New Roman"/>
      <family val="1"/>
    </font>
    <font>
      <b/>
      <sz val="8"/>
      <color theme="0"/>
      <name val="Times New Roman"/>
      <family val="1"/>
    </font>
    <font>
      <b/>
      <sz val="8"/>
      <name val="Arial"/>
      <family val="2"/>
    </font>
    <font>
      <sz val="8"/>
      <name val="Times New Roman"/>
      <family val="1"/>
    </font>
    <font>
      <sz val="10"/>
      <color theme="0"/>
      <name val="Arial"/>
      <family val="2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b/>
      <sz val="10"/>
      <name val="Times New Roman"/>
      <family val="1"/>
    </font>
    <font>
      <sz val="12"/>
      <name val="Calibri"/>
      <family val="2"/>
    </font>
    <font>
      <b/>
      <sz val="14"/>
      <name val="Times New Roman"/>
      <family val="1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u/>
      <sz val="11"/>
      <name val="Arial"/>
      <family val="2"/>
    </font>
    <font>
      <b/>
      <i/>
      <sz val="11"/>
      <name val="Calibri"/>
      <family val="2"/>
      <scheme val="minor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b/>
      <sz val="12"/>
      <name val="Times New Roman"/>
      <family val="1"/>
    </font>
    <font>
      <sz val="10"/>
      <color theme="1"/>
      <name val="Arial"/>
      <family val="2"/>
    </font>
    <font>
      <b/>
      <i/>
      <sz val="12"/>
      <color rgb="FFFF0000"/>
      <name val="Arial"/>
      <family val="2"/>
    </font>
    <font>
      <b/>
      <i/>
      <sz val="26"/>
      <color rgb="FFFF0000"/>
      <name val="Arial"/>
      <family val="2"/>
    </font>
    <font>
      <b/>
      <i/>
      <sz val="26"/>
      <color theme="2"/>
      <name val="Arial"/>
      <family val="2"/>
    </font>
    <font>
      <sz val="10"/>
      <color theme="2"/>
      <name val="Arial"/>
      <family val="2"/>
    </font>
    <font>
      <b/>
      <i/>
      <sz val="8"/>
      <name val="Arial"/>
      <family val="2"/>
    </font>
    <font>
      <i/>
      <sz val="10"/>
      <color rgb="FFFF0000"/>
      <name val="Arial"/>
      <family val="2"/>
    </font>
    <font>
      <b/>
      <i/>
      <sz val="12"/>
      <color rgb="FFFF0000"/>
      <name val="Times New Roman"/>
      <family val="1"/>
    </font>
    <font>
      <sz val="9"/>
      <name val="Times New Roman"/>
      <family val="1"/>
    </font>
    <font>
      <sz val="28"/>
      <color rgb="FFFF0000"/>
      <name val="Arial"/>
      <family val="2"/>
    </font>
    <font>
      <sz val="16"/>
      <name val="Arial"/>
      <family val="2"/>
    </font>
    <font>
      <sz val="11"/>
      <color theme="2"/>
      <name val="Arial"/>
      <family val="2"/>
    </font>
    <font>
      <b/>
      <u/>
      <sz val="11"/>
      <name val="Arial"/>
      <family val="2"/>
    </font>
    <font>
      <b/>
      <sz val="11"/>
      <color theme="0"/>
      <name val="Arial"/>
      <family val="2"/>
    </font>
    <font>
      <b/>
      <sz val="11"/>
      <color theme="2"/>
      <name val="Arial"/>
      <family val="2"/>
    </font>
    <font>
      <vertAlign val="superscript"/>
      <sz val="11"/>
      <color theme="0"/>
      <name val="Arial"/>
      <family val="2"/>
    </font>
    <font>
      <sz val="11"/>
      <color theme="0" tint="-0.14993743705557422"/>
      <name val="Arial"/>
      <family val="2"/>
    </font>
    <font>
      <sz val="11"/>
      <color theme="0" tint="-0.249977111117893"/>
      <name val="Arial"/>
      <family val="2"/>
    </font>
    <font>
      <sz val="13"/>
      <name val="Arial"/>
      <family val="2"/>
    </font>
    <font>
      <b/>
      <i/>
      <vertAlign val="superscript"/>
      <sz val="11"/>
      <name val="Calibri"/>
      <family val="2"/>
      <scheme val="minor"/>
    </font>
    <font>
      <vertAlign val="superscript"/>
      <sz val="11"/>
      <name val="Times New Roman"/>
      <family val="1"/>
    </font>
    <font>
      <sz val="11"/>
      <color indexed="9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10"/>
      <color rgb="FFFF0000"/>
      <name val="Times New Roman"/>
      <family val="1"/>
    </font>
    <font>
      <sz val="14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vertAlign val="superscript"/>
      <sz val="10"/>
      <color rgb="FFFF0000"/>
      <name val="Times New Roman"/>
      <family val="1"/>
    </font>
    <font>
      <i/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8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i/>
      <sz val="11"/>
      <name val="Arial"/>
      <family val="2"/>
    </font>
    <font>
      <b/>
      <i/>
      <sz val="12"/>
      <name val="Arial"/>
      <family val="2"/>
    </font>
    <font>
      <sz val="11"/>
      <color theme="1"/>
      <name val="Calibri"/>
      <family val="2"/>
      <scheme val="minor"/>
    </font>
    <font>
      <sz val="10.5"/>
      <name val="Arial"/>
      <family val="2"/>
    </font>
    <font>
      <b/>
      <sz val="11"/>
      <color rgb="FFFF0000"/>
      <name val="Arial"/>
      <family val="2"/>
    </font>
    <font>
      <sz val="10"/>
      <color theme="0" tint="-0.249977111117893"/>
      <name val="Arial"/>
      <family val="2"/>
    </font>
    <font>
      <b/>
      <u/>
      <sz val="24"/>
      <name val="Times New Roman"/>
      <family val="1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14"/>
      <name val="Arial"/>
      <family val="2"/>
    </font>
    <font>
      <b/>
      <i/>
      <u/>
      <sz val="11"/>
      <name val="Arial"/>
      <family val="2"/>
    </font>
    <font>
      <i/>
      <u/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67" fillId="0" borderId="0"/>
    <xf numFmtId="0" fontId="67" fillId="0" borderId="0"/>
    <xf numFmtId="0" fontId="88" fillId="0" borderId="0"/>
    <xf numFmtId="0" fontId="67" fillId="0" borderId="0"/>
    <xf numFmtId="0" fontId="67" fillId="0" borderId="0"/>
  </cellStyleXfs>
  <cellXfs count="1200">
    <xf numFmtId="0" fontId="0" fillId="0" borderId="0" xfId="0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3" fillId="0" borderId="4" xfId="0" applyFont="1" applyBorder="1" applyAlignment="1" applyProtection="1">
      <alignment horizontal="center"/>
      <protection hidden="1"/>
    </xf>
    <xf numFmtId="0" fontId="12" fillId="3" borderId="19" xfId="0" applyFont="1" applyFill="1" applyBorder="1" applyAlignment="1" applyProtection="1">
      <alignment horizontal="left" vertical="top" wrapText="1"/>
      <protection hidden="1"/>
    </xf>
    <xf numFmtId="0" fontId="12" fillId="4" borderId="4" xfId="0" applyFont="1" applyFill="1" applyBorder="1" applyAlignment="1" applyProtection="1">
      <alignment horizontal="left" vertical="top" wrapText="1"/>
      <protection hidden="1"/>
    </xf>
    <xf numFmtId="0" fontId="12" fillId="3" borderId="1" xfId="0" applyFont="1" applyFill="1" applyBorder="1" applyAlignment="1" applyProtection="1">
      <alignment horizontal="left" vertical="top"/>
      <protection hidden="1"/>
    </xf>
    <xf numFmtId="0" fontId="0" fillId="0" borderId="0" xfId="0" applyAlignment="1">
      <alignment horizontal="center" vertical="center"/>
    </xf>
    <xf numFmtId="0" fontId="7" fillId="3" borderId="0" xfId="2" applyFont="1" applyFill="1"/>
    <xf numFmtId="0" fontId="0" fillId="0" borderId="0" xfId="0" applyAlignment="1">
      <alignment horizontal="center"/>
    </xf>
    <xf numFmtId="0" fontId="0" fillId="3" borderId="0" xfId="0" applyFill="1"/>
    <xf numFmtId="0" fontId="17" fillId="3" borderId="30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2" fontId="17" fillId="3" borderId="30" xfId="0" applyNumberFormat="1" applyFont="1" applyFill="1" applyBorder="1" applyAlignment="1">
      <alignment horizontal="center" vertical="center"/>
    </xf>
    <xf numFmtId="0" fontId="15" fillId="3" borderId="30" xfId="2" applyFont="1" applyFill="1" applyBorder="1" applyAlignment="1">
      <alignment horizontal="center" vertical="center"/>
    </xf>
    <xf numFmtId="0" fontId="0" fillId="0" borderId="0" xfId="0" applyProtection="1">
      <protection locked="0"/>
    </xf>
    <xf numFmtId="2" fontId="17" fillId="3" borderId="4" xfId="0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7" fillId="3" borderId="0" xfId="0" applyNumberFormat="1" applyFont="1" applyFill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7" fillId="3" borderId="21" xfId="2" applyFont="1" applyFill="1" applyBorder="1" applyAlignment="1">
      <alignment vertical="center"/>
    </xf>
    <xf numFmtId="0" fontId="15" fillId="10" borderId="4" xfId="2" applyFont="1" applyFill="1" applyBorder="1" applyAlignment="1">
      <alignment horizontal="center" vertical="center"/>
    </xf>
    <xf numFmtId="0" fontId="17" fillId="3" borderId="21" xfId="2" applyFont="1" applyFill="1" applyBorder="1" applyAlignment="1">
      <alignment horizontal="center" vertical="center"/>
    </xf>
    <xf numFmtId="0" fontId="17" fillId="3" borderId="28" xfId="2" applyFont="1" applyFill="1" applyBorder="1" applyAlignment="1">
      <alignment horizontal="center" vertical="center"/>
    </xf>
    <xf numFmtId="0" fontId="17" fillId="3" borderId="21" xfId="2" applyFont="1" applyFill="1" applyBorder="1" applyAlignment="1">
      <alignment horizontal="left" vertical="center" wrapText="1"/>
    </xf>
    <xf numFmtId="0" fontId="7" fillId="3" borderId="30" xfId="2" applyFont="1" applyFill="1" applyBorder="1" applyAlignment="1">
      <alignment horizontal="center" vertical="center"/>
    </xf>
    <xf numFmtId="0" fontId="17" fillId="3" borderId="0" xfId="2" applyFont="1" applyFill="1" applyAlignment="1">
      <alignment vertical="center"/>
    </xf>
    <xf numFmtId="166" fontId="20" fillId="3" borderId="13" xfId="2" applyNumberFormat="1" applyFont="1" applyFill="1" applyBorder="1" applyAlignment="1">
      <alignment horizontal="center"/>
    </xf>
    <xf numFmtId="11" fontId="9" fillId="3" borderId="24" xfId="2" applyNumberFormat="1" applyFont="1" applyFill="1" applyBorder="1" applyAlignment="1">
      <alignment horizontal="center"/>
    </xf>
    <xf numFmtId="166" fontId="20" fillId="3" borderId="16" xfId="2" applyNumberFormat="1" applyFont="1" applyFill="1" applyBorder="1" applyAlignment="1">
      <alignment horizontal="center"/>
    </xf>
    <xf numFmtId="0" fontId="9" fillId="3" borderId="0" xfId="2" applyFont="1" applyFill="1" applyAlignment="1">
      <alignment horizontal="center"/>
    </xf>
    <xf numFmtId="176" fontId="9" fillId="3" borderId="0" xfId="2" applyNumberFormat="1" applyFont="1" applyFill="1" applyAlignment="1">
      <alignment horizontal="center"/>
    </xf>
    <xf numFmtId="176" fontId="9" fillId="3" borderId="24" xfId="2" applyNumberFormat="1" applyFont="1" applyFill="1" applyBorder="1" applyAlignment="1">
      <alignment horizontal="center"/>
    </xf>
    <xf numFmtId="0" fontId="24" fillId="3" borderId="24" xfId="2" applyFont="1" applyFill="1" applyBorder="1"/>
    <xf numFmtId="0" fontId="8" fillId="3" borderId="4" xfId="2" applyFont="1" applyFill="1" applyBorder="1" applyAlignment="1">
      <alignment horizontal="center" vertical="center"/>
    </xf>
    <xf numFmtId="0" fontId="7" fillId="3" borderId="24" xfId="2" applyFont="1" applyFill="1" applyBorder="1"/>
    <xf numFmtId="177" fontId="8" fillId="3" borderId="24" xfId="2" applyNumberFormat="1" applyFont="1" applyFill="1" applyBorder="1" applyAlignment="1">
      <alignment horizontal="center"/>
    </xf>
    <xf numFmtId="0" fontId="9" fillId="3" borderId="4" xfId="0" applyFont="1" applyFill="1" applyBorder="1"/>
    <xf numFmtId="174" fontId="30" fillId="3" borderId="24" xfId="2" applyNumberFormat="1" applyFont="1" applyFill="1" applyBorder="1" applyAlignment="1">
      <alignment horizontal="center"/>
    </xf>
    <xf numFmtId="0" fontId="8" fillId="3" borderId="0" xfId="2" applyFont="1" applyFill="1"/>
    <xf numFmtId="176" fontId="7" fillId="3" borderId="24" xfId="2" applyNumberFormat="1" applyFont="1" applyFill="1" applyBorder="1" applyAlignment="1">
      <alignment horizontal="center"/>
    </xf>
    <xf numFmtId="0" fontId="9" fillId="3" borderId="24" xfId="2" applyFont="1" applyFill="1" applyBorder="1"/>
    <xf numFmtId="2" fontId="15" fillId="3" borderId="24" xfId="2" applyNumberFormat="1" applyFont="1" applyFill="1" applyBorder="1" applyAlignment="1">
      <alignment horizontal="center"/>
    </xf>
    <xf numFmtId="2" fontId="9" fillId="3" borderId="44" xfId="2" applyNumberFormat="1" applyFont="1" applyFill="1" applyBorder="1" applyAlignment="1">
      <alignment horizontal="center"/>
    </xf>
    <xf numFmtId="0" fontId="31" fillId="0" borderId="0" xfId="2" applyFont="1" applyAlignment="1" applyProtection="1">
      <alignment vertical="center"/>
      <protection locked="0"/>
    </xf>
    <xf numFmtId="0" fontId="33" fillId="3" borderId="0" xfId="2" applyFont="1" applyFill="1" applyAlignment="1">
      <alignment horizontal="center" vertical="center"/>
    </xf>
    <xf numFmtId="0" fontId="31" fillId="3" borderId="0" xfId="2" applyFont="1" applyFill="1" applyAlignment="1">
      <alignment vertical="center"/>
    </xf>
    <xf numFmtId="0" fontId="31" fillId="0" borderId="0" xfId="2" applyFont="1" applyAlignment="1">
      <alignment vertical="center"/>
    </xf>
    <xf numFmtId="0" fontId="31" fillId="3" borderId="0" xfId="2" applyFont="1" applyFill="1" applyAlignment="1">
      <alignment horizontal="right" vertical="center"/>
    </xf>
    <xf numFmtId="0" fontId="33" fillId="3" borderId="0" xfId="2" applyFont="1" applyFill="1" applyAlignment="1">
      <alignment vertical="center"/>
    </xf>
    <xf numFmtId="0" fontId="34" fillId="3" borderId="0" xfId="2" applyFont="1" applyFill="1" applyAlignment="1">
      <alignment vertical="center"/>
    </xf>
    <xf numFmtId="0" fontId="31" fillId="0" borderId="0" xfId="2" applyFont="1" applyAlignment="1">
      <alignment horizontal="right" vertical="center"/>
    </xf>
    <xf numFmtId="180" fontId="31" fillId="3" borderId="0" xfId="2" applyNumberFormat="1" applyFont="1" applyFill="1" applyAlignment="1">
      <alignment horizontal="center" vertical="center"/>
    </xf>
    <xf numFmtId="173" fontId="33" fillId="3" borderId="0" xfId="2" applyNumberFormat="1" applyFont="1" applyFill="1" applyAlignment="1">
      <alignment horizontal="left" vertical="center"/>
    </xf>
    <xf numFmtId="49" fontId="33" fillId="3" borderId="0" xfId="2" applyNumberFormat="1" applyFont="1" applyFill="1" applyAlignment="1">
      <alignment vertical="center"/>
    </xf>
    <xf numFmtId="0" fontId="31" fillId="3" borderId="1" xfId="0" applyFont="1" applyFill="1" applyBorder="1" applyAlignment="1">
      <alignment vertical="center"/>
    </xf>
    <xf numFmtId="0" fontId="31" fillId="3" borderId="2" xfId="0" applyFont="1" applyFill="1" applyBorder="1" applyAlignment="1">
      <alignment vertical="center"/>
    </xf>
    <xf numFmtId="0" fontId="31" fillId="0" borderId="3" xfId="2" applyFont="1" applyBorder="1" applyAlignment="1" applyProtection="1">
      <alignment vertical="center"/>
      <protection locked="0"/>
    </xf>
    <xf numFmtId="0" fontId="31" fillId="3" borderId="0" xfId="2" applyFont="1" applyFill="1" applyAlignment="1">
      <alignment horizontal="center" vertical="center"/>
    </xf>
    <xf numFmtId="182" fontId="31" fillId="3" borderId="0" xfId="2" applyNumberFormat="1" applyFont="1" applyFill="1" applyAlignment="1">
      <alignment horizontal="center" vertical="center"/>
    </xf>
    <xf numFmtId="0" fontId="33" fillId="3" borderId="4" xfId="2" applyFont="1" applyFill="1" applyBorder="1" applyAlignment="1">
      <alignment horizontal="center" vertical="center"/>
    </xf>
    <xf numFmtId="172" fontId="31" fillId="3" borderId="4" xfId="2" applyNumberFormat="1" applyFont="1" applyFill="1" applyBorder="1" applyAlignment="1" applyProtection="1">
      <alignment horizontal="center" vertical="center"/>
      <protection locked="0"/>
    </xf>
    <xf numFmtId="0" fontId="31" fillId="3" borderId="59" xfId="2" applyFont="1" applyFill="1" applyBorder="1" applyAlignment="1">
      <alignment horizontal="left" vertical="center"/>
    </xf>
    <xf numFmtId="0" fontId="31" fillId="3" borderId="59" xfId="2" applyFont="1" applyFill="1" applyBorder="1" applyAlignment="1">
      <alignment horizontal="center" vertical="center"/>
    </xf>
    <xf numFmtId="0" fontId="31" fillId="3" borderId="0" xfId="2" applyFont="1" applyFill="1" applyAlignment="1" applyProtection="1">
      <alignment vertical="center"/>
      <protection locked="0"/>
    </xf>
    <xf numFmtId="0" fontId="33" fillId="3" borderId="0" xfId="2" applyFont="1" applyFill="1" applyAlignment="1" applyProtection="1">
      <alignment vertical="center"/>
      <protection locked="0"/>
    </xf>
    <xf numFmtId="2" fontId="31" fillId="3" borderId="0" xfId="2" applyNumberFormat="1" applyFont="1" applyFill="1" applyAlignment="1" applyProtection="1">
      <alignment vertical="center"/>
      <protection locked="0"/>
    </xf>
    <xf numFmtId="0" fontId="33" fillId="3" borderId="0" xfId="2" applyFont="1" applyFill="1" applyAlignment="1" applyProtection="1">
      <alignment horizontal="left" vertical="center"/>
      <protection locked="0"/>
    </xf>
    <xf numFmtId="0" fontId="31" fillId="3" borderId="0" xfId="0" applyFont="1" applyFill="1" applyAlignment="1" applyProtection="1">
      <alignment vertical="center"/>
      <protection locked="0"/>
    </xf>
    <xf numFmtId="0" fontId="31" fillId="3" borderId="0" xfId="0" applyFont="1" applyFill="1" applyAlignment="1" applyProtection="1">
      <alignment vertical="center"/>
      <protection locked="0" hidden="1"/>
    </xf>
    <xf numFmtId="0" fontId="31" fillId="0" borderId="0" xfId="0" applyFont="1" applyAlignment="1" applyProtection="1">
      <alignment vertical="center"/>
      <protection locked="0"/>
    </xf>
    <xf numFmtId="174" fontId="31" fillId="0" borderId="0" xfId="0" applyNumberFormat="1" applyFont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  <protection locked="0"/>
    </xf>
    <xf numFmtId="2" fontId="33" fillId="0" borderId="0" xfId="0" applyNumberFormat="1" applyFont="1" applyAlignment="1" applyProtection="1">
      <alignment vertical="center"/>
      <protection locked="0"/>
    </xf>
    <xf numFmtId="0" fontId="31" fillId="3" borderId="0" xfId="1" applyFont="1" applyFill="1" applyAlignment="1" applyProtection="1">
      <alignment vertical="center"/>
      <protection locked="0"/>
    </xf>
    <xf numFmtId="0" fontId="33" fillId="3" borderId="4" xfId="0" applyFont="1" applyFill="1" applyBorder="1" applyAlignment="1">
      <alignment horizontal="center" vertical="center"/>
    </xf>
    <xf numFmtId="0" fontId="31" fillId="3" borderId="4" xfId="0" applyFont="1" applyFill="1" applyBorder="1" applyAlignment="1">
      <alignment horizontal="center" vertical="center"/>
    </xf>
    <xf numFmtId="0" fontId="31" fillId="3" borderId="4" xfId="2" applyFont="1" applyFill="1" applyBorder="1" applyAlignment="1">
      <alignment horizontal="center" vertical="center"/>
    </xf>
    <xf numFmtId="0" fontId="31" fillId="0" borderId="4" xfId="2" applyFont="1" applyBorder="1" applyAlignment="1" applyProtection="1">
      <alignment horizontal="center" vertical="center"/>
      <protection locked="0"/>
    </xf>
    <xf numFmtId="0" fontId="3" fillId="3" borderId="2" xfId="2" applyFont="1" applyFill="1" applyBorder="1" applyAlignment="1" applyProtection="1">
      <alignment horizontal="center" vertical="center"/>
      <protection locked="0"/>
    </xf>
    <xf numFmtId="0" fontId="3" fillId="3" borderId="3" xfId="2" applyFont="1" applyFill="1" applyBorder="1" applyAlignment="1" applyProtection="1">
      <alignment horizontal="center" vertical="center"/>
      <protection locked="0"/>
    </xf>
    <xf numFmtId="174" fontId="31" fillId="3" borderId="0" xfId="2" applyNumberFormat="1" applyFont="1" applyFill="1" applyAlignment="1" applyProtection="1">
      <alignment horizontal="left" vertical="center"/>
      <protection locked="0"/>
    </xf>
    <xf numFmtId="0" fontId="31" fillId="3" borderId="0" xfId="2" applyFont="1" applyFill="1" applyAlignment="1" applyProtection="1">
      <alignment horizontal="center" vertical="center"/>
      <protection locked="0"/>
    </xf>
    <xf numFmtId="174" fontId="31" fillId="3" borderId="0" xfId="2" applyNumberFormat="1" applyFont="1" applyFill="1" applyAlignment="1" applyProtection="1">
      <alignment horizontal="center" vertical="center"/>
      <protection locked="0"/>
    </xf>
    <xf numFmtId="0" fontId="35" fillId="3" borderId="0" xfId="2" applyFont="1" applyFill="1" applyAlignment="1">
      <alignment vertical="center"/>
    </xf>
    <xf numFmtId="0" fontId="32" fillId="3" borderId="0" xfId="2" applyFont="1" applyFill="1" applyAlignment="1">
      <alignment vertical="center"/>
    </xf>
    <xf numFmtId="0" fontId="31" fillId="0" borderId="0" xfId="2" applyFont="1" applyAlignment="1">
      <alignment horizontal="center" vertical="center"/>
    </xf>
    <xf numFmtId="0" fontId="33" fillId="3" borderId="0" xfId="1" applyFont="1" applyFill="1" applyAlignment="1">
      <alignment vertical="center" wrapText="1"/>
    </xf>
    <xf numFmtId="0" fontId="31" fillId="3" borderId="0" xfId="0" applyFont="1" applyFill="1" applyAlignment="1" applyProtection="1">
      <alignment horizontal="right"/>
      <protection locked="0"/>
    </xf>
    <xf numFmtId="0" fontId="37" fillId="0" borderId="0" xfId="2" applyFont="1" applyAlignment="1" applyProtection="1">
      <alignment vertical="center"/>
      <protection locked="0"/>
    </xf>
    <xf numFmtId="0" fontId="38" fillId="3" borderId="0" xfId="2" applyFont="1" applyFill="1" applyAlignment="1">
      <alignment horizontal="center" wrapText="1"/>
    </xf>
    <xf numFmtId="0" fontId="40" fillId="3" borderId="0" xfId="1" applyFont="1" applyFill="1" applyAlignment="1" applyProtection="1">
      <alignment vertical="center"/>
      <protection locked="0"/>
    </xf>
    <xf numFmtId="0" fontId="39" fillId="3" borderId="0" xfId="0" applyFont="1" applyFill="1" applyAlignment="1">
      <alignment horizontal="center"/>
    </xf>
    <xf numFmtId="0" fontId="1" fillId="3" borderId="0" xfId="0" applyFont="1" applyFill="1"/>
    <xf numFmtId="0" fontId="2" fillId="3" borderId="0" xfId="0" applyFont="1" applyFill="1"/>
    <xf numFmtId="0" fontId="41" fillId="0" borderId="1" xfId="2" applyFont="1" applyBorder="1" applyAlignment="1">
      <alignment horizontal="center" vertical="center"/>
    </xf>
    <xf numFmtId="0" fontId="41" fillId="0" borderId="4" xfId="2" applyFont="1" applyBorder="1" applyAlignment="1">
      <alignment horizontal="center" vertical="center"/>
    </xf>
    <xf numFmtId="0" fontId="41" fillId="0" borderId="2" xfId="2" applyFont="1" applyBorder="1" applyAlignment="1">
      <alignment horizontal="center" vertical="center"/>
    </xf>
    <xf numFmtId="2" fontId="41" fillId="0" borderId="2" xfId="2" applyNumberFormat="1" applyFont="1" applyBorder="1" applyAlignment="1">
      <alignment horizontal="center" vertical="center"/>
    </xf>
    <xf numFmtId="0" fontId="0" fillId="3" borderId="4" xfId="0" applyFill="1" applyBorder="1"/>
    <xf numFmtId="2" fontId="0" fillId="3" borderId="4" xfId="0" applyNumberFormat="1" applyFill="1" applyBorder="1"/>
    <xf numFmtId="2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5" fillId="3" borderId="0" xfId="2" applyFont="1" applyFill="1" applyAlignment="1">
      <alignment horizontal="left"/>
    </xf>
    <xf numFmtId="0" fontId="8" fillId="3" borderId="0" xfId="2" applyFont="1" applyFill="1" applyAlignment="1">
      <alignment horizontal="left"/>
    </xf>
    <xf numFmtId="1" fontId="0" fillId="3" borderId="4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right"/>
    </xf>
    <xf numFmtId="0" fontId="39" fillId="0" borderId="0" xfId="0" applyFont="1"/>
    <xf numFmtId="0" fontId="41" fillId="0" borderId="3" xfId="2" applyFont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3" fillId="3" borderId="0" xfId="0" applyFont="1" applyFill="1"/>
    <xf numFmtId="0" fontId="0" fillId="3" borderId="4" xfId="0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166" fontId="45" fillId="3" borderId="4" xfId="0" applyNumberFormat="1" applyFont="1" applyFill="1" applyBorder="1" applyAlignment="1">
      <alignment horizontal="right"/>
    </xf>
    <xf numFmtId="166" fontId="0" fillId="3" borderId="4" xfId="0" applyNumberFormat="1" applyFill="1" applyBorder="1" applyAlignment="1">
      <alignment horizontal="right"/>
    </xf>
    <xf numFmtId="166" fontId="0" fillId="3" borderId="4" xfId="0" applyNumberFormat="1" applyFill="1" applyBorder="1"/>
    <xf numFmtId="166" fontId="0" fillId="3" borderId="0" xfId="0" applyNumberFormat="1" applyFill="1"/>
    <xf numFmtId="0" fontId="46" fillId="12" borderId="0" xfId="0" applyFont="1" applyFill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/>
    <xf numFmtId="166" fontId="0" fillId="3" borderId="4" xfId="0" applyNumberFormat="1" applyFill="1" applyBorder="1" applyAlignment="1">
      <alignment horizontal="center"/>
    </xf>
    <xf numFmtId="174" fontId="0" fillId="0" borderId="4" xfId="0" applyNumberFormat="1" applyBorder="1" applyAlignment="1">
      <alignment horizontal="center"/>
    </xf>
    <xf numFmtId="0" fontId="51" fillId="0" borderId="0" xfId="0" applyFont="1"/>
    <xf numFmtId="0" fontId="52" fillId="0" borderId="0" xfId="0" applyFont="1"/>
    <xf numFmtId="0" fontId="44" fillId="0" borderId="0" xfId="0" applyFont="1"/>
    <xf numFmtId="2" fontId="0" fillId="0" borderId="4" xfId="0" applyNumberFormat="1" applyBorder="1"/>
    <xf numFmtId="174" fontId="9" fillId="0" borderId="4" xfId="0" applyNumberFormat="1" applyFont="1" applyBorder="1" applyAlignment="1">
      <alignment horizontal="center"/>
    </xf>
    <xf numFmtId="0" fontId="53" fillId="3" borderId="4" xfId="0" applyFont="1" applyFill="1" applyBorder="1" applyAlignment="1">
      <alignment horizontal="center" vertical="center"/>
    </xf>
    <xf numFmtId="174" fontId="9" fillId="3" borderId="4" xfId="0" applyNumberFormat="1" applyFont="1" applyFill="1" applyBorder="1" applyAlignment="1">
      <alignment horizontal="center" vertical="center"/>
    </xf>
    <xf numFmtId="0" fontId="53" fillId="3" borderId="4" xfId="0" applyFont="1" applyFill="1" applyBorder="1" applyAlignment="1">
      <alignment horizontal="center"/>
    </xf>
    <xf numFmtId="174" fontId="9" fillId="3" borderId="4" xfId="0" applyNumberFormat="1" applyFont="1" applyFill="1" applyBorder="1" applyAlignment="1">
      <alignment horizontal="center"/>
    </xf>
    <xf numFmtId="0" fontId="54" fillId="13" borderId="0" xfId="0" applyFont="1" applyFill="1" applyAlignment="1">
      <alignment horizontal="center" vertical="center"/>
    </xf>
    <xf numFmtId="0" fontId="55" fillId="6" borderId="0" xfId="0" applyFont="1" applyFill="1" applyAlignment="1">
      <alignment horizontal="center" vertical="center"/>
    </xf>
    <xf numFmtId="0" fontId="44" fillId="3" borderId="36" xfId="0" applyFont="1" applyFill="1" applyBorder="1" applyAlignment="1">
      <alignment horizontal="center"/>
    </xf>
    <xf numFmtId="0" fontId="44" fillId="3" borderId="37" xfId="0" applyFont="1" applyFill="1" applyBorder="1" applyAlignment="1">
      <alignment horizontal="center"/>
    </xf>
    <xf numFmtId="0" fontId="44" fillId="3" borderId="45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2" fontId="17" fillId="3" borderId="13" xfId="0" applyNumberFormat="1" applyFont="1" applyFill="1" applyBorder="1" applyAlignment="1">
      <alignment horizontal="center"/>
    </xf>
    <xf numFmtId="174" fontId="17" fillId="3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74" fontId="0" fillId="0" borderId="0" xfId="0" applyNumberFormat="1"/>
    <xf numFmtId="2" fontId="0" fillId="0" borderId="0" xfId="0" applyNumberFormat="1"/>
    <xf numFmtId="166" fontId="0" fillId="0" borderId="0" xfId="0" applyNumberFormat="1" applyAlignment="1">
      <alignment horizontal="center" vertical="center"/>
    </xf>
    <xf numFmtId="0" fontId="0" fillId="13" borderId="0" xfId="0" applyFill="1"/>
    <xf numFmtId="0" fontId="44" fillId="3" borderId="0" xfId="0" applyFont="1" applyFill="1"/>
    <xf numFmtId="2" fontId="17" fillId="3" borderId="33" xfId="0" applyNumberFormat="1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/>
    </xf>
    <xf numFmtId="2" fontId="17" fillId="3" borderId="16" xfId="0" applyNumberFormat="1" applyFont="1" applyFill="1" applyBorder="1" applyAlignment="1">
      <alignment horizontal="center"/>
    </xf>
    <xf numFmtId="0" fontId="17" fillId="3" borderId="0" xfId="0" applyFont="1" applyFill="1" applyAlignment="1">
      <alignment horizontal="center"/>
    </xf>
    <xf numFmtId="2" fontId="17" fillId="3" borderId="0" xfId="0" applyNumberFormat="1" applyFont="1" applyFill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left"/>
    </xf>
    <xf numFmtId="0" fontId="31" fillId="3" borderId="0" xfId="0" applyFont="1" applyFill="1"/>
    <xf numFmtId="0" fontId="31" fillId="3" borderId="0" xfId="0" applyFont="1" applyFill="1" applyAlignment="1">
      <alignment vertical="center"/>
    </xf>
    <xf numFmtId="0" fontId="31" fillId="3" borderId="0" xfId="0" applyFont="1" applyFill="1" applyAlignment="1">
      <alignment horizontal="right"/>
    </xf>
    <xf numFmtId="0" fontId="31" fillId="14" borderId="0" xfId="0" applyFont="1" applyFill="1"/>
    <xf numFmtId="0" fontId="31" fillId="3" borderId="0" xfId="0" applyFont="1" applyFill="1" applyAlignment="1">
      <alignment horizontal="left"/>
    </xf>
    <xf numFmtId="0" fontId="31" fillId="14" borderId="0" xfId="0" applyFont="1" applyFill="1" applyAlignment="1">
      <alignment horizontal="center"/>
    </xf>
    <xf numFmtId="0" fontId="31" fillId="14" borderId="0" xfId="0" applyFont="1" applyFill="1" applyAlignment="1">
      <alignment horizontal="right"/>
    </xf>
    <xf numFmtId="0" fontId="33" fillId="3" borderId="0" xfId="0" applyFont="1" applyFill="1" applyAlignment="1">
      <alignment horizontal="left" vertical="center"/>
    </xf>
    <xf numFmtId="0" fontId="33" fillId="3" borderId="0" xfId="0" applyFont="1" applyFill="1"/>
    <xf numFmtId="0" fontId="33" fillId="3" borderId="4" xfId="0" applyFont="1" applyFill="1" applyBorder="1" applyAlignment="1">
      <alignment horizontal="left" vertical="center"/>
    </xf>
    <xf numFmtId="166" fontId="31" fillId="14" borderId="4" xfId="0" applyNumberFormat="1" applyFont="1" applyFill="1" applyBorder="1" applyAlignment="1">
      <alignment horizontal="center" vertical="center"/>
    </xf>
    <xf numFmtId="166" fontId="31" fillId="3" borderId="0" xfId="0" applyNumberFormat="1" applyFont="1" applyFill="1" applyAlignment="1">
      <alignment horizontal="left"/>
    </xf>
    <xf numFmtId="166" fontId="56" fillId="3" borderId="0" xfId="0" applyNumberFormat="1" applyFont="1" applyFill="1" applyAlignment="1">
      <alignment horizontal="center"/>
    </xf>
    <xf numFmtId="166" fontId="56" fillId="3" borderId="0" xfId="0" applyNumberFormat="1" applyFont="1" applyFill="1"/>
    <xf numFmtId="0" fontId="33" fillId="3" borderId="0" xfId="0" applyFont="1" applyFill="1" applyAlignment="1">
      <alignment horizontal="left"/>
    </xf>
    <xf numFmtId="0" fontId="33" fillId="3" borderId="0" xfId="0" applyFont="1" applyFill="1" applyAlignment="1">
      <alignment vertical="center"/>
    </xf>
    <xf numFmtId="0" fontId="33" fillId="3" borderId="0" xfId="0" applyFont="1" applyFill="1" applyAlignment="1">
      <alignment horizontal="center" vertical="center"/>
    </xf>
    <xf numFmtId="173" fontId="31" fillId="3" borderId="0" xfId="0" applyNumberFormat="1" applyFont="1" applyFill="1" applyAlignment="1">
      <alignment horizontal="left" vertical="center"/>
    </xf>
    <xf numFmtId="49" fontId="31" fillId="3" borderId="0" xfId="0" applyNumberFormat="1" applyFont="1" applyFill="1" applyAlignment="1">
      <alignment vertical="center"/>
    </xf>
    <xf numFmtId="0" fontId="31" fillId="3" borderId="6" xfId="0" applyFont="1" applyFill="1" applyBorder="1" applyAlignment="1">
      <alignment horizontal="center" vertical="center"/>
    </xf>
    <xf numFmtId="0" fontId="31" fillId="3" borderId="62" xfId="0" applyFont="1" applyFill="1" applyBorder="1"/>
    <xf numFmtId="0" fontId="31" fillId="3" borderId="62" xfId="0" applyFont="1" applyFill="1" applyBorder="1" applyAlignment="1">
      <alignment horizontal="left"/>
    </xf>
    <xf numFmtId="0" fontId="31" fillId="3" borderId="4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49" fontId="31" fillId="3" borderId="4" xfId="0" applyNumberFormat="1" applyFont="1" applyFill="1" applyBorder="1" applyAlignment="1">
      <alignment horizontal="center"/>
    </xf>
    <xf numFmtId="1" fontId="31" fillId="3" borderId="4" xfId="0" applyNumberFormat="1" applyFont="1" applyFill="1" applyBorder="1" applyAlignment="1">
      <alignment horizontal="center"/>
    </xf>
    <xf numFmtId="178" fontId="31" fillId="3" borderId="0" xfId="0" applyNumberFormat="1" applyFont="1" applyFill="1" applyAlignment="1">
      <alignment horizontal="center"/>
    </xf>
    <xf numFmtId="176" fontId="31" fillId="3" borderId="0" xfId="0" applyNumberFormat="1" applyFont="1" applyFill="1" applyAlignment="1">
      <alignment horizontal="center"/>
    </xf>
    <xf numFmtId="0" fontId="57" fillId="3" borderId="0" xfId="0" applyFont="1" applyFill="1"/>
    <xf numFmtId="0" fontId="58" fillId="3" borderId="0" xfId="0" applyFont="1" applyFill="1"/>
    <xf numFmtId="0" fontId="60" fillId="3" borderId="0" xfId="0" applyFont="1" applyFill="1"/>
    <xf numFmtId="0" fontId="37" fillId="3" borderId="0" xfId="0" applyFont="1" applyFill="1"/>
    <xf numFmtId="0" fontId="33" fillId="3" borderId="4" xfId="0" applyFont="1" applyFill="1" applyBorder="1" applyAlignment="1">
      <alignment horizontal="center" vertical="center" wrapText="1"/>
    </xf>
    <xf numFmtId="0" fontId="33" fillId="3" borderId="0" xfId="0" applyFont="1" applyFill="1" applyAlignment="1">
      <alignment vertical="center" wrapText="1"/>
    </xf>
    <xf numFmtId="0" fontId="61" fillId="3" borderId="0" xfId="0" applyFont="1" applyFill="1" applyAlignment="1">
      <alignment vertical="center" wrapText="1"/>
    </xf>
    <xf numFmtId="178" fontId="31" fillId="0" borderId="0" xfId="0" applyNumberFormat="1" applyFont="1" applyAlignment="1">
      <alignment horizontal="center"/>
    </xf>
    <xf numFmtId="0" fontId="31" fillId="3" borderId="0" xfId="0" applyFont="1" applyFill="1" applyAlignment="1">
      <alignment horizontal="center" vertical="center"/>
    </xf>
    <xf numFmtId="178" fontId="61" fillId="3" borderId="0" xfId="0" applyNumberFormat="1" applyFont="1" applyFill="1" applyAlignment="1">
      <alignment horizontal="center"/>
    </xf>
    <xf numFmtId="178" fontId="31" fillId="0" borderId="0" xfId="0" applyNumberFormat="1" applyFont="1"/>
    <xf numFmtId="1" fontId="61" fillId="3" borderId="0" xfId="0" applyNumberFormat="1" applyFont="1" applyFill="1" applyAlignment="1">
      <alignment horizontal="center"/>
    </xf>
    <xf numFmtId="1" fontId="31" fillId="3" borderId="0" xfId="0" applyNumberFormat="1" applyFont="1" applyFill="1" applyAlignment="1">
      <alignment horizontal="center"/>
    </xf>
    <xf numFmtId="176" fontId="31" fillId="0" borderId="0" xfId="0" applyNumberFormat="1" applyFont="1" applyAlignment="1">
      <alignment horizontal="center"/>
    </xf>
    <xf numFmtId="0" fontId="31" fillId="5" borderId="0" xfId="0" applyFont="1" applyFill="1"/>
    <xf numFmtId="0" fontId="31" fillId="3" borderId="0" xfId="1" applyFont="1" applyFill="1"/>
    <xf numFmtId="0" fontId="31" fillId="3" borderId="2" xfId="0" applyFont="1" applyFill="1" applyBorder="1" applyAlignment="1">
      <alignment horizontal="left"/>
    </xf>
    <xf numFmtId="0" fontId="31" fillId="3" borderId="3" xfId="0" applyFont="1" applyFill="1" applyBorder="1" applyAlignment="1">
      <alignment horizontal="center"/>
    </xf>
    <xf numFmtId="0" fontId="31" fillId="3" borderId="6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/>
    </xf>
    <xf numFmtId="0" fontId="31" fillId="3" borderId="63" xfId="0" applyFont="1" applyFill="1" applyBorder="1" applyAlignment="1">
      <alignment horizontal="center" vertical="center" wrapText="1"/>
    </xf>
    <xf numFmtId="0" fontId="62" fillId="0" borderId="0" xfId="0" applyFont="1"/>
    <xf numFmtId="0" fontId="62" fillId="0" borderId="0" xfId="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31" fillId="0" borderId="5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166" fontId="31" fillId="0" borderId="4" xfId="0" applyNumberFormat="1" applyFont="1" applyBorder="1" applyAlignment="1">
      <alignment horizontal="center"/>
    </xf>
    <xf numFmtId="2" fontId="31" fillId="3" borderId="4" xfId="0" applyNumberFormat="1" applyFont="1" applyFill="1" applyBorder="1" applyAlignment="1">
      <alignment horizontal="center"/>
    </xf>
    <xf numFmtId="0" fontId="63" fillId="3" borderId="0" xfId="0" applyFont="1" applyFill="1" applyAlignment="1">
      <alignment horizontal="center" vertical="center"/>
    </xf>
    <xf numFmtId="0" fontId="31" fillId="3" borderId="64" xfId="0" applyFont="1" applyFill="1" applyBorder="1" applyAlignment="1">
      <alignment vertical="center"/>
    </xf>
    <xf numFmtId="0" fontId="31" fillId="3" borderId="65" xfId="0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34" fillId="3" borderId="0" xfId="0" applyFont="1" applyFill="1" applyAlignment="1">
      <alignment vertical="center"/>
    </xf>
    <xf numFmtId="0" fontId="31" fillId="3" borderId="66" xfId="0" applyFont="1" applyFill="1" applyBorder="1" applyAlignment="1">
      <alignment vertical="center"/>
    </xf>
    <xf numFmtId="0" fontId="31" fillId="3" borderId="66" xfId="0" applyFont="1" applyFill="1" applyBorder="1" applyAlignment="1">
      <alignment horizontal="right" vertical="center"/>
    </xf>
    <xf numFmtId="0" fontId="31" fillId="3" borderId="61" xfId="0" applyFont="1" applyFill="1" applyBorder="1" applyAlignment="1">
      <alignment horizontal="center" vertical="center"/>
    </xf>
    <xf numFmtId="49" fontId="31" fillId="3" borderId="4" xfId="0" applyNumberFormat="1" applyFont="1" applyFill="1" applyBorder="1" applyAlignment="1">
      <alignment horizontal="center" vertical="center"/>
    </xf>
    <xf numFmtId="1" fontId="31" fillId="3" borderId="4" xfId="0" applyNumberFormat="1" applyFont="1" applyFill="1" applyBorder="1" applyAlignment="1">
      <alignment horizontal="center" vertical="center"/>
    </xf>
    <xf numFmtId="1" fontId="37" fillId="3" borderId="4" xfId="0" applyNumberFormat="1" applyFont="1" applyFill="1" applyBorder="1" applyAlignment="1">
      <alignment vertical="center"/>
    </xf>
    <xf numFmtId="1" fontId="37" fillId="3" borderId="4" xfId="0" applyNumberFormat="1" applyFont="1" applyFill="1" applyBorder="1" applyAlignment="1">
      <alignment horizontal="center" vertical="center"/>
    </xf>
    <xf numFmtId="0" fontId="31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31" fillId="3" borderId="0" xfId="0" applyFont="1" applyFill="1" applyProtection="1">
      <protection hidden="1"/>
    </xf>
    <xf numFmtId="0" fontId="31" fillId="0" borderId="64" xfId="0" applyFont="1" applyBorder="1"/>
    <xf numFmtId="0" fontId="31" fillId="0" borderId="4" xfId="2" applyFont="1" applyBorder="1" applyAlignment="1">
      <alignment horizontal="center" vertical="center"/>
    </xf>
    <xf numFmtId="174" fontId="31" fillId="3" borderId="0" xfId="0" applyNumberFormat="1" applyFont="1" applyFill="1" applyAlignment="1">
      <alignment horizontal="center" vertical="center"/>
    </xf>
    <xf numFmtId="0" fontId="31" fillId="3" borderId="48" xfId="0" applyFont="1" applyFill="1" applyBorder="1" applyAlignment="1">
      <alignment vertical="center"/>
    </xf>
    <xf numFmtId="0" fontId="31" fillId="3" borderId="49" xfId="0" applyFont="1" applyFill="1" applyBorder="1" applyAlignment="1">
      <alignment vertical="center"/>
    </xf>
    <xf numFmtId="0" fontId="31" fillId="0" borderId="54" xfId="0" applyFont="1" applyBorder="1"/>
    <xf numFmtId="0" fontId="31" fillId="0" borderId="4" xfId="2" quotePrefix="1" applyFont="1" applyBorder="1" applyAlignment="1">
      <alignment horizontal="center" vertical="center"/>
    </xf>
    <xf numFmtId="0" fontId="31" fillId="0" borderId="4" xfId="2" quotePrefix="1" applyFont="1" applyBorder="1" applyAlignment="1" applyProtection="1">
      <alignment horizontal="center" vertical="center"/>
      <protection locked="0"/>
    </xf>
    <xf numFmtId="0" fontId="31" fillId="3" borderId="0" xfId="0" quotePrefix="1" applyFont="1" applyFill="1" applyAlignment="1">
      <alignment horizontal="left"/>
    </xf>
    <xf numFmtId="0" fontId="62" fillId="0" borderId="0" xfId="0" quotePrefix="1" applyFont="1"/>
    <xf numFmtId="0" fontId="31" fillId="0" borderId="0" xfId="0" quotePrefix="1" applyFont="1"/>
    <xf numFmtId="0" fontId="0" fillId="3" borderId="4" xfId="0" quotePrefix="1" applyFill="1" applyBorder="1" applyAlignment="1">
      <alignment horizontal="center"/>
    </xf>
    <xf numFmtId="2" fontId="0" fillId="0" borderId="4" xfId="0" quotePrefix="1" applyNumberFormat="1" applyBorder="1" applyAlignment="1">
      <alignment horizontal="center" vertical="center"/>
    </xf>
    <xf numFmtId="0" fontId="71" fillId="11" borderId="4" xfId="0" applyFont="1" applyFill="1" applyBorder="1" applyAlignment="1">
      <alignment horizontal="center" vertical="center"/>
    </xf>
    <xf numFmtId="0" fontId="72" fillId="11" borderId="4" xfId="0" applyFont="1" applyFill="1" applyBorder="1" applyAlignment="1">
      <alignment horizontal="center" vertical="center"/>
    </xf>
    <xf numFmtId="0" fontId="71" fillId="11" borderId="4" xfId="0" quotePrefix="1" applyFont="1" applyFill="1" applyBorder="1" applyAlignment="1">
      <alignment horizontal="center" vertical="center"/>
    </xf>
    <xf numFmtId="0" fontId="71" fillId="0" borderId="1" xfId="2" applyFont="1" applyBorder="1" applyAlignment="1">
      <alignment horizontal="left"/>
    </xf>
    <xf numFmtId="0" fontId="71" fillId="0" borderId="3" xfId="0" applyFont="1" applyBorder="1" applyAlignment="1">
      <alignment vertical="top"/>
    </xf>
    <xf numFmtId="0" fontId="71" fillId="0" borderId="0" xfId="2" applyFont="1" applyAlignment="1">
      <alignment horizontal="center"/>
    </xf>
    <xf numFmtId="0" fontId="71" fillId="0" borderId="4" xfId="2" applyFont="1" applyBorder="1" applyAlignment="1">
      <alignment horizontal="center"/>
    </xf>
    <xf numFmtId="2" fontId="71" fillId="0" borderId="5" xfId="0" applyNumberFormat="1" applyFont="1" applyBorder="1" applyAlignment="1">
      <alignment horizontal="center"/>
    </xf>
    <xf numFmtId="2" fontId="71" fillId="0" borderId="59" xfId="0" applyNumberFormat="1" applyFont="1" applyBorder="1" applyAlignment="1">
      <alignment horizontal="center"/>
    </xf>
    <xf numFmtId="0" fontId="71" fillId="0" borderId="4" xfId="0" applyFont="1" applyBorder="1" applyAlignment="1">
      <alignment horizontal="center"/>
    </xf>
    <xf numFmtId="176" fontId="71" fillId="0" borderId="59" xfId="0" applyNumberFormat="1" applyFont="1" applyBorder="1" applyAlignment="1">
      <alignment horizontal="center"/>
    </xf>
    <xf numFmtId="0" fontId="71" fillId="0" borderId="5" xfId="0" applyFont="1" applyBorder="1" applyAlignment="1">
      <alignment horizontal="center"/>
    </xf>
    <xf numFmtId="176" fontId="71" fillId="0" borderId="0" xfId="0" applyNumberFormat="1" applyFont="1" applyAlignment="1">
      <alignment horizontal="center"/>
    </xf>
    <xf numFmtId="11" fontId="71" fillId="0" borderId="57" xfId="0" applyNumberFormat="1" applyFont="1" applyBorder="1" applyAlignment="1">
      <alignment horizontal="center"/>
    </xf>
    <xf numFmtId="11" fontId="71" fillId="0" borderId="58" xfId="0" applyNumberFormat="1" applyFont="1" applyBorder="1" applyAlignment="1">
      <alignment horizontal="center"/>
    </xf>
    <xf numFmtId="0" fontId="71" fillId="0" borderId="1" xfId="2" applyFont="1" applyBorder="1" applyAlignment="1">
      <alignment horizontal="center"/>
    </xf>
    <xf numFmtId="176" fontId="71" fillId="0" borderId="2" xfId="0" applyNumberFormat="1" applyFont="1" applyBorder="1" applyAlignment="1">
      <alignment horizontal="center"/>
    </xf>
    <xf numFmtId="11" fontId="71" fillId="0" borderId="4" xfId="0" applyNumberFormat="1" applyFont="1" applyBorder="1" applyAlignment="1">
      <alignment horizontal="center"/>
    </xf>
    <xf numFmtId="11" fontId="71" fillId="0" borderId="3" xfId="0" applyNumberFormat="1" applyFont="1" applyBorder="1" applyAlignment="1">
      <alignment horizontal="center"/>
    </xf>
    <xf numFmtId="2" fontId="71" fillId="0" borderId="4" xfId="0" applyNumberFormat="1" applyFont="1" applyBorder="1" applyAlignment="1">
      <alignment horizontal="center"/>
    </xf>
    <xf numFmtId="176" fontId="71" fillId="0" borderId="4" xfId="0" applyNumberFormat="1" applyFont="1" applyBorder="1" applyAlignment="1">
      <alignment horizontal="center"/>
    </xf>
    <xf numFmtId="0" fontId="71" fillId="0" borderId="1" xfId="2" applyFont="1" applyBorder="1"/>
    <xf numFmtId="0" fontId="71" fillId="0" borderId="63" xfId="0" applyFont="1" applyBorder="1" applyAlignment="1">
      <alignment vertical="top"/>
    </xf>
    <xf numFmtId="174" fontId="71" fillId="0" borderId="6" xfId="0" applyNumberFormat="1" applyFont="1" applyBorder="1" applyAlignment="1">
      <alignment horizontal="center"/>
    </xf>
    <xf numFmtId="0" fontId="71" fillId="0" borderId="1" xfId="0" applyFont="1" applyBorder="1" applyAlignment="1">
      <alignment vertical="top"/>
    </xf>
    <xf numFmtId="0" fontId="71" fillId="0" borderId="3" xfId="0" applyFont="1" applyBorder="1" applyAlignment="1">
      <alignment horizontal="center"/>
    </xf>
    <xf numFmtId="177" fontId="71" fillId="0" borderId="4" xfId="0" applyNumberFormat="1" applyFont="1" applyBorder="1" applyAlignment="1">
      <alignment horizontal="center"/>
    </xf>
    <xf numFmtId="0" fontId="71" fillId="0" borderId="1" xfId="0" applyFont="1" applyBorder="1"/>
    <xf numFmtId="179" fontId="76" fillId="0" borderId="1" xfId="0" applyNumberFormat="1" applyFont="1" applyBorder="1" applyAlignment="1">
      <alignment horizontal="center"/>
    </xf>
    <xf numFmtId="0" fontId="71" fillId="0" borderId="4" xfId="0" applyFont="1" applyBorder="1"/>
    <xf numFmtId="2" fontId="76" fillId="0" borderId="1" xfId="0" applyNumberFormat="1" applyFont="1" applyBorder="1" applyAlignment="1">
      <alignment horizontal="center"/>
    </xf>
    <xf numFmtId="0" fontId="78" fillId="0" borderId="4" xfId="0" applyFont="1" applyBorder="1" applyAlignment="1">
      <alignment horizontal="center" vertical="center"/>
    </xf>
    <xf numFmtId="2" fontId="77" fillId="0" borderId="4" xfId="0" applyNumberFormat="1" applyFont="1" applyBorder="1" applyAlignment="1">
      <alignment horizontal="center"/>
    </xf>
    <xf numFmtId="0" fontId="79" fillId="0" borderId="0" xfId="0" applyFont="1"/>
    <xf numFmtId="2" fontId="0" fillId="12" borderId="4" xfId="0" applyNumberFormat="1" applyFill="1" applyBorder="1" applyAlignment="1">
      <alignment horizontal="center"/>
    </xf>
    <xf numFmtId="177" fontId="71" fillId="0" borderId="57" xfId="0" applyNumberFormat="1" applyFont="1" applyBorder="1" applyAlignment="1">
      <alignment horizontal="center"/>
    </xf>
    <xf numFmtId="174" fontId="76" fillId="0" borderId="1" xfId="0" applyNumberFormat="1" applyFont="1" applyBorder="1" applyAlignment="1">
      <alignment horizontal="center"/>
    </xf>
    <xf numFmtId="176" fontId="76" fillId="0" borderId="1" xfId="0" applyNumberFormat="1" applyFont="1" applyBorder="1" applyAlignment="1">
      <alignment horizontal="center"/>
    </xf>
    <xf numFmtId="170" fontId="36" fillId="12" borderId="4" xfId="0" applyNumberFormat="1" applyFont="1" applyFill="1" applyBorder="1" applyAlignment="1">
      <alignment vertical="center"/>
    </xf>
    <xf numFmtId="166" fontId="31" fillId="12" borderId="4" xfId="2" applyNumberFormat="1" applyFont="1" applyFill="1" applyBorder="1" applyAlignment="1">
      <alignment horizontal="center" vertical="center"/>
    </xf>
    <xf numFmtId="0" fontId="82" fillId="0" borderId="0" xfId="2" applyFont="1" applyAlignment="1" applyProtection="1">
      <alignment vertical="center"/>
      <protection locked="0"/>
    </xf>
    <xf numFmtId="170" fontId="83" fillId="12" borderId="4" xfId="0" applyNumberFormat="1" applyFont="1" applyFill="1" applyBorder="1" applyAlignment="1">
      <alignment horizontal="center" vertical="center"/>
    </xf>
    <xf numFmtId="0" fontId="84" fillId="0" borderId="0" xfId="2" applyFont="1" applyAlignment="1" applyProtection="1">
      <alignment vertical="center"/>
      <protection locked="0"/>
    </xf>
    <xf numFmtId="0" fontId="32" fillId="0" borderId="0" xfId="2" applyFont="1" applyAlignment="1">
      <alignment horizontal="center" vertical="center"/>
    </xf>
    <xf numFmtId="0" fontId="33" fillId="0" borderId="0" xfId="2" applyFont="1" applyAlignment="1">
      <alignment horizontal="center" vertical="center"/>
    </xf>
    <xf numFmtId="0" fontId="33" fillId="0" borderId="0" xfId="2" applyFont="1" applyAlignment="1">
      <alignment vertical="center"/>
    </xf>
    <xf numFmtId="0" fontId="31" fillId="0" borderId="4" xfId="0" applyFont="1" applyBorder="1" applyAlignment="1">
      <alignment horizontal="center" vertical="center"/>
    </xf>
    <xf numFmtId="0" fontId="31" fillId="0" borderId="0" xfId="2" applyFont="1" applyAlignment="1">
      <alignment horizontal="left" vertical="center"/>
    </xf>
    <xf numFmtId="0" fontId="33" fillId="0" borderId="4" xfId="2" applyFont="1" applyBorder="1" applyAlignment="1">
      <alignment horizontal="center" vertical="center" wrapText="1"/>
    </xf>
    <xf numFmtId="0" fontId="31" fillId="0" borderId="0" xfId="2" applyFont="1" applyAlignment="1" applyProtection="1">
      <alignment horizontal="left" vertical="center"/>
      <protection locked="0"/>
    </xf>
    <xf numFmtId="0" fontId="33" fillId="0" borderId="0" xfId="2" applyFont="1" applyAlignment="1" applyProtection="1">
      <alignment vertical="center"/>
      <protection locked="0"/>
    </xf>
    <xf numFmtId="0" fontId="33" fillId="0" borderId="0" xfId="2" applyFont="1" applyAlignment="1" applyProtection="1">
      <alignment horizontal="left" vertical="center"/>
      <protection locked="0"/>
    </xf>
    <xf numFmtId="0" fontId="33" fillId="0" borderId="0" xfId="2" applyFont="1" applyAlignment="1" applyProtection="1">
      <alignment horizontal="center" vertical="center"/>
      <protection locked="0"/>
    </xf>
    <xf numFmtId="0" fontId="31" fillId="0" borderId="0" xfId="2" applyFont="1" applyAlignment="1" applyProtection="1">
      <alignment horizontal="right" vertical="center"/>
      <protection locked="0"/>
    </xf>
    <xf numFmtId="0" fontId="31" fillId="3" borderId="63" xfId="0" quotePrefix="1" applyFont="1" applyFill="1" applyBorder="1" applyAlignment="1">
      <alignment horizontal="center" vertical="center" wrapText="1"/>
    </xf>
    <xf numFmtId="0" fontId="31" fillId="3" borderId="6" xfId="0" quotePrefix="1" applyFont="1" applyFill="1" applyBorder="1" applyAlignment="1">
      <alignment horizontal="center" vertical="center" wrapText="1"/>
    </xf>
    <xf numFmtId="184" fontId="36" fillId="12" borderId="4" xfId="0" applyNumberFormat="1" applyFont="1" applyFill="1" applyBorder="1" applyAlignment="1">
      <alignment horizontal="center" vertical="center"/>
    </xf>
    <xf numFmtId="184" fontId="83" fillId="12" borderId="4" xfId="0" applyNumberFormat="1" applyFont="1" applyFill="1" applyBorder="1" applyAlignment="1">
      <alignment horizontal="center" vertical="center"/>
    </xf>
    <xf numFmtId="171" fontId="36" fillId="12" borderId="4" xfId="0" applyNumberFormat="1" applyFont="1" applyFill="1" applyBorder="1" applyAlignment="1">
      <alignment horizontal="center"/>
    </xf>
    <xf numFmtId="184" fontId="31" fillId="0" borderId="0" xfId="2" applyNumberFormat="1" applyFont="1" applyAlignment="1" applyProtection="1">
      <alignment vertical="center"/>
      <protection locked="0"/>
    </xf>
    <xf numFmtId="1" fontId="31" fillId="14" borderId="4" xfId="0" quotePrefix="1" applyNumberFormat="1" applyFont="1" applyFill="1" applyBorder="1" applyAlignment="1">
      <alignment horizontal="center"/>
    </xf>
    <xf numFmtId="0" fontId="33" fillId="3" borderId="0" xfId="1" applyFont="1" applyFill="1" applyAlignment="1" applyProtection="1">
      <alignment vertical="center"/>
      <protection locked="0"/>
    </xf>
    <xf numFmtId="0" fontId="85" fillId="0" borderId="0" xfId="0" applyFont="1" applyProtection="1">
      <protection locked="0"/>
    </xf>
    <xf numFmtId="0" fontId="82" fillId="0" borderId="0" xfId="0" applyFont="1" applyProtection="1">
      <protection locked="0"/>
    </xf>
    <xf numFmtId="1" fontId="31" fillId="0" borderId="0" xfId="2" applyNumberFormat="1" applyFont="1" applyAlignment="1" applyProtection="1">
      <alignment vertical="center"/>
      <protection locked="0"/>
    </xf>
    <xf numFmtId="0" fontId="31" fillId="3" borderId="0" xfId="0" applyFont="1" applyFill="1" applyAlignment="1">
      <alignment vertical="top" wrapText="1"/>
    </xf>
    <xf numFmtId="0" fontId="0" fillId="0" borderId="0" xfId="0" applyBorder="1" applyAlignment="1">
      <alignment horizontal="center"/>
    </xf>
    <xf numFmtId="2" fontId="17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174" fontId="9" fillId="0" borderId="0" xfId="0" applyNumberFormat="1" applyFont="1" applyBorder="1" applyAlignment="1">
      <alignment horizontal="center"/>
    </xf>
    <xf numFmtId="174" fontId="20" fillId="3" borderId="0" xfId="0" applyNumberFormat="1" applyFont="1" applyFill="1" applyBorder="1" applyAlignment="1">
      <alignment horizontal="center" vertical="center"/>
    </xf>
    <xf numFmtId="174" fontId="9" fillId="3" borderId="0" xfId="0" applyNumberFormat="1" applyFont="1" applyFill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/>
    </xf>
    <xf numFmtId="174" fontId="9" fillId="3" borderId="0" xfId="0" applyNumberFormat="1" applyFont="1" applyFill="1" applyBorder="1" applyAlignment="1">
      <alignment horizontal="center" vertical="center"/>
    </xf>
    <xf numFmtId="166" fontId="9" fillId="0" borderId="0" xfId="0" applyNumberFormat="1" applyFont="1" applyBorder="1" applyAlignment="1">
      <alignment horizontal="center"/>
    </xf>
    <xf numFmtId="0" fontId="17" fillId="3" borderId="0" xfId="0" applyFont="1" applyFill="1" applyBorder="1" applyAlignment="1">
      <alignment vertical="center"/>
    </xf>
    <xf numFmtId="166" fontId="31" fillId="3" borderId="4" xfId="0" applyNumberFormat="1" applyFont="1" applyFill="1" applyBorder="1" applyAlignment="1">
      <alignment horizontal="center"/>
    </xf>
    <xf numFmtId="2" fontId="32" fillId="17" borderId="4" xfId="0" applyNumberFormat="1" applyFont="1" applyFill="1" applyBorder="1" applyAlignment="1" applyProtection="1">
      <alignment vertical="center"/>
      <protection locked="0"/>
    </xf>
    <xf numFmtId="2" fontId="32" fillId="17" borderId="4" xfId="0" quotePrefix="1" applyNumberFormat="1" applyFont="1" applyFill="1" applyBorder="1" applyAlignment="1" applyProtection="1">
      <alignment vertical="center"/>
      <protection locked="0"/>
    </xf>
    <xf numFmtId="2" fontId="32" fillId="17" borderId="0" xfId="0" applyNumberFormat="1" applyFont="1" applyFill="1" applyAlignment="1" applyProtection="1">
      <alignment vertical="center"/>
      <protection locked="0"/>
    </xf>
    <xf numFmtId="0" fontId="32" fillId="0" borderId="4" xfId="0" applyFont="1" applyBorder="1" applyAlignment="1" applyProtection="1">
      <alignment vertical="center"/>
      <protection locked="0"/>
    </xf>
    <xf numFmtId="2" fontId="32" fillId="17" borderId="1" xfId="0" applyNumberFormat="1" applyFont="1" applyFill="1" applyBorder="1" applyAlignment="1" applyProtection="1">
      <alignment vertical="center"/>
      <protection locked="0"/>
    </xf>
    <xf numFmtId="2" fontId="32" fillId="17" borderId="0" xfId="0" quotePrefix="1" applyNumberFormat="1" applyFont="1" applyFill="1" applyAlignment="1" applyProtection="1">
      <alignment horizontal="center" vertical="center"/>
      <protection locked="0"/>
    </xf>
    <xf numFmtId="2" fontId="32" fillId="17" borderId="0" xfId="0" applyNumberFormat="1" applyFont="1" applyFill="1" applyAlignment="1" applyProtection="1">
      <alignment horizontal="right"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32" fillId="3" borderId="0" xfId="0" applyFont="1" applyFill="1" applyAlignment="1" applyProtection="1">
      <alignment horizontal="left" vertical="center"/>
      <protection locked="0"/>
    </xf>
    <xf numFmtId="1" fontId="32" fillId="0" borderId="0" xfId="0" applyNumberFormat="1" applyFont="1" applyAlignment="1" applyProtection="1">
      <alignment vertical="center"/>
      <protection locked="0"/>
    </xf>
    <xf numFmtId="0" fontId="86" fillId="3" borderId="4" xfId="0" applyFont="1" applyFill="1" applyBorder="1" applyAlignment="1">
      <alignment horizontal="right"/>
    </xf>
    <xf numFmtId="171" fontId="31" fillId="0" borderId="0" xfId="2" applyNumberFormat="1" applyFont="1" applyAlignment="1" applyProtection="1">
      <alignment horizontal="center" vertical="center"/>
      <protection locked="0"/>
    </xf>
    <xf numFmtId="0" fontId="31" fillId="0" borderId="0" xfId="2" applyFont="1" applyAlignment="1" applyProtection="1">
      <alignment horizontal="center" vertical="center"/>
      <protection locked="0"/>
    </xf>
    <xf numFmtId="184" fontId="31" fillId="0" borderId="0" xfId="2" applyNumberFormat="1" applyFont="1" applyAlignment="1" applyProtection="1">
      <alignment horizontal="center" vertical="center"/>
      <protection locked="0"/>
    </xf>
    <xf numFmtId="0" fontId="32" fillId="0" borderId="21" xfId="0" quotePrefix="1" applyFont="1" applyBorder="1" applyAlignment="1" applyProtection="1">
      <alignment horizontal="center" vertical="center"/>
      <protection locked="0"/>
    </xf>
    <xf numFmtId="0" fontId="32" fillId="0" borderId="21" xfId="0" applyFont="1" applyBorder="1" applyAlignment="1" applyProtection="1">
      <alignment vertical="center"/>
      <protection locked="0"/>
    </xf>
    <xf numFmtId="0" fontId="32" fillId="0" borderId="23" xfId="0" applyFont="1" applyBorder="1" applyAlignment="1" applyProtection="1">
      <alignment vertical="center"/>
      <protection locked="0"/>
    </xf>
    <xf numFmtId="1" fontId="87" fillId="0" borderId="49" xfId="0" applyNumberFormat="1" applyFont="1" applyBorder="1" applyAlignment="1" applyProtection="1">
      <alignment horizontal="center" vertical="center"/>
      <protection locked="0"/>
    </xf>
    <xf numFmtId="0" fontId="32" fillId="0" borderId="24" xfId="0" applyFont="1" applyBorder="1" applyAlignment="1" applyProtection="1">
      <alignment vertical="center"/>
      <protection locked="0"/>
    </xf>
    <xf numFmtId="0" fontId="32" fillId="0" borderId="35" xfId="0" quotePrefix="1" applyFont="1" applyBorder="1" applyAlignment="1" applyProtection="1">
      <alignment horizontal="center" vertical="center"/>
      <protection locked="0"/>
    </xf>
    <xf numFmtId="0" fontId="31" fillId="3" borderId="4" xfId="0" applyFont="1" applyFill="1" applyBorder="1" applyAlignment="1">
      <alignment horizontal="center" vertical="center"/>
    </xf>
    <xf numFmtId="0" fontId="9" fillId="0" borderId="0" xfId="2" applyFont="1"/>
    <xf numFmtId="0" fontId="67" fillId="0" borderId="21" xfId="2" applyBorder="1" applyProtection="1">
      <protection locked="0"/>
    </xf>
    <xf numFmtId="0" fontId="67" fillId="0" borderId="0" xfId="2" applyProtection="1">
      <protection locked="0"/>
    </xf>
    <xf numFmtId="0" fontId="3" fillId="15" borderId="4" xfId="2" applyFont="1" applyFill="1" applyBorder="1" applyAlignment="1" applyProtection="1">
      <alignment horizontal="center" vertical="center"/>
      <protection locked="0"/>
    </xf>
    <xf numFmtId="166" fontId="3" fillId="16" borderId="4" xfId="2" applyNumberFormat="1" applyFont="1" applyFill="1" applyBorder="1" applyAlignment="1" applyProtection="1">
      <alignment horizontal="center" vertical="center"/>
      <protection locked="0"/>
    </xf>
    <xf numFmtId="0" fontId="2" fillId="16" borderId="4" xfId="2" applyFont="1" applyFill="1" applyBorder="1" applyAlignment="1" applyProtection="1">
      <alignment horizontal="center" vertical="center"/>
      <protection locked="0"/>
    </xf>
    <xf numFmtId="0" fontId="67" fillId="0" borderId="4" xfId="2" applyBorder="1" applyProtection="1">
      <protection locked="0"/>
    </xf>
    <xf numFmtId="166" fontId="67" fillId="16" borderId="4" xfId="2" applyNumberFormat="1" applyFill="1" applyBorder="1" applyAlignment="1" applyProtection="1">
      <alignment horizontal="center" vertical="center"/>
      <protection locked="0"/>
    </xf>
    <xf numFmtId="2" fontId="67" fillId="15" borderId="4" xfId="2" applyNumberFormat="1" applyFill="1" applyBorder="1" applyAlignment="1" applyProtection="1">
      <alignment horizontal="center"/>
      <protection locked="0"/>
    </xf>
    <xf numFmtId="0" fontId="67" fillId="0" borderId="24" xfId="2" applyBorder="1" applyProtection="1">
      <protection locked="0"/>
    </xf>
    <xf numFmtId="166" fontId="67" fillId="16" borderId="4" xfId="2" applyNumberFormat="1" applyFill="1" applyBorder="1" applyAlignment="1" applyProtection="1">
      <alignment horizontal="center"/>
      <protection locked="0"/>
    </xf>
    <xf numFmtId="0" fontId="67" fillId="16" borderId="4" xfId="2" quotePrefix="1" applyFill="1" applyBorder="1" applyAlignment="1" applyProtection="1">
      <alignment horizontal="center"/>
      <protection locked="0"/>
    </xf>
    <xf numFmtId="166" fontId="67" fillId="16" borderId="4" xfId="2" quotePrefix="1" applyNumberFormat="1" applyFill="1" applyBorder="1" applyAlignment="1" applyProtection="1">
      <alignment horizontal="center"/>
      <protection locked="0"/>
    </xf>
    <xf numFmtId="0" fontId="67" fillId="0" borderId="35" xfId="2" applyBorder="1" applyProtection="1">
      <protection locked="0"/>
    </xf>
    <xf numFmtId="0" fontId="67" fillId="0" borderId="44" xfId="2" applyBorder="1" applyProtection="1">
      <protection locked="0"/>
    </xf>
    <xf numFmtId="0" fontId="67" fillId="0" borderId="22" xfId="2" applyBorder="1" applyProtection="1">
      <protection locked="0"/>
    </xf>
    <xf numFmtId="0" fontId="3" fillId="16" borderId="4" xfId="2" applyFont="1" applyFill="1" applyBorder="1" applyAlignment="1" applyProtection="1">
      <alignment horizontal="center" vertical="center"/>
      <protection locked="0"/>
    </xf>
    <xf numFmtId="0" fontId="67" fillId="16" borderId="0" xfId="2" applyFill="1" applyAlignment="1" applyProtection="1">
      <alignment horizontal="center"/>
      <protection locked="0"/>
    </xf>
    <xf numFmtId="0" fontId="3" fillId="15" borderId="28" xfId="2" applyFont="1" applyFill="1" applyBorder="1" applyAlignment="1" applyProtection="1">
      <alignment horizontal="center" vertical="center"/>
      <protection locked="0"/>
    </xf>
    <xf numFmtId="0" fontId="3" fillId="16" borderId="9" xfId="2" applyFont="1" applyFill="1" applyBorder="1" applyAlignment="1" applyProtection="1">
      <alignment horizontal="center" vertical="center"/>
      <protection locked="0"/>
    </xf>
    <xf numFmtId="0" fontId="2" fillId="16" borderId="53" xfId="2" applyFont="1" applyFill="1" applyBorder="1" applyAlignment="1" applyProtection="1">
      <alignment horizontal="center" vertical="center"/>
      <protection locked="0"/>
    </xf>
    <xf numFmtId="0" fontId="2" fillId="15" borderId="53" xfId="2" applyFont="1" applyFill="1" applyBorder="1" applyAlignment="1" applyProtection="1">
      <alignment horizontal="center" vertical="center"/>
      <protection locked="0"/>
    </xf>
    <xf numFmtId="0" fontId="3" fillId="15" borderId="33" xfId="2" applyFont="1" applyFill="1" applyBorder="1" applyAlignment="1" applyProtection="1">
      <alignment horizontal="center" vertical="center"/>
      <protection locked="0"/>
    </xf>
    <xf numFmtId="0" fontId="3" fillId="16" borderId="16" xfId="2" applyFont="1" applyFill="1" applyBorder="1" applyAlignment="1" applyProtection="1">
      <alignment horizontal="center" vertical="center"/>
      <protection locked="0"/>
    </xf>
    <xf numFmtId="166" fontId="67" fillId="16" borderId="55" xfId="2" applyNumberFormat="1" applyFill="1" applyBorder="1" applyAlignment="1" applyProtection="1">
      <alignment horizontal="center" vertical="center"/>
      <protection locked="0"/>
    </xf>
    <xf numFmtId="166" fontId="67" fillId="16" borderId="6" xfId="2" applyNumberFormat="1" applyFill="1" applyBorder="1" applyAlignment="1" applyProtection="1">
      <alignment horizontal="center" vertical="center"/>
      <protection locked="0"/>
    </xf>
    <xf numFmtId="2" fontId="67" fillId="15" borderId="12" xfId="2" applyNumberFormat="1" applyFill="1" applyBorder="1" applyAlignment="1" applyProtection="1">
      <alignment horizontal="center"/>
      <protection locked="0"/>
    </xf>
    <xf numFmtId="166" fontId="67" fillId="16" borderId="30" xfId="2" applyNumberFormat="1" applyFill="1" applyBorder="1" applyAlignment="1" applyProtection="1">
      <alignment horizontal="center" vertical="center"/>
      <protection locked="0"/>
    </xf>
    <xf numFmtId="2" fontId="67" fillId="15" borderId="13" xfId="2" applyNumberFormat="1" applyFill="1" applyBorder="1" applyAlignment="1" applyProtection="1">
      <alignment horizontal="center"/>
      <protection locked="0"/>
    </xf>
    <xf numFmtId="166" fontId="67" fillId="16" borderId="38" xfId="2" applyNumberFormat="1" applyFill="1" applyBorder="1" applyAlignment="1" applyProtection="1">
      <alignment horizontal="center"/>
      <protection locked="0"/>
    </xf>
    <xf numFmtId="166" fontId="67" fillId="16" borderId="39" xfId="2" applyNumberFormat="1" applyFill="1" applyBorder="1" applyAlignment="1" applyProtection="1">
      <alignment horizontal="center"/>
      <protection locked="0"/>
    </xf>
    <xf numFmtId="166" fontId="67" fillId="16" borderId="15" xfId="2" applyNumberFormat="1" applyFill="1" applyBorder="1" applyAlignment="1" applyProtection="1">
      <alignment horizontal="center"/>
      <protection locked="0"/>
    </xf>
    <xf numFmtId="2" fontId="67" fillId="15" borderId="16" xfId="2" applyNumberFormat="1" applyFill="1" applyBorder="1" applyAlignment="1" applyProtection="1">
      <alignment horizontal="center"/>
      <protection locked="0"/>
    </xf>
    <xf numFmtId="0" fontId="67" fillId="0" borderId="34" xfId="2" applyBorder="1" applyProtection="1">
      <protection locked="0"/>
    </xf>
    <xf numFmtId="0" fontId="67" fillId="16" borderId="15" xfId="2" quotePrefix="1" applyFill="1" applyBorder="1" applyAlignment="1" applyProtection="1">
      <alignment horizontal="center"/>
      <protection locked="0"/>
    </xf>
    <xf numFmtId="0" fontId="67" fillId="3" borderId="22" xfId="2" applyFill="1" applyBorder="1" applyAlignment="1" applyProtection="1">
      <alignment horizontal="center" vertical="center"/>
      <protection locked="0"/>
    </xf>
    <xf numFmtId="166" fontId="67" fillId="3" borderId="0" xfId="2" applyNumberFormat="1" applyFill="1" applyAlignment="1" applyProtection="1">
      <alignment horizontal="center"/>
      <protection locked="0"/>
    </xf>
    <xf numFmtId="0" fontId="67" fillId="3" borderId="0" xfId="2" quotePrefix="1" applyFill="1" applyAlignment="1" applyProtection="1">
      <alignment horizontal="center"/>
      <protection locked="0"/>
    </xf>
    <xf numFmtId="174" fontId="67" fillId="3" borderId="0" xfId="2" applyNumberFormat="1" applyFill="1" applyAlignment="1" applyProtection="1">
      <alignment horizontal="center"/>
      <protection locked="0"/>
    </xf>
    <xf numFmtId="0" fontId="67" fillId="3" borderId="0" xfId="2" applyFill="1" applyProtection="1">
      <protection locked="0"/>
    </xf>
    <xf numFmtId="166" fontId="3" fillId="16" borderId="16" xfId="2" applyNumberFormat="1" applyFont="1" applyFill="1" applyBorder="1" applyAlignment="1" applyProtection="1">
      <alignment horizontal="center" vertical="center"/>
      <protection locked="0"/>
    </xf>
    <xf numFmtId="166" fontId="3" fillId="16" borderId="9" xfId="2" applyNumberFormat="1" applyFont="1" applyFill="1" applyBorder="1" applyAlignment="1" applyProtection="1">
      <alignment horizontal="center" vertical="center"/>
      <protection locked="0"/>
    </xf>
    <xf numFmtId="1" fontId="67" fillId="16" borderId="55" xfId="2" applyNumberFormat="1" applyFill="1" applyBorder="1" applyAlignment="1" applyProtection="1">
      <alignment horizontal="center" vertical="center"/>
      <protection locked="0"/>
    </xf>
    <xf numFmtId="1" fontId="67" fillId="16" borderId="30" xfId="2" applyNumberFormat="1" applyFill="1" applyBorder="1" applyAlignment="1" applyProtection="1">
      <alignment horizontal="center" vertical="center"/>
      <protection locked="0"/>
    </xf>
    <xf numFmtId="1" fontId="67" fillId="16" borderId="38" xfId="2" applyNumberFormat="1" applyFill="1" applyBorder="1" applyAlignment="1" applyProtection="1">
      <alignment horizontal="center"/>
      <protection locked="0"/>
    </xf>
    <xf numFmtId="1" fontId="67" fillId="16" borderId="39" xfId="2" applyNumberFormat="1" applyFill="1" applyBorder="1" applyAlignment="1" applyProtection="1">
      <alignment horizontal="center"/>
      <protection locked="0"/>
    </xf>
    <xf numFmtId="2" fontId="67" fillId="3" borderId="0" xfId="2" applyNumberFormat="1" applyFill="1" applyAlignment="1" applyProtection="1">
      <alignment horizontal="center"/>
      <protection locked="0"/>
    </xf>
    <xf numFmtId="0" fontId="2" fillId="16" borderId="53" xfId="2" quotePrefix="1" applyFont="1" applyFill="1" applyBorder="1" applyAlignment="1" applyProtection="1">
      <alignment horizontal="center" vertical="center"/>
      <protection locked="0"/>
    </xf>
    <xf numFmtId="174" fontId="67" fillId="16" borderId="6" xfId="2" applyNumberFormat="1" applyFill="1" applyBorder="1" applyAlignment="1" applyProtection="1">
      <alignment horizontal="center" vertical="center"/>
      <protection locked="0"/>
    </xf>
    <xf numFmtId="174" fontId="67" fillId="16" borderId="4" xfId="2" applyNumberFormat="1" applyFill="1" applyBorder="1" applyAlignment="1" applyProtection="1">
      <alignment horizontal="center" vertical="center"/>
      <protection locked="0"/>
    </xf>
    <xf numFmtId="166" fontId="67" fillId="16" borderId="52" xfId="2" applyNumberFormat="1" applyFill="1" applyBorder="1" applyAlignment="1" applyProtection="1">
      <alignment horizontal="center" vertical="center"/>
      <protection locked="0"/>
    </xf>
    <xf numFmtId="166" fontId="67" fillId="16" borderId="39" xfId="2" applyNumberFormat="1" applyFill="1" applyBorder="1" applyAlignment="1" applyProtection="1">
      <alignment horizontal="center" vertical="center"/>
      <protection locked="0"/>
    </xf>
    <xf numFmtId="0" fontId="67" fillId="0" borderId="67" xfId="2" applyBorder="1" applyProtection="1">
      <protection locked="0"/>
    </xf>
    <xf numFmtId="166" fontId="67" fillId="16" borderId="0" xfId="2" applyNumberFormat="1" applyFill="1" applyAlignment="1" applyProtection="1">
      <alignment horizontal="center"/>
      <protection locked="0"/>
    </xf>
    <xf numFmtId="0" fontId="67" fillId="16" borderId="0" xfId="2" quotePrefix="1" applyFill="1" applyAlignment="1" applyProtection="1">
      <alignment horizontal="center"/>
      <protection locked="0"/>
    </xf>
    <xf numFmtId="2" fontId="67" fillId="15" borderId="0" xfId="2" applyNumberFormat="1" applyFill="1" applyAlignment="1" applyProtection="1">
      <alignment horizontal="center"/>
      <protection locked="0"/>
    </xf>
    <xf numFmtId="0" fontId="28" fillId="10" borderId="4" xfId="2" applyFont="1" applyFill="1" applyBorder="1" applyAlignment="1">
      <alignment horizontal="center" vertical="center"/>
    </xf>
    <xf numFmtId="0" fontId="9" fillId="6" borderId="4" xfId="2" applyFont="1" applyFill="1" applyBorder="1" applyAlignment="1">
      <alignment horizontal="center" vertical="center"/>
    </xf>
    <xf numFmtId="166" fontId="24" fillId="6" borderId="13" xfId="2" applyNumberFormat="1" applyFont="1" applyFill="1" applyBorder="1" applyAlignment="1">
      <alignment horizontal="center" vertical="center"/>
    </xf>
    <xf numFmtId="0" fontId="9" fillId="10" borderId="4" xfId="2" applyFont="1" applyFill="1" applyBorder="1" applyAlignment="1">
      <alignment horizontal="center" vertical="center"/>
    </xf>
    <xf numFmtId="2" fontId="9" fillId="10" borderId="4" xfId="2" applyNumberFormat="1" applyFont="1" applyFill="1" applyBorder="1" applyAlignment="1">
      <alignment horizontal="center" vertical="center"/>
    </xf>
    <xf numFmtId="0" fontId="9" fillId="6" borderId="4" xfId="2" applyFont="1" applyFill="1" applyBorder="1" applyAlignment="1">
      <alignment horizontal="center"/>
    </xf>
    <xf numFmtId="0" fontId="24" fillId="6" borderId="13" xfId="2" applyFont="1" applyFill="1" applyBorder="1" applyAlignment="1">
      <alignment horizontal="center" vertical="center"/>
    </xf>
    <xf numFmtId="0" fontId="24" fillId="6" borderId="13" xfId="2" applyFont="1" applyFill="1" applyBorder="1" applyAlignment="1">
      <alignment horizontal="center"/>
    </xf>
    <xf numFmtId="2" fontId="9" fillId="10" borderId="4" xfId="2" applyNumberFormat="1" applyFont="1" applyFill="1" applyBorder="1" applyAlignment="1">
      <alignment horizontal="center"/>
    </xf>
    <xf numFmtId="0" fontId="67" fillId="0" borderId="0" xfId="2"/>
    <xf numFmtId="0" fontId="9" fillId="3" borderId="10" xfId="2" applyFont="1" applyFill="1" applyBorder="1" applyAlignment="1">
      <alignment horizontal="center" vertical="center"/>
    </xf>
    <xf numFmtId="0" fontId="9" fillId="3" borderId="57" xfId="2" applyFont="1" applyFill="1" applyBorder="1" applyAlignment="1">
      <alignment horizontal="center" vertical="center"/>
    </xf>
    <xf numFmtId="2" fontId="9" fillId="3" borderId="58" xfId="2" applyNumberFormat="1" applyFont="1" applyFill="1" applyBorder="1" applyAlignment="1">
      <alignment horizontal="center"/>
    </xf>
    <xf numFmtId="2" fontId="9" fillId="3" borderId="24" xfId="2" applyNumberFormat="1" applyFont="1" applyFill="1" applyBorder="1" applyAlignment="1">
      <alignment horizontal="center"/>
    </xf>
    <xf numFmtId="0" fontId="9" fillId="3" borderId="0" xfId="2" applyFont="1" applyFill="1"/>
    <xf numFmtId="0" fontId="9" fillId="3" borderId="4" xfId="2" applyFont="1" applyFill="1" applyBorder="1" applyAlignment="1">
      <alignment horizontal="center" vertical="center"/>
    </xf>
    <xf numFmtId="2" fontId="9" fillId="3" borderId="4" xfId="2" applyNumberFormat="1" applyFont="1" applyFill="1" applyBorder="1" applyAlignment="1">
      <alignment horizontal="center"/>
    </xf>
    <xf numFmtId="166" fontId="29" fillId="6" borderId="13" xfId="2" applyNumberFormat="1" applyFont="1" applyFill="1" applyBorder="1" applyAlignment="1">
      <alignment horizontal="center" vertical="center"/>
    </xf>
    <xf numFmtId="166" fontId="9" fillId="6" borderId="4" xfId="2" applyNumberFormat="1" applyFont="1" applyFill="1" applyBorder="1" applyAlignment="1">
      <alignment horizontal="center" vertical="center"/>
    </xf>
    <xf numFmtId="2" fontId="9" fillId="3" borderId="19" xfId="2" applyNumberFormat="1" applyFont="1" applyFill="1" applyBorder="1" applyAlignment="1">
      <alignment horizontal="center" vertical="center"/>
    </xf>
    <xf numFmtId="2" fontId="9" fillId="3" borderId="41" xfId="2" applyNumberFormat="1" applyFont="1" applyFill="1" applyBorder="1" applyAlignment="1">
      <alignment horizontal="center" vertical="center"/>
    </xf>
    <xf numFmtId="0" fontId="67" fillId="0" borderId="24" xfId="2" applyBorder="1"/>
    <xf numFmtId="0" fontId="9" fillId="0" borderId="24" xfId="2" applyFont="1" applyBorder="1"/>
    <xf numFmtId="0" fontId="9" fillId="3" borderId="58" xfId="2" applyFont="1" applyFill="1" applyBorder="1" applyAlignment="1">
      <alignment horizontal="center" vertical="center"/>
    </xf>
    <xf numFmtId="0" fontId="9" fillId="3" borderId="22" xfId="2" applyFont="1" applyFill="1" applyBorder="1" applyAlignment="1">
      <alignment horizontal="center" vertical="center"/>
    </xf>
    <xf numFmtId="2" fontId="9" fillId="10" borderId="5" xfId="2" applyNumberFormat="1" applyFont="1" applyFill="1" applyBorder="1" applyAlignment="1">
      <alignment horizontal="center" vertical="center"/>
    </xf>
    <xf numFmtId="2" fontId="9" fillId="10" borderId="1" xfId="2" applyNumberFormat="1" applyFont="1" applyFill="1" applyBorder="1" applyAlignment="1">
      <alignment horizontal="center" vertical="center"/>
    </xf>
    <xf numFmtId="2" fontId="9" fillId="10" borderId="0" xfId="2" applyNumberFormat="1" applyFont="1" applyFill="1" applyAlignment="1">
      <alignment horizontal="center" vertical="center"/>
    </xf>
    <xf numFmtId="2" fontId="9" fillId="10" borderId="6" xfId="2" applyNumberFormat="1" applyFont="1" applyFill="1" applyBorder="1" applyAlignment="1">
      <alignment horizontal="center" vertical="center"/>
    </xf>
    <xf numFmtId="0" fontId="9" fillId="0" borderId="22" xfId="2" applyFont="1" applyBorder="1" applyAlignment="1">
      <alignment horizontal="center" vertical="center"/>
    </xf>
    <xf numFmtId="0" fontId="9" fillId="3" borderId="0" xfId="2" applyFont="1" applyFill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28" fillId="3" borderId="30" xfId="2" applyFont="1" applyFill="1" applyBorder="1" applyAlignment="1">
      <alignment horizontal="center" vertical="center"/>
    </xf>
    <xf numFmtId="0" fontId="28" fillId="3" borderId="4" xfId="2" applyFont="1" applyFill="1" applyBorder="1" applyAlignment="1">
      <alignment horizontal="center" vertical="center"/>
    </xf>
    <xf numFmtId="166" fontId="9" fillId="3" borderId="30" xfId="2" applyNumberFormat="1" applyFont="1" applyFill="1" applyBorder="1" applyAlignment="1">
      <alignment horizontal="center" vertical="center"/>
    </xf>
    <xf numFmtId="166" fontId="9" fillId="3" borderId="4" xfId="2" applyNumberFormat="1" applyFont="1" applyFill="1" applyBorder="1" applyAlignment="1">
      <alignment horizontal="center" vertical="center"/>
    </xf>
    <xf numFmtId="166" fontId="9" fillId="3" borderId="13" xfId="2" applyNumberFormat="1" applyFont="1" applyFill="1" applyBorder="1" applyAlignment="1">
      <alignment horizontal="center" vertical="center"/>
    </xf>
    <xf numFmtId="1" fontId="20" fillId="3" borderId="30" xfId="2" applyNumberFormat="1" applyFont="1" applyFill="1" applyBorder="1" applyAlignment="1">
      <alignment horizontal="center"/>
    </xf>
    <xf numFmtId="166" fontId="20" fillId="6" borderId="4" xfId="2" applyNumberFormat="1" applyFont="1" applyFill="1" applyBorder="1" applyAlignment="1">
      <alignment horizontal="center"/>
    </xf>
    <xf numFmtId="166" fontId="20" fillId="3" borderId="4" xfId="2" applyNumberFormat="1" applyFont="1" applyFill="1" applyBorder="1" applyAlignment="1">
      <alignment horizontal="center"/>
    </xf>
    <xf numFmtId="1" fontId="20" fillId="3" borderId="33" xfId="2" applyNumberFormat="1" applyFont="1" applyFill="1" applyBorder="1" applyAlignment="1">
      <alignment horizontal="center"/>
    </xf>
    <xf numFmtId="166" fontId="20" fillId="6" borderId="15" xfId="2" applyNumberFormat="1" applyFont="1" applyFill="1" applyBorder="1" applyAlignment="1">
      <alignment horizontal="center"/>
    </xf>
    <xf numFmtId="166" fontId="20" fillId="3" borderId="15" xfId="2" applyNumberFormat="1" applyFont="1" applyFill="1" applyBorder="1" applyAlignment="1">
      <alignment horizontal="center"/>
    </xf>
    <xf numFmtId="0" fontId="12" fillId="0" borderId="4" xfId="2" applyFont="1" applyBorder="1" applyAlignment="1">
      <alignment vertical="center"/>
    </xf>
    <xf numFmtId="166" fontId="9" fillId="3" borderId="33" xfId="2" applyNumberFormat="1" applyFont="1" applyFill="1" applyBorder="1" applyAlignment="1">
      <alignment horizontal="center" vertical="center"/>
    </xf>
    <xf numFmtId="166" fontId="9" fillId="3" borderId="15" xfId="2" applyNumberFormat="1" applyFont="1" applyFill="1" applyBorder="1" applyAlignment="1">
      <alignment horizontal="center" vertical="center"/>
    </xf>
    <xf numFmtId="166" fontId="9" fillId="3" borderId="16" xfId="2" applyNumberFormat="1" applyFont="1" applyFill="1" applyBorder="1" applyAlignment="1">
      <alignment horizontal="center" vertical="center"/>
    </xf>
    <xf numFmtId="0" fontId="9" fillId="3" borderId="22" xfId="2" applyFont="1" applyFill="1" applyBorder="1"/>
    <xf numFmtId="0" fontId="9" fillId="3" borderId="4" xfId="2" applyFont="1" applyFill="1" applyBorder="1"/>
    <xf numFmtId="2" fontId="12" fillId="0" borderId="4" xfId="2" applyNumberFormat="1" applyFont="1" applyBorder="1" applyAlignment="1">
      <alignment horizontal="center" vertical="center"/>
    </xf>
    <xf numFmtId="166" fontId="17" fillId="3" borderId="8" xfId="2" applyNumberFormat="1" applyFont="1" applyFill="1" applyBorder="1" applyAlignment="1">
      <alignment horizontal="center"/>
    </xf>
    <xf numFmtId="166" fontId="17" fillId="3" borderId="9" xfId="2" applyNumberFormat="1" applyFont="1" applyFill="1" applyBorder="1" applyAlignment="1">
      <alignment horizontal="center"/>
    </xf>
    <xf numFmtId="0" fontId="28" fillId="3" borderId="0" xfId="2" applyFont="1" applyFill="1" applyAlignment="1">
      <alignment vertical="center"/>
    </xf>
    <xf numFmtId="0" fontId="17" fillId="3" borderId="55" xfId="2" applyFont="1" applyFill="1" applyBorder="1" applyAlignment="1">
      <alignment horizontal="center" vertical="center"/>
    </xf>
    <xf numFmtId="166" fontId="17" fillId="3" borderId="30" xfId="2" applyNumberFormat="1" applyFont="1" applyFill="1" applyBorder="1" applyAlignment="1">
      <alignment horizontal="center" vertical="center"/>
    </xf>
    <xf numFmtId="166" fontId="17" fillId="3" borderId="4" xfId="2" applyNumberFormat="1" applyFont="1" applyFill="1" applyBorder="1" applyAlignment="1">
      <alignment horizontal="center"/>
    </xf>
    <xf numFmtId="166" fontId="17" fillId="3" borderId="13" xfId="2" applyNumberFormat="1" applyFont="1" applyFill="1" applyBorder="1" applyAlignment="1">
      <alignment horizontal="center"/>
    </xf>
    <xf numFmtId="0" fontId="17" fillId="3" borderId="33" xfId="2" applyFont="1" applyFill="1" applyBorder="1" applyAlignment="1">
      <alignment horizontal="center" vertical="center"/>
    </xf>
    <xf numFmtId="166" fontId="17" fillId="3" borderId="52" xfId="2" applyNumberFormat="1" applyFont="1" applyFill="1" applyBorder="1" applyAlignment="1">
      <alignment horizontal="center"/>
    </xf>
    <xf numFmtId="166" fontId="17" fillId="3" borderId="15" xfId="2" applyNumberFormat="1" applyFont="1" applyFill="1" applyBorder="1" applyAlignment="1">
      <alignment horizontal="center"/>
    </xf>
    <xf numFmtId="166" fontId="17" fillId="3" borderId="43" xfId="2" applyNumberFormat="1" applyFont="1" applyFill="1" applyBorder="1" applyAlignment="1">
      <alignment horizontal="center"/>
    </xf>
    <xf numFmtId="174" fontId="9" fillId="3" borderId="35" xfId="2" applyNumberFormat="1" applyFont="1" applyFill="1" applyBorder="1" applyAlignment="1">
      <alignment horizontal="center"/>
    </xf>
    <xf numFmtId="0" fontId="9" fillId="3" borderId="35" xfId="2" applyFont="1" applyFill="1" applyBorder="1"/>
    <xf numFmtId="0" fontId="9" fillId="3" borderId="44" xfId="2" applyFont="1" applyFill="1" applyBorder="1"/>
    <xf numFmtId="0" fontId="89" fillId="3" borderId="0" xfId="0" applyFont="1" applyFill="1" applyAlignment="1">
      <alignment horizontal="left" vertical="center"/>
    </xf>
    <xf numFmtId="0" fontId="89" fillId="3" borderId="0" xfId="0" applyFont="1" applyFill="1" applyAlignment="1">
      <alignment vertical="center"/>
    </xf>
    <xf numFmtId="0" fontId="89" fillId="3" borderId="0" xfId="0" applyFont="1" applyFill="1" applyProtection="1">
      <protection hidden="1"/>
    </xf>
    <xf numFmtId="0" fontId="89" fillId="0" borderId="0" xfId="2" applyFont="1" applyAlignment="1" applyProtection="1">
      <alignment vertical="center"/>
      <protection locked="0"/>
    </xf>
    <xf numFmtId="0" fontId="89" fillId="0" borderId="0" xfId="0" applyFont="1" applyAlignment="1">
      <alignment vertical="center"/>
    </xf>
    <xf numFmtId="0" fontId="45" fillId="0" borderId="4" xfId="0" applyFont="1" applyBorder="1" applyAlignment="1">
      <alignment horizontal="center" vertical="center"/>
    </xf>
    <xf numFmtId="185" fontId="67" fillId="0" borderId="4" xfId="0" applyNumberFormat="1" applyFont="1" applyBorder="1" applyAlignment="1">
      <alignment horizontal="center" vertical="center"/>
    </xf>
    <xf numFmtId="0" fontId="82" fillId="0" borderId="4" xfId="0" applyFont="1" applyBorder="1" applyAlignment="1">
      <alignment horizontal="center" vertical="center"/>
    </xf>
    <xf numFmtId="185" fontId="45" fillId="0" borderId="4" xfId="0" applyNumberFormat="1" applyFont="1" applyBorder="1" applyAlignment="1">
      <alignment horizontal="center" vertical="center"/>
    </xf>
    <xf numFmtId="0" fontId="67" fillId="3" borderId="4" xfId="0" applyFont="1" applyFill="1" applyBorder="1" applyAlignment="1">
      <alignment horizontal="center" vertical="center"/>
    </xf>
    <xf numFmtId="0" fontId="45" fillId="0" borderId="4" xfId="0" applyFont="1" applyBorder="1" applyAlignment="1">
      <alignment horizontal="center" vertical="center" wrapText="1"/>
    </xf>
    <xf numFmtId="0" fontId="67" fillId="3" borderId="0" xfId="0" quotePrefix="1" applyFont="1" applyFill="1" applyAlignment="1">
      <alignment horizontal="center" vertical="center" wrapText="1"/>
    </xf>
    <xf numFmtId="0" fontId="6" fillId="9" borderId="0" xfId="4" applyFont="1" applyFill="1" applyAlignment="1" applyProtection="1">
      <alignment vertical="center"/>
      <protection locked="0"/>
    </xf>
    <xf numFmtId="0" fontId="6" fillId="9" borderId="0" xfId="4" applyFont="1" applyFill="1" applyAlignment="1" applyProtection="1">
      <alignment horizontal="center" vertical="center"/>
      <protection locked="0"/>
    </xf>
    <xf numFmtId="0" fontId="8" fillId="9" borderId="4" xfId="4" applyFont="1" applyFill="1" applyBorder="1" applyAlignment="1" applyProtection="1">
      <alignment horizontal="center" vertical="center"/>
      <protection locked="0"/>
    </xf>
    <xf numFmtId="0" fontId="3" fillId="9" borderId="0" xfId="4" applyFont="1" applyFill="1" applyAlignment="1" applyProtection="1">
      <alignment vertical="center"/>
      <protection locked="0"/>
    </xf>
    <xf numFmtId="0" fontId="14" fillId="9" borderId="22" xfId="4" applyFont="1" applyFill="1" applyBorder="1" applyAlignment="1" applyProtection="1">
      <alignment horizontal="center" vertical="center" wrapText="1"/>
      <protection locked="0"/>
    </xf>
    <xf numFmtId="0" fontId="14" fillId="9" borderId="0" xfId="4" applyFont="1" applyFill="1" applyAlignment="1" applyProtection="1">
      <alignment horizontal="center" vertical="center" wrapText="1"/>
      <protection locked="0"/>
    </xf>
    <xf numFmtId="0" fontId="7" fillId="3" borderId="21" xfId="4" applyFont="1" applyFill="1" applyBorder="1"/>
    <xf numFmtId="0" fontId="7" fillId="3" borderId="0" xfId="4" applyFont="1" applyFill="1"/>
    <xf numFmtId="0" fontId="8" fillId="9" borderId="4" xfId="4" applyFont="1" applyFill="1" applyBorder="1" applyAlignment="1">
      <alignment horizontal="center" vertical="center"/>
    </xf>
    <xf numFmtId="2" fontId="8" fillId="9" borderId="4" xfId="4" applyNumberFormat="1" applyFont="1" applyFill="1" applyBorder="1" applyAlignment="1">
      <alignment horizontal="center" vertical="center"/>
    </xf>
    <xf numFmtId="1" fontId="8" fillId="9" borderId="4" xfId="4" applyNumberFormat="1" applyFont="1" applyFill="1" applyBorder="1" applyAlignment="1">
      <alignment horizontal="center" vertical="center"/>
    </xf>
    <xf numFmtId="2" fontId="9" fillId="9" borderId="4" xfId="4" applyNumberFormat="1" applyFont="1" applyFill="1" applyBorder="1" applyAlignment="1">
      <alignment horizontal="center" vertical="center"/>
    </xf>
    <xf numFmtId="0" fontId="7" fillId="3" borderId="0" xfId="4" applyFont="1" applyFill="1" applyAlignment="1">
      <alignment horizontal="center"/>
    </xf>
    <xf numFmtId="0" fontId="16" fillId="3" borderId="28" xfId="4" applyFont="1" applyFill="1" applyBorder="1" applyAlignment="1">
      <alignment horizontal="center" vertical="center"/>
    </xf>
    <xf numFmtId="0" fontId="17" fillId="3" borderId="30" xfId="4" applyFont="1" applyFill="1" applyBorder="1" applyAlignment="1">
      <alignment horizontal="center" vertical="center"/>
    </xf>
    <xf numFmtId="0" fontId="17" fillId="3" borderId="4" xfId="4" applyFont="1" applyFill="1" applyBorder="1" applyAlignment="1">
      <alignment horizontal="center" vertical="center"/>
    </xf>
    <xf numFmtId="2" fontId="17" fillId="3" borderId="13" xfId="4" applyNumberFormat="1" applyFont="1" applyFill="1" applyBorder="1" applyAlignment="1">
      <alignment horizontal="center" vertical="center"/>
    </xf>
    <xf numFmtId="2" fontId="17" fillId="3" borderId="30" xfId="4" applyNumberFormat="1" applyFont="1" applyFill="1" applyBorder="1" applyAlignment="1">
      <alignment horizontal="center" vertical="center"/>
    </xf>
    <xf numFmtId="174" fontId="17" fillId="3" borderId="4" xfId="4" applyNumberFormat="1" applyFont="1" applyFill="1" applyBorder="1" applyAlignment="1">
      <alignment horizontal="center" vertical="center"/>
    </xf>
    <xf numFmtId="2" fontId="9" fillId="0" borderId="17" xfId="4" applyNumberFormat="1" applyFont="1" applyBorder="1" applyAlignment="1">
      <alignment horizontal="center" vertical="center"/>
    </xf>
    <xf numFmtId="166" fontId="20" fillId="0" borderId="9" xfId="4" applyNumberFormat="1" applyFont="1" applyBorder="1" applyAlignment="1">
      <alignment horizontal="center" vertical="center"/>
    </xf>
    <xf numFmtId="0" fontId="25" fillId="3" borderId="0" xfId="4" applyFont="1" applyFill="1" applyAlignment="1">
      <alignment vertical="center"/>
    </xf>
    <xf numFmtId="1" fontId="8" fillId="3" borderId="30" xfId="4" applyNumberFormat="1" applyFont="1" applyFill="1" applyBorder="1" applyAlignment="1">
      <alignment horizontal="center" vertical="center"/>
    </xf>
    <xf numFmtId="2" fontId="8" fillId="3" borderId="4" xfId="4" applyNumberFormat="1" applyFont="1" applyFill="1" applyBorder="1" applyAlignment="1">
      <alignment horizontal="center" vertical="center"/>
    </xf>
    <xf numFmtId="2" fontId="8" fillId="3" borderId="13" xfId="4" applyNumberFormat="1" applyFont="1" applyFill="1" applyBorder="1" applyAlignment="1">
      <alignment horizontal="center" vertical="center"/>
    </xf>
    <xf numFmtId="174" fontId="20" fillId="0" borderId="1" xfId="4" applyNumberFormat="1" applyFont="1" applyBorder="1" applyAlignment="1">
      <alignment horizontal="center" vertical="center"/>
    </xf>
    <xf numFmtId="174" fontId="20" fillId="0" borderId="12" xfId="4" applyNumberFormat="1" applyFont="1" applyBorder="1" applyAlignment="1">
      <alignment horizontal="center" vertical="center"/>
    </xf>
    <xf numFmtId="176" fontId="9" fillId="0" borderId="1" xfId="4" applyNumberFormat="1" applyFont="1" applyBorder="1" applyAlignment="1">
      <alignment horizontal="center" vertical="center"/>
    </xf>
    <xf numFmtId="176" fontId="20" fillId="0" borderId="12" xfId="4" applyNumberFormat="1" applyFont="1" applyBorder="1" applyAlignment="1">
      <alignment horizontal="center" vertical="center"/>
    </xf>
    <xf numFmtId="176" fontId="9" fillId="0" borderId="18" xfId="4" applyNumberFormat="1" applyFont="1" applyBorder="1" applyAlignment="1">
      <alignment horizontal="center" vertical="center"/>
    </xf>
    <xf numFmtId="2" fontId="20" fillId="0" borderId="43" xfId="4" applyNumberFormat="1" applyFont="1" applyBorder="1" applyAlignment="1">
      <alignment horizontal="center" vertical="center"/>
    </xf>
    <xf numFmtId="2" fontId="21" fillId="3" borderId="0" xfId="4" applyNumberFormat="1" applyFont="1" applyFill="1" applyAlignment="1">
      <alignment horizontal="center" vertical="center" wrapText="1"/>
    </xf>
    <xf numFmtId="2" fontId="22" fillId="3" borderId="0" xfId="4" applyNumberFormat="1" applyFont="1" applyFill="1" applyAlignment="1">
      <alignment horizontal="center" vertical="center"/>
    </xf>
    <xf numFmtId="2" fontId="23" fillId="3" borderId="24" xfId="4" applyNumberFormat="1" applyFont="1" applyFill="1" applyBorder="1" applyAlignment="1">
      <alignment horizontal="center" vertical="center"/>
    </xf>
    <xf numFmtId="174" fontId="17" fillId="3" borderId="13" xfId="4" applyNumberFormat="1" applyFont="1" applyFill="1" applyBorder="1" applyAlignment="1">
      <alignment horizontal="center" vertical="center"/>
    </xf>
    <xf numFmtId="174" fontId="17" fillId="3" borderId="30" xfId="4" applyNumberFormat="1" applyFont="1" applyFill="1" applyBorder="1" applyAlignment="1">
      <alignment horizontal="center" vertical="center"/>
    </xf>
    <xf numFmtId="0" fontId="21" fillId="3" borderId="0" xfId="4" applyFont="1" applyFill="1"/>
    <xf numFmtId="0" fontId="21" fillId="3" borderId="24" xfId="4" applyFont="1" applyFill="1" applyBorder="1"/>
    <xf numFmtId="2" fontId="21" fillId="3" borderId="0" xfId="4" applyNumberFormat="1" applyFont="1" applyFill="1" applyAlignment="1">
      <alignment horizontal="center" vertical="center"/>
    </xf>
    <xf numFmtId="166" fontId="17" fillId="3" borderId="30" xfId="4" applyNumberFormat="1" applyFont="1" applyFill="1" applyBorder="1" applyAlignment="1">
      <alignment horizontal="center" vertical="center"/>
    </xf>
    <xf numFmtId="2" fontId="17" fillId="3" borderId="4" xfId="4" applyNumberFormat="1" applyFont="1" applyFill="1" applyBorder="1" applyAlignment="1">
      <alignment horizontal="center" vertical="center"/>
    </xf>
    <xf numFmtId="0" fontId="17" fillId="3" borderId="33" xfId="4" applyFont="1" applyFill="1" applyBorder="1" applyAlignment="1">
      <alignment horizontal="center" vertical="center"/>
    </xf>
    <xf numFmtId="0" fontId="17" fillId="3" borderId="15" xfId="4" applyFont="1" applyFill="1" applyBorder="1" applyAlignment="1">
      <alignment horizontal="center" vertical="center"/>
    </xf>
    <xf numFmtId="2" fontId="17" fillId="3" borderId="16" xfId="4" applyNumberFormat="1" applyFont="1" applyFill="1" applyBorder="1" applyAlignment="1">
      <alignment horizontal="center" vertical="center"/>
    </xf>
    <xf numFmtId="0" fontId="24" fillId="3" borderId="0" xfId="4" applyFont="1" applyFill="1"/>
    <xf numFmtId="0" fontId="24" fillId="3" borderId="24" xfId="4" applyFont="1" applyFill="1" applyBorder="1"/>
    <xf numFmtId="0" fontId="24" fillId="0" borderId="0" xfId="4" applyFont="1"/>
    <xf numFmtId="0" fontId="17" fillId="3" borderId="0" xfId="4" applyFont="1" applyFill="1" applyAlignment="1">
      <alignment horizontal="center" vertical="center"/>
    </xf>
    <xf numFmtId="0" fontId="17" fillId="3" borderId="24" xfId="4" applyFont="1" applyFill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2" fontId="17" fillId="3" borderId="0" xfId="4" applyNumberFormat="1" applyFont="1" applyFill="1" applyAlignment="1">
      <alignment horizontal="center" vertical="center"/>
    </xf>
    <xf numFmtId="2" fontId="17" fillId="3" borderId="24" xfId="4" applyNumberFormat="1" applyFont="1" applyFill="1" applyBorder="1" applyAlignment="1">
      <alignment horizontal="center" vertical="center"/>
    </xf>
    <xf numFmtId="2" fontId="17" fillId="0" borderId="0" xfId="4" applyNumberFormat="1" applyFont="1" applyAlignment="1">
      <alignment horizontal="center" vertical="center"/>
    </xf>
    <xf numFmtId="0" fontId="18" fillId="3" borderId="0" xfId="4" applyFont="1" applyFill="1" applyAlignment="1">
      <alignment horizontal="center" vertical="center"/>
    </xf>
    <xf numFmtId="2" fontId="18" fillId="3" borderId="0" xfId="4" applyNumberFormat="1" applyFont="1" applyFill="1" applyAlignment="1">
      <alignment horizontal="center" vertical="center"/>
    </xf>
    <xf numFmtId="0" fontId="8" fillId="3" borderId="30" xfId="4" applyFont="1" applyFill="1" applyBorder="1" applyAlignment="1">
      <alignment horizontal="center" vertical="center"/>
    </xf>
    <xf numFmtId="174" fontId="8" fillId="3" borderId="4" xfId="4" applyNumberFormat="1" applyFont="1" applyFill="1" applyBorder="1" applyAlignment="1">
      <alignment horizontal="center" vertical="center"/>
    </xf>
    <xf numFmtId="0" fontId="8" fillId="3" borderId="13" xfId="4" applyFont="1" applyFill="1" applyBorder="1" applyAlignment="1">
      <alignment horizontal="center" vertical="center"/>
    </xf>
    <xf numFmtId="0" fontId="8" fillId="3" borderId="33" xfId="4" applyFont="1" applyFill="1" applyBorder="1" applyAlignment="1">
      <alignment horizontal="center" vertical="center"/>
    </xf>
    <xf numFmtId="0" fontId="8" fillId="3" borderId="15" xfId="4" applyFont="1" applyFill="1" applyBorder="1" applyAlignment="1">
      <alignment horizontal="center" vertical="center"/>
    </xf>
    <xf numFmtId="174" fontId="8" fillId="3" borderId="15" xfId="4" applyNumberFormat="1" applyFont="1" applyFill="1" applyBorder="1" applyAlignment="1">
      <alignment horizontal="center" vertical="center"/>
    </xf>
    <xf numFmtId="0" fontId="8" fillId="3" borderId="16" xfId="4" applyFont="1" applyFill="1" applyBorder="1" applyAlignment="1">
      <alignment horizontal="center" vertical="center"/>
    </xf>
    <xf numFmtId="0" fontId="18" fillId="3" borderId="35" xfId="4" applyFont="1" applyFill="1" applyBorder="1" applyAlignment="1">
      <alignment horizontal="center" vertical="center"/>
    </xf>
    <xf numFmtId="2" fontId="18" fillId="3" borderId="35" xfId="4" applyNumberFormat="1" applyFont="1" applyFill="1" applyBorder="1" applyAlignment="1">
      <alignment horizontal="center" vertical="center"/>
    </xf>
    <xf numFmtId="0" fontId="31" fillId="14" borderId="0" xfId="0" applyFont="1" applyFill="1" applyAlignment="1"/>
    <xf numFmtId="0" fontId="45" fillId="0" borderId="4" xfId="0" applyFont="1" applyBorder="1" applyAlignment="1">
      <alignment horizontal="center" vertical="center"/>
    </xf>
    <xf numFmtId="0" fontId="32" fillId="0" borderId="0" xfId="0" applyFont="1" applyFill="1" applyAlignment="1"/>
    <xf numFmtId="0" fontId="32" fillId="0" borderId="0" xfId="0" applyFont="1" applyFill="1" applyAlignment="1">
      <alignment horizontal="right"/>
    </xf>
    <xf numFmtId="0" fontId="32" fillId="17" borderId="0" xfId="0" quotePrefix="1" applyFont="1" applyFill="1" applyAlignment="1" applyProtection="1">
      <alignment vertical="center"/>
      <protection locked="0"/>
    </xf>
    <xf numFmtId="0" fontId="32" fillId="17" borderId="0" xfId="0" applyFont="1" applyFill="1" applyAlignment="1"/>
    <xf numFmtId="0" fontId="91" fillId="0" borderId="0" xfId="0" applyFont="1"/>
    <xf numFmtId="0" fontId="67" fillId="0" borderId="4" xfId="0" applyFont="1" applyBorder="1"/>
    <xf numFmtId="166" fontId="0" fillId="0" borderId="0" xfId="0" applyNumberFormat="1"/>
    <xf numFmtId="2" fontId="31" fillId="0" borderId="4" xfId="0" applyNumberFormat="1" applyFont="1" applyBorder="1" applyAlignment="1">
      <alignment horizontal="center" vertical="center"/>
    </xf>
    <xf numFmtId="0" fontId="31" fillId="0" borderId="0" xfId="0" applyFont="1" applyAlignment="1"/>
    <xf numFmtId="0" fontId="31" fillId="19" borderId="4" xfId="0" applyFont="1" applyFill="1" applyBorder="1" applyAlignment="1">
      <alignment horizontal="center" vertical="center"/>
    </xf>
    <xf numFmtId="0" fontId="31" fillId="19" borderId="4" xfId="0" applyFont="1" applyFill="1" applyBorder="1" applyAlignment="1">
      <alignment horizontal="center"/>
    </xf>
    <xf numFmtId="0" fontId="31" fillId="0" borderId="4" xfId="2" applyFont="1" applyFill="1" applyBorder="1" applyAlignment="1" applyProtection="1">
      <alignment horizontal="center" vertical="center"/>
      <protection locked="0"/>
    </xf>
    <xf numFmtId="1" fontId="31" fillId="3" borderId="0" xfId="0" quotePrefix="1" applyNumberFormat="1" applyFont="1" applyFill="1" applyAlignment="1">
      <alignment horizontal="center" vertical="center"/>
    </xf>
    <xf numFmtId="166" fontId="31" fillId="14" borderId="0" xfId="0" quotePrefix="1" applyNumberFormat="1" applyFont="1" applyFill="1" applyAlignment="1">
      <alignment horizontal="center"/>
    </xf>
    <xf numFmtId="165" fontId="31" fillId="3" borderId="0" xfId="2" applyNumberFormat="1" applyFont="1" applyFill="1" applyAlignment="1">
      <alignment horizontal="left" vertical="center"/>
    </xf>
    <xf numFmtId="165" fontId="31" fillId="3" borderId="0" xfId="2" applyNumberFormat="1" applyFont="1" applyFill="1" applyAlignment="1">
      <alignment vertical="center"/>
    </xf>
    <xf numFmtId="0" fontId="31" fillId="3" borderId="0" xfId="2" applyFont="1" applyFill="1" applyBorder="1" applyAlignment="1">
      <alignment horizontal="center" vertical="center"/>
    </xf>
    <xf numFmtId="169" fontId="31" fillId="3" borderId="0" xfId="2" applyNumberFormat="1" applyFont="1" applyFill="1" applyAlignment="1">
      <alignment vertical="center"/>
    </xf>
    <xf numFmtId="0" fontId="32" fillId="3" borderId="0" xfId="2" applyFont="1" applyFill="1" applyAlignment="1">
      <alignment horizontal="left" vertical="center"/>
    </xf>
    <xf numFmtId="0" fontId="33" fillId="3" borderId="0" xfId="2" applyFont="1" applyFill="1" applyAlignment="1">
      <alignment horizontal="left" vertical="center"/>
    </xf>
    <xf numFmtId="0" fontId="31" fillId="3" borderId="0" xfId="2" applyNumberFormat="1" applyFont="1" applyFill="1" applyAlignment="1">
      <alignment horizontal="left" vertical="center"/>
    </xf>
    <xf numFmtId="0" fontId="31" fillId="3" borderId="0" xfId="2" applyFont="1" applyFill="1" applyBorder="1" applyAlignment="1">
      <alignment horizontal="left" vertical="center"/>
    </xf>
    <xf numFmtId="0" fontId="31" fillId="3" borderId="0" xfId="2" applyFont="1" applyFill="1" applyAlignment="1" applyProtection="1">
      <alignment horizontal="left" vertical="center"/>
      <protection locked="0"/>
    </xf>
    <xf numFmtId="2" fontId="31" fillId="3" borderId="0" xfId="2" applyNumberFormat="1" applyFont="1" applyFill="1" applyAlignment="1" applyProtection="1">
      <alignment horizontal="left" vertical="center"/>
      <protection locked="0"/>
    </xf>
    <xf numFmtId="0" fontId="3" fillId="3" borderId="2" xfId="2" applyFont="1" applyFill="1" applyBorder="1" applyAlignment="1" applyProtection="1">
      <alignment horizontal="left" vertical="center"/>
      <protection locked="0"/>
    </xf>
    <xf numFmtId="176" fontId="33" fillId="3" borderId="0" xfId="2" applyNumberFormat="1" applyFont="1" applyFill="1" applyAlignment="1" applyProtection="1">
      <alignment horizontal="left" vertical="center"/>
      <protection locked="0"/>
    </xf>
    <xf numFmtId="2" fontId="31" fillId="3" borderId="0" xfId="2" applyNumberFormat="1" applyFont="1" applyFill="1" applyAlignment="1">
      <alignment horizontal="right" vertical="center"/>
    </xf>
    <xf numFmtId="2" fontId="31" fillId="3" borderId="0" xfId="2" applyNumberFormat="1" applyFont="1" applyFill="1" applyAlignment="1">
      <alignment horizontal="center" vertical="center"/>
    </xf>
    <xf numFmtId="180" fontId="31" fillId="3" borderId="0" xfId="2" applyNumberFormat="1" applyFont="1" applyFill="1" applyAlignment="1">
      <alignment vertical="center"/>
    </xf>
    <xf numFmtId="164" fontId="31" fillId="3" borderId="3" xfId="0" applyNumberFormat="1" applyFont="1" applyFill="1" applyBorder="1" applyAlignment="1">
      <alignment vertical="center"/>
    </xf>
    <xf numFmtId="175" fontId="31" fillId="3" borderId="3" xfId="0" applyNumberFormat="1" applyFont="1" applyFill="1" applyBorder="1" applyAlignment="1">
      <alignment vertical="center"/>
    </xf>
    <xf numFmtId="168" fontId="31" fillId="3" borderId="3" xfId="0" applyNumberFormat="1" applyFont="1" applyFill="1" applyBorder="1" applyAlignment="1">
      <alignment vertical="center"/>
    </xf>
    <xf numFmtId="166" fontId="31" fillId="0" borderId="0" xfId="2" applyNumberFormat="1" applyFont="1" applyAlignment="1">
      <alignment vertical="center"/>
    </xf>
    <xf numFmtId="166" fontId="31" fillId="3" borderId="58" xfId="2" applyNumberFormat="1" applyFont="1" applyFill="1" applyBorder="1" applyAlignment="1" applyProtection="1">
      <alignment horizontal="left" vertical="center"/>
      <protection locked="0"/>
    </xf>
    <xf numFmtId="166" fontId="31" fillId="3" borderId="63" xfId="2" applyNumberFormat="1" applyFont="1" applyFill="1" applyBorder="1" applyAlignment="1" applyProtection="1">
      <alignment horizontal="left" vertical="center"/>
      <protection locked="0"/>
    </xf>
    <xf numFmtId="0" fontId="67" fillId="0" borderId="0" xfId="0" applyFont="1"/>
    <xf numFmtId="1" fontId="31" fillId="3" borderId="1" xfId="0" applyNumberFormat="1" applyFont="1" applyFill="1" applyBorder="1" applyAlignment="1">
      <alignment horizontal="right" vertical="center"/>
    </xf>
    <xf numFmtId="174" fontId="31" fillId="3" borderId="1" xfId="0" applyNumberFormat="1" applyFont="1" applyFill="1" applyBorder="1" applyAlignment="1">
      <alignment horizontal="right" vertical="center"/>
    </xf>
    <xf numFmtId="166" fontId="31" fillId="3" borderId="0" xfId="2" applyNumberFormat="1" applyFont="1" applyFill="1" applyAlignment="1">
      <alignment vertical="center"/>
    </xf>
    <xf numFmtId="0" fontId="67" fillId="0" borderId="0" xfId="5" applyFont="1"/>
    <xf numFmtId="0" fontId="67" fillId="0" borderId="0" xfId="5"/>
    <xf numFmtId="0" fontId="7" fillId="0" borderId="3" xfId="5" applyFont="1" applyBorder="1" applyAlignment="1">
      <alignment horizontal="left" vertical="top" wrapText="1"/>
    </xf>
    <xf numFmtId="0" fontId="67" fillId="0" borderId="0" xfId="5" applyFont="1" applyAlignment="1">
      <alignment horizontal="left" vertical="top"/>
    </xf>
    <xf numFmtId="0" fontId="7" fillId="0" borderId="3" xfId="5" applyFont="1" applyBorder="1" applyAlignment="1" applyProtection="1">
      <alignment horizontal="left" vertical="top"/>
    </xf>
    <xf numFmtId="0" fontId="7" fillId="0" borderId="0" xfId="5" applyFont="1" applyAlignment="1">
      <alignment vertical="center" wrapText="1"/>
    </xf>
    <xf numFmtId="0" fontId="7" fillId="0" borderId="0" xfId="5" applyFont="1" applyAlignment="1">
      <alignment horizontal="center" vertical="center" wrapText="1"/>
    </xf>
    <xf numFmtId="0" fontId="67" fillId="0" borderId="0" xfId="5" applyFont="1" applyAlignment="1">
      <alignment vertical="top" wrapText="1"/>
    </xf>
    <xf numFmtId="0" fontId="7" fillId="0" borderId="1" xfId="5" applyFont="1" applyBorder="1" applyAlignment="1">
      <alignment vertical="top"/>
    </xf>
    <xf numFmtId="0" fontId="7" fillId="0" borderId="3" xfId="5" applyFont="1" applyBorder="1" applyAlignment="1" applyProtection="1">
      <alignment vertical="top" wrapText="1"/>
      <protection locked="0"/>
    </xf>
    <xf numFmtId="0" fontId="7" fillId="0" borderId="3" xfId="5" applyFont="1" applyBorder="1" applyAlignment="1" applyProtection="1">
      <alignment vertical="top"/>
      <protection locked="0"/>
    </xf>
    <xf numFmtId="0" fontId="94" fillId="0" borderId="0" xfId="5" applyFont="1" applyAlignment="1">
      <alignment vertical="top"/>
    </xf>
    <xf numFmtId="0" fontId="7" fillId="0" borderId="0" xfId="5" applyFont="1" applyAlignment="1" applyProtection="1">
      <alignment horizontal="center" vertical="top" wrapText="1"/>
      <protection locked="0"/>
    </xf>
    <xf numFmtId="0" fontId="7" fillId="0" borderId="0" xfId="5" applyFont="1" applyAlignment="1">
      <alignment horizontal="center" vertical="top" wrapText="1"/>
    </xf>
    <xf numFmtId="0" fontId="7" fillId="0" borderId="0" xfId="5" applyFont="1" applyAlignment="1">
      <alignment vertical="top" wrapText="1"/>
    </xf>
    <xf numFmtId="0" fontId="7" fillId="0" borderId="0" xfId="5" applyFont="1" applyAlignment="1">
      <alignment horizontal="justify" vertical="center" wrapText="1"/>
    </xf>
    <xf numFmtId="0" fontId="95" fillId="0" borderId="0" xfId="5" applyFont="1" applyAlignment="1">
      <alignment vertical="center"/>
    </xf>
    <xf numFmtId="0" fontId="67" fillId="0" borderId="20" xfId="5" applyBorder="1"/>
    <xf numFmtId="0" fontId="96" fillId="0" borderId="23" xfId="5" applyFont="1" applyBorder="1"/>
    <xf numFmtId="0" fontId="67" fillId="0" borderId="22" xfId="5" applyBorder="1"/>
    <xf numFmtId="0" fontId="67" fillId="0" borderId="24" xfId="5" applyBorder="1"/>
    <xf numFmtId="0" fontId="96" fillId="0" borderId="24" xfId="5" applyFont="1" applyBorder="1"/>
    <xf numFmtId="0" fontId="97" fillId="0" borderId="22" xfId="5" applyFont="1" applyBorder="1"/>
    <xf numFmtId="185" fontId="97" fillId="0" borderId="24" xfId="5" applyNumberFormat="1" applyFont="1" applyBorder="1" applyAlignment="1">
      <alignment horizontal="left"/>
    </xf>
    <xf numFmtId="0" fontId="97" fillId="0" borderId="34" xfId="5" applyFont="1" applyBorder="1"/>
    <xf numFmtId="0" fontId="67" fillId="0" borderId="22" xfId="5" applyBorder="1" applyAlignment="1">
      <alignment wrapText="1"/>
    </xf>
    <xf numFmtId="0" fontId="97" fillId="0" borderId="24" xfId="5" applyFont="1" applyBorder="1" applyAlignment="1">
      <alignment horizontal="left" wrapText="1"/>
    </xf>
    <xf numFmtId="0" fontId="67" fillId="0" borderId="0" xfId="5" applyAlignment="1">
      <alignment wrapText="1"/>
    </xf>
    <xf numFmtId="0" fontId="97" fillId="0" borderId="22" xfId="5" applyFont="1" applyBorder="1" applyAlignment="1">
      <alignment wrapText="1"/>
    </xf>
    <xf numFmtId="0" fontId="97" fillId="0" borderId="24" xfId="5" applyFont="1" applyBorder="1" applyAlignment="1">
      <alignment wrapText="1"/>
    </xf>
    <xf numFmtId="0" fontId="97" fillId="0" borderId="44" xfId="5" applyFont="1" applyBorder="1" applyAlignment="1">
      <alignment wrapText="1"/>
    </xf>
    <xf numFmtId="0" fontId="98" fillId="0" borderId="24" xfId="5" applyFont="1" applyBorder="1" applyAlignment="1">
      <alignment horizontal="left" wrapText="1"/>
    </xf>
    <xf numFmtId="0" fontId="67" fillId="0" borderId="24" xfId="5" applyBorder="1" applyAlignment="1">
      <alignment wrapText="1"/>
    </xf>
    <xf numFmtId="185" fontId="67" fillId="0" borderId="24" xfId="5" applyNumberFormat="1" applyBorder="1"/>
    <xf numFmtId="0" fontId="31" fillId="0" borderId="0" xfId="0" applyFont="1" applyAlignment="1">
      <alignment horizontal="right"/>
    </xf>
    <xf numFmtId="0" fontId="7" fillId="0" borderId="1" xfId="5" applyFont="1" applyBorder="1" applyAlignment="1">
      <alignment horizontal="left" vertical="top" wrapText="1"/>
    </xf>
    <xf numFmtId="0" fontId="86" fillId="3" borderId="4" xfId="0" quotePrefix="1" applyFont="1" applyFill="1" applyBorder="1"/>
    <xf numFmtId="0" fontId="67" fillId="0" borderId="22" xfId="2" applyBorder="1" applyAlignment="1" applyProtection="1">
      <alignment horizontal="center" vertical="center"/>
      <protection locked="0"/>
    </xf>
    <xf numFmtId="0" fontId="2" fillId="15" borderId="4" xfId="2" applyFont="1" applyFill="1" applyBorder="1" applyAlignment="1" applyProtection="1">
      <alignment horizontal="center" vertical="center"/>
      <protection locked="0"/>
    </xf>
    <xf numFmtId="176" fontId="31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78" fontId="0" fillId="0" borderId="4" xfId="0" applyNumberFormat="1" applyBorder="1" applyAlignment="1">
      <alignment horizontal="center" vertical="center"/>
    </xf>
    <xf numFmtId="0" fontId="3" fillId="9" borderId="4" xfId="4" applyFont="1" applyFill="1" applyBorder="1" applyAlignment="1" applyProtection="1">
      <alignment horizontal="center" vertical="center"/>
      <protection locked="0"/>
    </xf>
    <xf numFmtId="0" fontId="3" fillId="3" borderId="4" xfId="4" applyFont="1" applyFill="1" applyBorder="1" applyAlignment="1">
      <alignment horizontal="center" vertical="center"/>
    </xf>
    <xf numFmtId="0" fontId="3" fillId="9" borderId="4" xfId="4" applyFont="1" applyFill="1" applyBorder="1" applyAlignment="1">
      <alignment horizontal="center" vertical="center"/>
    </xf>
    <xf numFmtId="0" fontId="7" fillId="9" borderId="4" xfId="4" applyFont="1" applyFill="1" applyBorder="1" applyAlignment="1">
      <alignment horizontal="center" vertical="center"/>
    </xf>
    <xf numFmtId="1" fontId="0" fillId="0" borderId="0" xfId="0" applyNumberFormat="1" applyAlignment="1">
      <alignment horizontal="left"/>
    </xf>
    <xf numFmtId="0" fontId="67" fillId="0" borderId="0" xfId="4" applyFont="1"/>
    <xf numFmtId="0" fontId="7" fillId="9" borderId="0" xfId="4" applyFont="1" applyFill="1" applyProtection="1">
      <protection locked="0"/>
    </xf>
    <xf numFmtId="0" fontId="7" fillId="9" borderId="0" xfId="4" applyFont="1" applyFill="1" applyAlignment="1" applyProtection="1">
      <alignment horizontal="center"/>
      <protection locked="0"/>
    </xf>
    <xf numFmtId="0" fontId="67" fillId="9" borderId="0" xfId="4" applyFont="1" applyFill="1" applyProtection="1">
      <protection locked="0"/>
    </xf>
    <xf numFmtId="0" fontId="7" fillId="9" borderId="4" xfId="4" applyFont="1" applyFill="1" applyBorder="1" applyAlignment="1" applyProtection="1">
      <alignment horizontal="center" vertical="center"/>
      <protection locked="0"/>
    </xf>
    <xf numFmtId="1" fontId="67" fillId="9" borderId="4" xfId="4" applyNumberFormat="1" applyFont="1" applyFill="1" applyBorder="1" applyAlignment="1" applyProtection="1">
      <alignment horizontal="center" vertical="center"/>
      <protection locked="0"/>
    </xf>
    <xf numFmtId="2" fontId="67" fillId="9" borderId="4" xfId="4" quotePrefix="1" applyNumberFormat="1" applyFont="1" applyFill="1" applyBorder="1" applyAlignment="1" applyProtection="1">
      <alignment horizontal="center" vertical="center"/>
      <protection locked="0"/>
    </xf>
    <xf numFmtId="2" fontId="67" fillId="10" borderId="4" xfId="4" applyNumberFormat="1" applyFont="1" applyFill="1" applyBorder="1" applyAlignment="1" applyProtection="1">
      <alignment horizontal="center"/>
      <protection locked="0"/>
    </xf>
    <xf numFmtId="2" fontId="67" fillId="9" borderId="4" xfId="4" applyNumberFormat="1" applyFont="1" applyFill="1" applyBorder="1" applyAlignment="1" applyProtection="1">
      <alignment horizontal="center" vertical="center"/>
      <protection locked="0"/>
    </xf>
    <xf numFmtId="166" fontId="67" fillId="9" borderId="4" xfId="4" applyNumberFormat="1" applyFont="1" applyFill="1" applyBorder="1" applyAlignment="1" applyProtection="1">
      <alignment horizontal="center" vertical="center"/>
      <protection locked="0"/>
    </xf>
    <xf numFmtId="0" fontId="67" fillId="9" borderId="4" xfId="4" applyFont="1" applyFill="1" applyBorder="1" applyAlignment="1" applyProtection="1">
      <alignment horizontal="center" vertical="center"/>
      <protection locked="0"/>
    </xf>
    <xf numFmtId="0" fontId="67" fillId="9" borderId="4" xfId="4" quotePrefix="1" applyFont="1" applyFill="1" applyBorder="1" applyAlignment="1" applyProtection="1">
      <alignment horizontal="center" vertical="center"/>
      <protection locked="0"/>
    </xf>
    <xf numFmtId="174" fontId="67" fillId="9" borderId="4" xfId="4" applyNumberFormat="1" applyFont="1" applyFill="1" applyBorder="1" applyAlignment="1" applyProtection="1">
      <alignment horizontal="center" vertical="center"/>
      <protection locked="0"/>
    </xf>
    <xf numFmtId="174" fontId="67" fillId="9" borderId="4" xfId="4" quotePrefix="1" applyNumberFormat="1" applyFont="1" applyFill="1" applyBorder="1" applyAlignment="1" applyProtection="1">
      <alignment horizontal="center" vertical="center"/>
      <protection locked="0"/>
    </xf>
    <xf numFmtId="0" fontId="67" fillId="9" borderId="22" xfId="4" applyFont="1" applyFill="1" applyBorder="1" applyProtection="1">
      <protection locked="0"/>
    </xf>
    <xf numFmtId="0" fontId="67" fillId="9" borderId="24" xfId="4" applyFont="1" applyFill="1" applyBorder="1" applyProtection="1">
      <protection locked="0"/>
    </xf>
    <xf numFmtId="0" fontId="67" fillId="9" borderId="4" xfId="4" applyFont="1" applyFill="1" applyBorder="1" applyAlignment="1" applyProtection="1">
      <alignment horizontal="right" vertical="center"/>
      <protection locked="0"/>
    </xf>
    <xf numFmtId="0" fontId="67" fillId="9" borderId="0" xfId="4" applyFont="1" applyFill="1" applyAlignment="1" applyProtection="1">
      <alignment horizontal="center" vertical="center"/>
      <protection locked="0"/>
    </xf>
    <xf numFmtId="174" fontId="67" fillId="9" borderId="0" xfId="4" applyNumberFormat="1" applyFont="1" applyFill="1" applyAlignment="1" applyProtection="1">
      <alignment horizontal="center" vertical="center"/>
      <protection locked="0"/>
    </xf>
    <xf numFmtId="0" fontId="67" fillId="9" borderId="0" xfId="4" applyFont="1" applyFill="1" applyAlignment="1" applyProtection="1">
      <alignment horizontal="right" vertical="center"/>
      <protection locked="0"/>
    </xf>
    <xf numFmtId="166" fontId="67" fillId="9" borderId="4" xfId="4" quotePrefix="1" applyNumberFormat="1" applyFont="1" applyFill="1" applyBorder="1" applyAlignment="1" applyProtection="1">
      <alignment horizontal="center" vertical="center"/>
      <protection locked="0"/>
    </xf>
    <xf numFmtId="0" fontId="67" fillId="8" borderId="26" xfId="4" applyFont="1" applyFill="1" applyBorder="1" applyProtection="1">
      <protection locked="0"/>
    </xf>
    <xf numFmtId="0" fontId="67" fillId="8" borderId="27" xfId="4" applyFont="1" applyFill="1" applyBorder="1" applyProtection="1">
      <protection locked="0"/>
    </xf>
    <xf numFmtId="0" fontId="67" fillId="0" borderId="22" xfId="4" applyFont="1" applyBorder="1"/>
    <xf numFmtId="0" fontId="67" fillId="0" borderId="0" xfId="4" applyFont="1" applyAlignment="1">
      <alignment horizontal="center" vertical="center"/>
    </xf>
    <xf numFmtId="0" fontId="67" fillId="0" borderId="0" xfId="4" applyFont="1" applyAlignment="1">
      <alignment horizontal="center"/>
    </xf>
    <xf numFmtId="2" fontId="67" fillId="9" borderId="4" xfId="4" applyNumberFormat="1" applyFont="1" applyFill="1" applyBorder="1" applyAlignment="1">
      <alignment horizontal="center"/>
    </xf>
    <xf numFmtId="1" fontId="67" fillId="9" borderId="4" xfId="4" applyNumberFormat="1" applyFont="1" applyFill="1" applyBorder="1" applyAlignment="1">
      <alignment horizontal="center" vertical="center"/>
    </xf>
    <xf numFmtId="2" fontId="67" fillId="9" borderId="4" xfId="4" applyNumberFormat="1" applyFont="1" applyFill="1" applyBorder="1" applyAlignment="1">
      <alignment horizontal="center" vertical="center"/>
    </xf>
    <xf numFmtId="2" fontId="67" fillId="9" borderId="4" xfId="4" quotePrefix="1" applyNumberFormat="1" applyFont="1" applyFill="1" applyBorder="1" applyAlignment="1">
      <alignment horizontal="center" vertical="center"/>
    </xf>
    <xf numFmtId="0" fontId="67" fillId="0" borderId="24" xfId="4" applyFont="1" applyBorder="1"/>
    <xf numFmtId="0" fontId="67" fillId="9" borderId="4" xfId="4" applyFont="1" applyFill="1" applyBorder="1" applyAlignment="1">
      <alignment horizontal="center" vertical="center"/>
    </xf>
    <xf numFmtId="0" fontId="67" fillId="3" borderId="21" xfId="4" applyFont="1" applyFill="1" applyBorder="1"/>
    <xf numFmtId="0" fontId="67" fillId="3" borderId="0" xfId="4" applyFont="1" applyFill="1"/>
    <xf numFmtId="0" fontId="7" fillId="3" borderId="30" xfId="4" applyFont="1" applyFill="1" applyBorder="1" applyAlignment="1">
      <alignment horizontal="center" vertical="center"/>
    </xf>
    <xf numFmtId="166" fontId="67" fillId="6" borderId="28" xfId="4" applyNumberFormat="1" applyFont="1" applyFill="1" applyBorder="1" applyAlignment="1">
      <alignment horizontal="center" vertical="center" wrapText="1"/>
    </xf>
    <xf numFmtId="1" fontId="67" fillId="6" borderId="30" xfId="4" applyNumberFormat="1" applyFont="1" applyFill="1" applyBorder="1" applyAlignment="1">
      <alignment horizontal="center" vertical="center" wrapText="1"/>
    </xf>
    <xf numFmtId="1" fontId="67" fillId="3" borderId="30" xfId="4" applyNumberFormat="1" applyFont="1" applyFill="1" applyBorder="1" applyAlignment="1">
      <alignment horizontal="center" vertical="center"/>
    </xf>
    <xf numFmtId="2" fontId="67" fillId="3" borderId="4" xfId="4" applyNumberFormat="1" applyFont="1" applyFill="1" applyBorder="1" applyAlignment="1">
      <alignment horizontal="center" vertical="center"/>
    </xf>
    <xf numFmtId="2" fontId="67" fillId="3" borderId="13" xfId="4" applyNumberFormat="1" applyFont="1" applyFill="1" applyBorder="1" applyAlignment="1">
      <alignment horizontal="center" vertical="center"/>
    </xf>
    <xf numFmtId="166" fontId="67" fillId="6" borderId="30" xfId="4" applyNumberFormat="1" applyFont="1" applyFill="1" applyBorder="1" applyAlignment="1">
      <alignment horizontal="center" vertical="center" wrapText="1"/>
    </xf>
    <xf numFmtId="0" fontId="67" fillId="3" borderId="0" xfId="4" applyFont="1" applyFill="1" applyAlignment="1">
      <alignment horizontal="center" vertical="center"/>
    </xf>
    <xf numFmtId="1" fontId="67" fillId="3" borderId="33" xfId="4" applyNumberFormat="1" applyFont="1" applyFill="1" applyBorder="1" applyAlignment="1">
      <alignment horizontal="center" vertical="center"/>
    </xf>
    <xf numFmtId="2" fontId="67" fillId="3" borderId="15" xfId="4" applyNumberFormat="1" applyFont="1" applyFill="1" applyBorder="1" applyAlignment="1">
      <alignment horizontal="center" vertical="center"/>
    </xf>
    <xf numFmtId="2" fontId="67" fillId="3" borderId="16" xfId="4" applyNumberFormat="1" applyFont="1" applyFill="1" applyBorder="1" applyAlignment="1">
      <alignment horizontal="center" vertical="center"/>
    </xf>
    <xf numFmtId="0" fontId="3" fillId="3" borderId="8" xfId="4" applyFont="1" applyFill="1" applyBorder="1" applyAlignment="1">
      <alignment horizontal="center" vertical="center"/>
    </xf>
    <xf numFmtId="0" fontId="3" fillId="3" borderId="9" xfId="4" applyFont="1" applyFill="1" applyBorder="1" applyAlignment="1">
      <alignment horizontal="center" vertical="center"/>
    </xf>
    <xf numFmtId="166" fontId="67" fillId="0" borderId="0" xfId="4" applyNumberFormat="1" applyFont="1"/>
    <xf numFmtId="0" fontId="3" fillId="3" borderId="13" xfId="4" applyFont="1" applyFill="1" applyBorder="1" applyAlignment="1">
      <alignment horizontal="center" vertical="center"/>
    </xf>
    <xf numFmtId="0" fontId="67" fillId="3" borderId="30" xfId="4" applyFont="1" applyFill="1" applyBorder="1" applyAlignment="1">
      <alignment horizontal="center" vertical="center"/>
    </xf>
    <xf numFmtId="0" fontId="67" fillId="3" borderId="24" xfId="4" applyFont="1" applyFill="1" applyBorder="1"/>
    <xf numFmtId="0" fontId="67" fillId="3" borderId="33" xfId="4" applyFont="1" applyFill="1" applyBorder="1" applyAlignment="1">
      <alignment horizontal="center" vertical="center"/>
    </xf>
    <xf numFmtId="0" fontId="67" fillId="3" borderId="13" xfId="4" applyFont="1" applyFill="1" applyBorder="1" applyAlignment="1">
      <alignment horizontal="center" vertical="center"/>
    </xf>
    <xf numFmtId="0" fontId="67" fillId="3" borderId="16" xfId="4" applyFont="1" applyFill="1" applyBorder="1" applyAlignment="1">
      <alignment horizontal="center" vertical="center"/>
    </xf>
    <xf numFmtId="0" fontId="67" fillId="3" borderId="22" xfId="4" applyFont="1" applyFill="1" applyBorder="1"/>
    <xf numFmtId="0" fontId="67" fillId="3" borderId="34" xfId="4" applyFont="1" applyFill="1" applyBorder="1"/>
    <xf numFmtId="0" fontId="67" fillId="3" borderId="35" xfId="4" applyFont="1" applyFill="1" applyBorder="1"/>
    <xf numFmtId="0" fontId="67" fillId="3" borderId="44" xfId="4" applyFont="1" applyFill="1" applyBorder="1"/>
    <xf numFmtId="0" fontId="67" fillId="0" borderId="0" xfId="4" applyFont="1" applyProtection="1">
      <protection locked="0"/>
    </xf>
    <xf numFmtId="1" fontId="67" fillId="9" borderId="4" xfId="4" quotePrefix="1" applyNumberFormat="1" applyFont="1" applyFill="1" applyBorder="1" applyAlignment="1" applyProtection="1">
      <alignment horizontal="center" vertical="center"/>
      <protection locked="0"/>
    </xf>
    <xf numFmtId="166" fontId="31" fillId="3" borderId="60" xfId="2" applyNumberFormat="1" applyFont="1" applyFill="1" applyBorder="1" applyAlignment="1" applyProtection="1">
      <alignment horizontal="left" vertical="center"/>
      <protection locked="0"/>
    </xf>
    <xf numFmtId="0" fontId="32" fillId="0" borderId="0" xfId="0" applyFont="1" applyBorder="1" applyAlignment="1" applyProtection="1">
      <alignment vertical="center"/>
      <protection locked="0"/>
    </xf>
    <xf numFmtId="0" fontId="31" fillId="0" borderId="35" xfId="0" applyFont="1" applyBorder="1"/>
    <xf numFmtId="0" fontId="31" fillId="0" borderId="44" xfId="0" applyFont="1" applyBorder="1"/>
    <xf numFmtId="0" fontId="32" fillId="0" borderId="49" xfId="0" applyFont="1" applyBorder="1" applyAlignment="1" applyProtection="1">
      <alignment vertical="center"/>
      <protection locked="0"/>
    </xf>
    <xf numFmtId="0" fontId="32" fillId="0" borderId="48" xfId="0" applyFont="1" applyBorder="1" applyAlignment="1" applyProtection="1">
      <alignment horizontal="center" vertical="center"/>
      <protection locked="0"/>
    </xf>
    <xf numFmtId="0" fontId="32" fillId="0" borderId="49" xfId="0" applyFont="1" applyBorder="1" applyAlignment="1" applyProtection="1">
      <alignment horizontal="center" vertical="center"/>
      <protection locked="0"/>
    </xf>
    <xf numFmtId="0" fontId="31" fillId="0" borderId="49" xfId="0" applyFont="1" applyBorder="1" applyAlignment="1">
      <alignment horizontal="center"/>
    </xf>
    <xf numFmtId="0" fontId="32" fillId="0" borderId="54" xfId="0" applyFont="1" applyBorder="1" applyAlignment="1" applyProtection="1">
      <alignment horizontal="center" vertical="center"/>
      <protection locked="0"/>
    </xf>
    <xf numFmtId="0" fontId="31" fillId="0" borderId="0" xfId="0" applyFont="1" applyAlignment="1">
      <alignment horizontal="center"/>
    </xf>
    <xf numFmtId="0" fontId="31" fillId="0" borderId="0" xfId="0" applyFont="1" applyBorder="1" applyAlignment="1">
      <alignment horizontal="center"/>
    </xf>
    <xf numFmtId="2" fontId="32" fillId="17" borderId="48" xfId="0" applyNumberFormat="1" applyFont="1" applyFill="1" applyBorder="1" applyAlignment="1" applyProtection="1">
      <alignment vertical="center"/>
      <protection locked="0"/>
    </xf>
    <xf numFmtId="0" fontId="31" fillId="0" borderId="49" xfId="0" applyFont="1" applyBorder="1" applyAlignment="1">
      <alignment horizontal="center" vertical="center"/>
    </xf>
    <xf numFmtId="166" fontId="31" fillId="3" borderId="0" xfId="2" applyNumberFormat="1" applyFont="1" applyFill="1" applyAlignment="1">
      <alignment horizontal="right" vertical="center"/>
    </xf>
    <xf numFmtId="178" fontId="0" fillId="0" borderId="4" xfId="0" quotePrefix="1" applyNumberFormat="1" applyBorder="1" applyAlignment="1">
      <alignment horizontal="center" vertical="center"/>
    </xf>
    <xf numFmtId="177" fontId="8" fillId="3" borderId="4" xfId="4" applyNumberFormat="1" applyFont="1" applyFill="1" applyBorder="1" applyAlignment="1">
      <alignment horizontal="center" vertical="center"/>
    </xf>
    <xf numFmtId="178" fontId="31" fillId="0" borderId="4" xfId="0" applyNumberFormat="1" applyFont="1" applyBorder="1" applyAlignment="1">
      <alignment horizontal="center" vertical="center"/>
    </xf>
    <xf numFmtId="178" fontId="31" fillId="0" borderId="4" xfId="0" applyNumberFormat="1" applyFont="1" applyBorder="1" applyAlignment="1">
      <alignment horizontal="center"/>
    </xf>
    <xf numFmtId="186" fontId="31" fillId="3" borderId="4" xfId="0" applyNumberFormat="1" applyFont="1" applyFill="1" applyBorder="1" applyAlignment="1">
      <alignment horizontal="center" vertical="center"/>
    </xf>
    <xf numFmtId="171" fontId="31" fillId="0" borderId="0" xfId="2" applyNumberFormat="1" applyFont="1" applyAlignment="1" applyProtection="1">
      <alignment vertical="center"/>
      <protection locked="0"/>
    </xf>
    <xf numFmtId="178" fontId="7" fillId="2" borderId="4" xfId="2" applyNumberFormat="1" applyFont="1" applyFill="1" applyBorder="1" applyAlignment="1">
      <alignment horizontal="center" vertical="center"/>
    </xf>
    <xf numFmtId="178" fontId="3" fillId="2" borderId="4" xfId="2" applyNumberFormat="1" applyFont="1" applyFill="1" applyBorder="1" applyAlignment="1">
      <alignment horizontal="center" vertical="center"/>
    </xf>
    <xf numFmtId="178" fontId="8" fillId="2" borderId="4" xfId="2" applyNumberFormat="1" applyFont="1" applyFill="1" applyBorder="1" applyAlignment="1">
      <alignment horizontal="center" vertical="center"/>
    </xf>
    <xf numFmtId="178" fontId="8" fillId="2" borderId="4" xfId="2" applyNumberFormat="1" applyFont="1" applyFill="1" applyBorder="1" applyAlignment="1">
      <alignment horizontal="center"/>
    </xf>
    <xf numFmtId="178" fontId="8" fillId="2" borderId="13" xfId="2" applyNumberFormat="1" applyFont="1" applyFill="1" applyBorder="1" applyAlignment="1">
      <alignment horizontal="center" vertical="center"/>
    </xf>
    <xf numFmtId="178" fontId="9" fillId="2" borderId="4" xfId="2" applyNumberFormat="1" applyFont="1" applyFill="1" applyBorder="1" applyAlignment="1">
      <alignment horizontal="center" vertical="center"/>
    </xf>
    <xf numFmtId="178" fontId="9" fillId="2" borderId="4" xfId="2" applyNumberFormat="1" applyFont="1" applyFill="1" applyBorder="1" applyAlignment="1">
      <alignment horizontal="center"/>
    </xf>
    <xf numFmtId="178" fontId="9" fillId="2" borderId="13" xfId="2" applyNumberFormat="1" applyFont="1" applyFill="1" applyBorder="1" applyAlignment="1">
      <alignment horizontal="center" vertical="center"/>
    </xf>
    <xf numFmtId="178" fontId="67" fillId="2" borderId="4" xfId="2" applyNumberFormat="1" applyFill="1" applyBorder="1" applyAlignment="1">
      <alignment horizontal="center" vertical="center"/>
    </xf>
    <xf numFmtId="178" fontId="8" fillId="2" borderId="5" xfId="2" applyNumberFormat="1" applyFont="1" applyFill="1" applyBorder="1" applyAlignment="1">
      <alignment horizontal="center" vertical="center"/>
    </xf>
    <xf numFmtId="178" fontId="9" fillId="2" borderId="5" xfId="2" applyNumberFormat="1" applyFont="1" applyFill="1" applyBorder="1" applyAlignment="1">
      <alignment horizontal="center" vertical="center"/>
    </xf>
    <xf numFmtId="178" fontId="9" fillId="2" borderId="5" xfId="2" applyNumberFormat="1" applyFont="1" applyFill="1" applyBorder="1" applyAlignment="1">
      <alignment horizontal="center"/>
    </xf>
    <xf numFmtId="178" fontId="9" fillId="2" borderId="11" xfId="2" applyNumberFormat="1" applyFont="1" applyFill="1" applyBorder="1" applyAlignment="1">
      <alignment horizontal="center" vertical="center"/>
    </xf>
    <xf numFmtId="178" fontId="0" fillId="0" borderId="4" xfId="0" applyNumberFormat="1" applyBorder="1" applyAlignment="1">
      <alignment horizontal="center"/>
    </xf>
    <xf numFmtId="178" fontId="67" fillId="0" borderId="4" xfId="0" applyNumberFormat="1" applyFont="1" applyBorder="1" applyAlignment="1">
      <alignment horizontal="center"/>
    </xf>
    <xf numFmtId="178" fontId="8" fillId="2" borderId="6" xfId="2" applyNumberFormat="1" applyFont="1" applyFill="1" applyBorder="1" applyAlignment="1">
      <alignment horizontal="center" vertical="center"/>
    </xf>
    <xf numFmtId="178" fontId="67" fillId="2" borderId="6" xfId="2" applyNumberFormat="1" applyFill="1" applyBorder="1" applyAlignment="1">
      <alignment horizontal="center" vertical="center"/>
    </xf>
    <xf numFmtId="178" fontId="67" fillId="2" borderId="6" xfId="2" quotePrefix="1" applyNumberFormat="1" applyFill="1" applyBorder="1" applyAlignment="1">
      <alignment horizontal="center" vertical="center"/>
    </xf>
    <xf numFmtId="178" fontId="67" fillId="2" borderId="6" xfId="2" applyNumberFormat="1" applyFill="1" applyBorder="1" applyAlignment="1">
      <alignment horizontal="center"/>
    </xf>
    <xf numFmtId="178" fontId="67" fillId="2" borderId="12" xfId="2" applyNumberFormat="1" applyFill="1" applyBorder="1" applyAlignment="1">
      <alignment horizontal="center" vertical="center"/>
    </xf>
    <xf numFmtId="178" fontId="67" fillId="2" borderId="4" xfId="2" quotePrefix="1" applyNumberFormat="1" applyFill="1" applyBorder="1" applyAlignment="1">
      <alignment horizontal="center" vertical="center"/>
    </xf>
    <xf numFmtId="178" fontId="67" fillId="2" borderId="4" xfId="2" applyNumberFormat="1" applyFill="1" applyBorder="1" applyAlignment="1">
      <alignment horizontal="center"/>
    </xf>
    <xf numFmtId="178" fontId="67" fillId="2" borderId="13" xfId="2" applyNumberFormat="1" applyFill="1" applyBorder="1" applyAlignment="1">
      <alignment horizontal="center" vertical="center"/>
    </xf>
    <xf numFmtId="178" fontId="67" fillId="2" borderId="5" xfId="2" applyNumberFormat="1" applyFill="1" applyBorder="1" applyAlignment="1">
      <alignment horizontal="center" vertical="center"/>
    </xf>
    <xf numFmtId="178" fontId="67" fillId="2" borderId="5" xfId="2" applyNumberFormat="1" applyFill="1" applyBorder="1" applyAlignment="1">
      <alignment horizontal="center"/>
    </xf>
    <xf numFmtId="178" fontId="67" fillId="2" borderId="11" xfId="2" applyNumberFormat="1" applyFill="1" applyBorder="1" applyAlignment="1">
      <alignment horizontal="center" vertical="center"/>
    </xf>
    <xf numFmtId="178" fontId="0" fillId="0" borderId="5" xfId="0" applyNumberFormat="1" applyBorder="1" applyAlignment="1">
      <alignment horizontal="center"/>
    </xf>
    <xf numFmtId="178" fontId="8" fillId="2" borderId="17" xfId="2" applyNumberFormat="1" applyFont="1" applyFill="1" applyBorder="1" applyAlignment="1">
      <alignment horizontal="center" vertical="center"/>
    </xf>
    <xf numFmtId="178" fontId="0" fillId="2" borderId="8" xfId="0" applyNumberFormat="1" applyFill="1" applyBorder="1" applyAlignment="1">
      <alignment horizontal="center" vertical="center"/>
    </xf>
    <xf numFmtId="178" fontId="67" fillId="2" borderId="1" xfId="2" applyNumberFormat="1" applyFill="1" applyBorder="1" applyAlignment="1">
      <alignment horizontal="center" vertical="center"/>
    </xf>
    <xf numFmtId="178" fontId="0" fillId="2" borderId="4" xfId="0" applyNumberFormat="1" applyFill="1" applyBorder="1" applyAlignment="1">
      <alignment horizontal="center" vertical="center"/>
    </xf>
    <xf numFmtId="178" fontId="8" fillId="2" borderId="1" xfId="2" applyNumberFormat="1" applyFont="1" applyFill="1" applyBorder="1" applyAlignment="1">
      <alignment horizontal="center" vertical="center"/>
    </xf>
    <xf numFmtId="178" fontId="8" fillId="2" borderId="42" xfId="2" applyNumberFormat="1" applyFont="1" applyFill="1" applyBorder="1" applyAlignment="1">
      <alignment horizontal="center" vertical="center"/>
    </xf>
    <xf numFmtId="178" fontId="0" fillId="2" borderId="5" xfId="0" applyNumberFormat="1" applyFill="1" applyBorder="1" applyAlignment="1">
      <alignment horizontal="center" vertical="center"/>
    </xf>
    <xf numFmtId="178" fontId="67" fillId="2" borderId="60" xfId="2" applyNumberFormat="1" applyFill="1" applyBorder="1" applyAlignment="1">
      <alignment horizontal="center" vertical="center"/>
    </xf>
    <xf numFmtId="177" fontId="0" fillId="0" borderId="0" xfId="0" applyNumberFormat="1"/>
    <xf numFmtId="178" fontId="10" fillId="0" borderId="4" xfId="0" applyNumberFormat="1" applyFont="1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/>
    </xf>
    <xf numFmtId="178" fontId="0" fillId="0" borderId="0" xfId="0" applyNumberFormat="1"/>
    <xf numFmtId="178" fontId="0" fillId="0" borderId="0" xfId="0" applyNumberFormat="1" applyAlignment="1">
      <alignment horizontal="center"/>
    </xf>
    <xf numFmtId="178" fontId="3" fillId="0" borderId="6" xfId="0" applyNumberFormat="1" applyFont="1" applyBorder="1" applyAlignment="1">
      <alignment horizontal="center" vertical="center"/>
    </xf>
    <xf numFmtId="178" fontId="31" fillId="0" borderId="3" xfId="2" applyNumberFormat="1" applyFont="1" applyBorder="1" applyAlignment="1">
      <alignment horizontal="center" vertical="center"/>
    </xf>
    <xf numFmtId="0" fontId="33" fillId="3" borderId="0" xfId="0" applyFont="1" applyFill="1" applyAlignment="1" applyProtection="1">
      <alignment horizontal="left" vertical="center"/>
      <protection locked="0"/>
    </xf>
    <xf numFmtId="178" fontId="31" fillId="0" borderId="4" xfId="2" applyNumberFormat="1" applyFont="1" applyBorder="1" applyAlignment="1">
      <alignment horizontal="center" vertical="center"/>
    </xf>
    <xf numFmtId="166" fontId="31" fillId="3" borderId="0" xfId="2" applyNumberFormat="1" applyFont="1" applyFill="1" applyAlignment="1">
      <alignment horizontal="left" vertical="center"/>
    </xf>
    <xf numFmtId="0" fontId="31" fillId="3" borderId="0" xfId="0" applyFont="1" applyFill="1" applyAlignment="1">
      <alignment vertical="top"/>
    </xf>
    <xf numFmtId="1" fontId="31" fillId="14" borderId="3" xfId="0" quotePrefix="1" applyNumberFormat="1" applyFont="1" applyFill="1" applyBorder="1" applyAlignment="1">
      <alignment horizontal="center" vertical="center"/>
    </xf>
    <xf numFmtId="1" fontId="31" fillId="14" borderId="3" xfId="0" applyNumberFormat="1" applyFont="1" applyFill="1" applyBorder="1" applyAlignment="1">
      <alignment horizontal="center" vertical="center"/>
    </xf>
    <xf numFmtId="1" fontId="31" fillId="14" borderId="1" xfId="0" quotePrefix="1" applyNumberFormat="1" applyFont="1" applyFill="1" applyBorder="1" applyAlignment="1">
      <alignment horizontal="right" vertical="center"/>
    </xf>
    <xf numFmtId="166" fontId="31" fillId="0" borderId="4" xfId="0" applyNumberFormat="1" applyFont="1" applyBorder="1" applyAlignment="1">
      <alignment horizontal="center" vertical="center"/>
    </xf>
    <xf numFmtId="0" fontId="33" fillId="3" borderId="5" xfId="0" applyFont="1" applyFill="1" applyBorder="1" applyAlignment="1">
      <alignment horizontal="center" vertical="center"/>
    </xf>
    <xf numFmtId="0" fontId="33" fillId="3" borderId="6" xfId="0" applyFont="1" applyFill="1" applyBorder="1" applyAlignment="1">
      <alignment horizontal="center" vertical="center"/>
    </xf>
    <xf numFmtId="0" fontId="31" fillId="3" borderId="6" xfId="0" applyFont="1" applyFill="1" applyBorder="1" applyAlignment="1">
      <alignment horizontal="center" vertical="center" wrapText="1"/>
    </xf>
    <xf numFmtId="0" fontId="59" fillId="3" borderId="0" xfId="0" applyFont="1" applyFill="1" applyAlignment="1">
      <alignment horizontal="center" vertical="center"/>
    </xf>
    <xf numFmtId="0" fontId="31" fillId="3" borderId="0" xfId="0" applyFont="1" applyFill="1" applyAlignment="1">
      <alignment horizontal="center"/>
    </xf>
    <xf numFmtId="0" fontId="31" fillId="3" borderId="3" xfId="0" applyFont="1" applyFill="1" applyBorder="1" applyAlignment="1">
      <alignment horizontal="left" vertical="center"/>
    </xf>
    <xf numFmtId="0" fontId="31" fillId="3" borderId="4" xfId="1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horizontal="center" vertical="center"/>
    </xf>
    <xf numFmtId="0" fontId="31" fillId="3" borderId="4" xfId="0" applyFont="1" applyFill="1" applyBorder="1" applyAlignment="1">
      <alignment horizontal="center" vertical="center" wrapText="1"/>
    </xf>
    <xf numFmtId="0" fontId="31" fillId="14" borderId="0" xfId="0" applyFont="1" applyFill="1" applyAlignment="1">
      <alignment horizontal="left" vertical="center"/>
    </xf>
    <xf numFmtId="0" fontId="31" fillId="3" borderId="3" xfId="0" applyFont="1" applyFill="1" applyBorder="1" applyAlignment="1">
      <alignment horizontal="center" vertical="center"/>
    </xf>
    <xf numFmtId="0" fontId="31" fillId="3" borderId="4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1" fillId="14" borderId="0" xfId="0" applyFont="1" applyFill="1" applyAlignment="1">
      <alignment horizontal="left"/>
    </xf>
    <xf numFmtId="0" fontId="31" fillId="0" borderId="4" xfId="0" applyFont="1" applyBorder="1" applyAlignment="1">
      <alignment horizontal="center" vertical="center" wrapText="1"/>
    </xf>
    <xf numFmtId="0" fontId="33" fillId="3" borderId="1" xfId="2" applyFont="1" applyFill="1" applyBorder="1" applyAlignment="1">
      <alignment horizontal="center" vertical="center" wrapText="1"/>
    </xf>
    <xf numFmtId="0" fontId="33" fillId="3" borderId="3" xfId="2" applyFont="1" applyFill="1" applyBorder="1" applyAlignment="1">
      <alignment horizontal="center" vertical="center" wrapText="1"/>
    </xf>
    <xf numFmtId="0" fontId="33" fillId="3" borderId="4" xfId="2" applyFont="1" applyFill="1" applyBorder="1" applyAlignment="1">
      <alignment horizontal="center" vertical="center" wrapText="1"/>
    </xf>
    <xf numFmtId="0" fontId="32" fillId="3" borderId="0" xfId="2" applyFont="1" applyFill="1" applyAlignment="1">
      <alignment horizontal="center" vertical="center"/>
    </xf>
    <xf numFmtId="176" fontId="33" fillId="3" borderId="0" xfId="2" applyNumberFormat="1" applyFont="1" applyFill="1" applyAlignment="1" applyProtection="1">
      <alignment horizontal="center" vertical="center"/>
      <protection locked="0"/>
    </xf>
    <xf numFmtId="0" fontId="33" fillId="3" borderId="0" xfId="2" applyFont="1" applyFill="1" applyAlignment="1" applyProtection="1">
      <alignment horizontal="center" vertical="center"/>
      <protection locked="0"/>
    </xf>
    <xf numFmtId="0" fontId="31" fillId="3" borderId="0" xfId="2" applyFont="1" applyFill="1" applyAlignment="1">
      <alignment horizontal="left" vertical="center"/>
    </xf>
    <xf numFmtId="0" fontId="31" fillId="0" borderId="4" xfId="4" applyFont="1" applyBorder="1" applyAlignment="1" applyProtection="1">
      <alignment horizontal="center" vertical="center"/>
      <protection locked="0"/>
    </xf>
    <xf numFmtId="0" fontId="67" fillId="0" borderId="0" xfId="0" applyFont="1" applyAlignment="1">
      <alignment wrapText="1"/>
    </xf>
    <xf numFmtId="0" fontId="67" fillId="3" borderId="1" xfId="2" applyFont="1" applyFill="1" applyBorder="1" applyAlignment="1" applyProtection="1">
      <alignment horizontal="left" vertical="center"/>
      <protection locked="0"/>
    </xf>
    <xf numFmtId="0" fontId="67" fillId="0" borderId="4" xfId="2" applyFont="1" applyBorder="1" applyAlignment="1" applyProtection="1">
      <alignment horizontal="center" vertical="center"/>
      <protection locked="0"/>
    </xf>
    <xf numFmtId="0" fontId="31" fillId="0" borderId="4" xfId="0" applyFont="1" applyBorder="1" applyAlignment="1">
      <alignment horizontal="center"/>
    </xf>
    <xf numFmtId="1" fontId="31" fillId="0" borderId="4" xfId="4" applyNumberFormat="1" applyFont="1" applyFill="1" applyBorder="1" applyAlignment="1">
      <alignment horizontal="center" vertical="center"/>
    </xf>
    <xf numFmtId="0" fontId="99" fillId="0" borderId="42" xfId="0" applyFont="1" applyBorder="1" applyAlignment="1">
      <alignment horizontal="right" vertical="center"/>
    </xf>
    <xf numFmtId="0" fontId="99" fillId="0" borderId="19" xfId="0" applyFont="1" applyBorder="1" applyAlignment="1">
      <alignment horizontal="right" vertical="center"/>
    </xf>
    <xf numFmtId="0" fontId="99" fillId="0" borderId="61" xfId="0" applyFont="1" applyBorder="1" applyAlignment="1">
      <alignment horizontal="right" vertical="center"/>
    </xf>
    <xf numFmtId="0" fontId="36" fillId="0" borderId="0" xfId="0" applyFont="1" applyAlignment="1" applyProtection="1">
      <alignment horizontal="right" vertical="center"/>
      <protection locked="0"/>
    </xf>
    <xf numFmtId="0" fontId="36" fillId="0" borderId="0" xfId="0" applyFont="1" applyAlignment="1">
      <alignment horizontal="left"/>
    </xf>
    <xf numFmtId="0" fontId="31" fillId="5" borderId="0" xfId="0" applyFont="1" applyFill="1" applyAlignment="1">
      <alignment horizontal="left"/>
    </xf>
    <xf numFmtId="0" fontId="31" fillId="6" borderId="0" xfId="0" applyFont="1" applyFill="1"/>
    <xf numFmtId="0" fontId="31" fillId="7" borderId="0" xfId="0" applyFont="1" applyFill="1"/>
    <xf numFmtId="0" fontId="31" fillId="6" borderId="0" xfId="0" applyFont="1" applyFill="1" applyAlignment="1">
      <alignment horizontal="center"/>
    </xf>
    <xf numFmtId="0" fontId="31" fillId="0" borderId="0" xfId="3" applyFont="1"/>
    <xf numFmtId="0" fontId="31" fillId="0" borderId="0" xfId="0" applyFont="1" applyProtection="1">
      <protection locked="0"/>
    </xf>
    <xf numFmtId="0" fontId="31" fillId="7" borderId="0" xfId="0" applyFont="1" applyFill="1" applyAlignment="1">
      <alignment horizontal="center"/>
    </xf>
    <xf numFmtId="0" fontId="31" fillId="0" borderId="4" xfId="0" applyFont="1" applyBorder="1"/>
    <xf numFmtId="0" fontId="100" fillId="0" borderId="0" xfId="0" applyFont="1"/>
    <xf numFmtId="0" fontId="31" fillId="0" borderId="20" xfId="0" applyFont="1" applyBorder="1"/>
    <xf numFmtId="0" fontId="31" fillId="0" borderId="21" xfId="0" applyFont="1" applyBorder="1"/>
    <xf numFmtId="0" fontId="31" fillId="0" borderId="23" xfId="0" applyFont="1" applyBorder="1"/>
    <xf numFmtId="0" fontId="31" fillId="0" borderId="0" xfId="0" applyFont="1" applyBorder="1"/>
    <xf numFmtId="0" fontId="57" fillId="0" borderId="22" xfId="0" applyFont="1" applyBorder="1" applyAlignment="1">
      <alignment horizontal="center" vertical="center"/>
    </xf>
    <xf numFmtId="0" fontId="31" fillId="0" borderId="49" xfId="0" applyFont="1" applyBorder="1" applyAlignment="1">
      <alignment vertical="center"/>
    </xf>
    <xf numFmtId="0" fontId="31" fillId="0" borderId="22" xfId="0" applyFont="1" applyBorder="1"/>
    <xf numFmtId="0" fontId="31" fillId="0" borderId="24" xfId="0" applyFont="1" applyBorder="1"/>
    <xf numFmtId="1" fontId="31" fillId="0" borderId="4" xfId="0" applyNumberFormat="1" applyFont="1" applyBorder="1" applyAlignment="1">
      <alignment horizontal="center"/>
    </xf>
    <xf numFmtId="0" fontId="31" fillId="0" borderId="0" xfId="0" applyFont="1" applyFill="1" applyBorder="1"/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174" fontId="31" fillId="0" borderId="4" xfId="0" applyNumberFormat="1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 wrapText="1"/>
    </xf>
    <xf numFmtId="178" fontId="31" fillId="0" borderId="4" xfId="0" applyNumberFormat="1" applyFont="1" applyFill="1" applyBorder="1" applyAlignment="1">
      <alignment horizontal="center" vertical="center"/>
    </xf>
    <xf numFmtId="178" fontId="31" fillId="0" borderId="4" xfId="0" applyNumberFormat="1" applyFont="1" applyBorder="1"/>
    <xf numFmtId="178" fontId="31" fillId="0" borderId="0" xfId="0" applyNumberFormat="1" applyFont="1" applyFill="1" applyBorder="1"/>
    <xf numFmtId="0" fontId="31" fillId="0" borderId="34" xfId="0" applyFont="1" applyBorder="1"/>
    <xf numFmtId="0" fontId="31" fillId="0" borderId="35" xfId="0" applyFont="1" applyFill="1" applyBorder="1"/>
    <xf numFmtId="0" fontId="100" fillId="0" borderId="22" xfId="0" applyFont="1" applyBorder="1" applyAlignment="1">
      <alignment horizontal="center" vertical="center"/>
    </xf>
    <xf numFmtId="0" fontId="101" fillId="0" borderId="0" xfId="0" applyFont="1" applyBorder="1"/>
    <xf numFmtId="166" fontId="31" fillId="0" borderId="4" xfId="2" applyNumberFormat="1" applyFont="1" applyFill="1" applyBorder="1" applyAlignment="1" applyProtection="1">
      <alignment horizontal="center" vertical="center"/>
      <protection locked="0"/>
    </xf>
    <xf numFmtId="166" fontId="31" fillId="0" borderId="0" xfId="2" applyNumberFormat="1" applyFont="1" applyFill="1" applyBorder="1" applyAlignment="1" applyProtection="1">
      <alignment horizontal="center" vertical="center"/>
      <protection locked="0"/>
    </xf>
    <xf numFmtId="166" fontId="31" fillId="0" borderId="0" xfId="2" applyNumberFormat="1" applyFont="1" applyFill="1" applyBorder="1" applyAlignment="1" applyProtection="1">
      <alignment horizontal="left" vertical="center"/>
      <protection locked="0"/>
    </xf>
    <xf numFmtId="166" fontId="31" fillId="0" borderId="4" xfId="2" applyNumberFormat="1" applyFont="1" applyFill="1" applyBorder="1" applyAlignment="1" applyProtection="1">
      <alignment horizontal="center"/>
      <protection locked="0"/>
    </xf>
    <xf numFmtId="0" fontId="31" fillId="0" borderId="4" xfId="2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2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left" vertical="center"/>
    </xf>
    <xf numFmtId="2" fontId="31" fillId="0" borderId="0" xfId="0" applyNumberFormat="1" applyFont="1" applyBorder="1" applyAlignment="1">
      <alignment horizontal="center"/>
    </xf>
    <xf numFmtId="166" fontId="31" fillId="0" borderId="0" xfId="0" applyNumberFormat="1" applyFont="1" applyBorder="1" applyAlignment="1">
      <alignment horizontal="center"/>
    </xf>
    <xf numFmtId="0" fontId="31" fillId="3" borderId="4" xfId="2" applyFont="1" applyFill="1" applyBorder="1"/>
    <xf numFmtId="2" fontId="31" fillId="0" borderId="4" xfId="2" applyNumberFormat="1" applyFont="1" applyBorder="1" applyAlignment="1">
      <alignment horizontal="center" vertical="center"/>
    </xf>
    <xf numFmtId="0" fontId="31" fillId="0" borderId="24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101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wrapText="1"/>
    </xf>
    <xf numFmtId="174" fontId="31" fillId="3" borderId="9" xfId="0" applyNumberFormat="1" applyFont="1" applyFill="1" applyBorder="1" applyAlignment="1">
      <alignment horizontal="center" vertical="center"/>
    </xf>
    <xf numFmtId="174" fontId="31" fillId="3" borderId="12" xfId="0" applyNumberFormat="1" applyFont="1" applyFill="1" applyBorder="1" applyAlignment="1">
      <alignment horizontal="center" vertical="center"/>
    </xf>
    <xf numFmtId="0" fontId="31" fillId="0" borderId="0" xfId="0" applyFont="1" applyBorder="1" applyAlignment="1">
      <alignment horizontal="right"/>
    </xf>
    <xf numFmtId="174" fontId="31" fillId="3" borderId="41" xfId="0" applyNumberFormat="1" applyFont="1" applyFill="1" applyBorder="1" applyAlignment="1">
      <alignment horizontal="center" vertical="center"/>
    </xf>
    <xf numFmtId="174" fontId="31" fillId="3" borderId="16" xfId="0" applyNumberFormat="1" applyFont="1" applyFill="1" applyBorder="1" applyAlignment="1">
      <alignment horizontal="center" vertical="center"/>
    </xf>
    <xf numFmtId="178" fontId="31" fillId="0" borderId="0" xfId="0" applyNumberFormat="1" applyFont="1" applyBorder="1"/>
    <xf numFmtId="0" fontId="84" fillId="0" borderId="0" xfId="0" applyFont="1" applyBorder="1"/>
    <xf numFmtId="0" fontId="84" fillId="0" borderId="24" xfId="0" applyFont="1" applyBorder="1"/>
    <xf numFmtId="0" fontId="101" fillId="0" borderId="4" xfId="0" applyFont="1" applyBorder="1" applyAlignment="1">
      <alignment horizontal="center" vertical="center" wrapText="1"/>
    </xf>
    <xf numFmtId="2" fontId="31" fillId="0" borderId="4" xfId="4" applyNumberFormat="1" applyFont="1" applyFill="1" applyBorder="1" applyAlignment="1">
      <alignment horizontal="center"/>
    </xf>
    <xf numFmtId="2" fontId="31" fillId="0" borderId="4" xfId="0" applyNumberFormat="1" applyFont="1" applyBorder="1" applyAlignment="1">
      <alignment horizontal="center"/>
    </xf>
    <xf numFmtId="2" fontId="31" fillId="0" borderId="22" xfId="0" applyNumberFormat="1" applyFont="1" applyBorder="1"/>
    <xf numFmtId="0" fontId="31" fillId="0" borderId="30" xfId="4" applyFont="1" applyBorder="1" applyAlignment="1" applyProtection="1">
      <alignment horizontal="center" vertical="center"/>
      <protection locked="0"/>
    </xf>
    <xf numFmtId="0" fontId="31" fillId="0" borderId="1" xfId="4" applyFont="1" applyBorder="1" applyProtection="1">
      <protection locked="0"/>
    </xf>
    <xf numFmtId="0" fontId="31" fillId="0" borderId="2" xfId="4" applyFont="1" applyBorder="1" applyProtection="1">
      <protection locked="0"/>
    </xf>
    <xf numFmtId="0" fontId="31" fillId="0" borderId="47" xfId="4" applyFont="1" applyBorder="1" applyProtection="1">
      <protection locked="0"/>
    </xf>
    <xf numFmtId="0" fontId="31" fillId="0" borderId="34" xfId="4" applyFont="1" applyBorder="1" applyProtection="1">
      <protection locked="0"/>
    </xf>
    <xf numFmtId="0" fontId="31" fillId="0" borderId="35" xfId="4" applyFont="1" applyBorder="1" applyProtection="1">
      <protection locked="0"/>
    </xf>
    <xf numFmtId="0" fontId="31" fillId="0" borderId="44" xfId="4" applyFont="1" applyBorder="1" applyProtection="1">
      <protection locked="0"/>
    </xf>
    <xf numFmtId="0" fontId="31" fillId="0" borderId="38" xfId="4" applyFont="1" applyBorder="1" applyProtection="1">
      <protection locked="0"/>
    </xf>
    <xf numFmtId="0" fontId="31" fillId="0" borderId="2" xfId="4" applyFont="1" applyBorder="1" applyAlignment="1" applyProtection="1">
      <alignment horizontal="center" vertical="center"/>
      <protection locked="0"/>
    </xf>
    <xf numFmtId="0" fontId="31" fillId="0" borderId="2" xfId="4" applyFont="1" applyBorder="1" applyAlignment="1" applyProtection="1">
      <alignment vertical="center"/>
      <protection locked="0"/>
    </xf>
    <xf numFmtId="0" fontId="31" fillId="0" borderId="4" xfId="4" applyFont="1" applyBorder="1" applyAlignment="1" applyProtection="1">
      <alignment vertical="center"/>
      <protection locked="0"/>
    </xf>
    <xf numFmtId="0" fontId="31" fillId="0" borderId="13" xfId="4" applyFont="1" applyBorder="1" applyAlignment="1" applyProtection="1">
      <alignment horizontal="center" vertical="center"/>
      <protection locked="0"/>
    </xf>
    <xf numFmtId="0" fontId="31" fillId="10" borderId="38" xfId="2" applyFont="1" applyFill="1" applyBorder="1" applyAlignment="1" applyProtection="1">
      <alignment vertical="center"/>
      <protection locked="0"/>
    </xf>
    <xf numFmtId="0" fontId="31" fillId="10" borderId="2" xfId="2" applyFont="1" applyFill="1" applyBorder="1" applyAlignment="1" applyProtection="1">
      <alignment horizontal="center" vertical="center"/>
      <protection locked="0"/>
    </xf>
    <xf numFmtId="0" fontId="31" fillId="10" borderId="2" xfId="2" applyFont="1" applyFill="1" applyBorder="1" applyAlignment="1" applyProtection="1">
      <alignment vertical="center"/>
      <protection locked="0"/>
    </xf>
    <xf numFmtId="0" fontId="31" fillId="10" borderId="3" xfId="2" applyFont="1" applyFill="1" applyBorder="1" applyAlignment="1" applyProtection="1">
      <alignment vertical="center"/>
      <protection locked="0"/>
    </xf>
    <xf numFmtId="0" fontId="31" fillId="10" borderId="1" xfId="2" applyFont="1" applyFill="1" applyBorder="1" applyAlignment="1" applyProtection="1">
      <alignment vertical="center"/>
      <protection locked="0"/>
    </xf>
    <xf numFmtId="0" fontId="31" fillId="10" borderId="28" xfId="2" applyFont="1" applyFill="1" applyBorder="1" applyAlignment="1" applyProtection="1">
      <alignment horizontal="center" vertical="center"/>
      <protection locked="0"/>
    </xf>
    <xf numFmtId="0" fontId="31" fillId="10" borderId="9" xfId="2" applyFont="1" applyFill="1" applyBorder="1" applyAlignment="1" applyProtection="1">
      <alignment horizontal="center" vertical="center"/>
      <protection locked="0"/>
    </xf>
    <xf numFmtId="0" fontId="31" fillId="10" borderId="47" xfId="2" applyFont="1" applyFill="1" applyBorder="1" applyAlignment="1" applyProtection="1">
      <alignment horizontal="center" vertical="center"/>
      <protection locked="0"/>
    </xf>
    <xf numFmtId="0" fontId="31" fillId="10" borderId="30" xfId="2" applyFont="1" applyFill="1" applyBorder="1" applyAlignment="1" applyProtection="1">
      <alignment horizontal="center" vertical="center"/>
      <protection locked="0"/>
    </xf>
    <xf numFmtId="0" fontId="31" fillId="10" borderId="13" xfId="2" applyFont="1" applyFill="1" applyBorder="1" applyAlignment="1" applyProtection="1">
      <alignment horizontal="center" vertical="center"/>
      <protection locked="0"/>
    </xf>
    <xf numFmtId="0" fontId="31" fillId="10" borderId="29" xfId="2" applyFont="1" applyFill="1" applyBorder="1" applyAlignment="1" applyProtection="1">
      <alignment horizontal="center" vertical="center"/>
      <protection locked="0"/>
    </xf>
    <xf numFmtId="0" fontId="31" fillId="10" borderId="11" xfId="2" quotePrefix="1" applyFont="1" applyFill="1" applyBorder="1" applyAlignment="1" applyProtection="1">
      <alignment horizontal="center" vertical="center"/>
      <protection locked="0"/>
    </xf>
    <xf numFmtId="0" fontId="31" fillId="10" borderId="13" xfId="2" quotePrefix="1" applyFont="1" applyFill="1" applyBorder="1" applyAlignment="1" applyProtection="1">
      <alignment horizontal="center" vertical="center"/>
      <protection locked="0"/>
    </xf>
    <xf numFmtId="0" fontId="13" fillId="3" borderId="0" xfId="0" applyFont="1" applyFill="1" applyAlignment="1">
      <alignment horizontal="center" vertical="center"/>
    </xf>
    <xf numFmtId="0" fontId="32" fillId="3" borderId="0" xfId="0" quotePrefix="1" applyFont="1" applyFill="1" applyAlignment="1">
      <alignment horizontal="center" vertical="center"/>
    </xf>
    <xf numFmtId="0" fontId="32" fillId="3" borderId="0" xfId="0" applyFont="1" applyFill="1" applyAlignment="1">
      <alignment horizontal="center" vertical="center"/>
    </xf>
    <xf numFmtId="0" fontId="31" fillId="3" borderId="64" xfId="0" applyFont="1" applyFill="1" applyBorder="1" applyAlignment="1">
      <alignment horizontal="center" vertical="center"/>
    </xf>
    <xf numFmtId="0" fontId="31" fillId="3" borderId="65" xfId="0" applyFont="1" applyFill="1" applyBorder="1" applyAlignment="1">
      <alignment horizontal="center" vertical="center"/>
    </xf>
    <xf numFmtId="0" fontId="31" fillId="0" borderId="4" xfId="1" applyFont="1" applyBorder="1" applyAlignment="1">
      <alignment horizontal="center" vertical="top" wrapText="1"/>
    </xf>
    <xf numFmtId="0" fontId="31" fillId="0" borderId="4" xfId="1" applyFont="1" applyBorder="1" applyAlignment="1">
      <alignment horizontal="center" vertical="top"/>
    </xf>
    <xf numFmtId="0" fontId="33" fillId="0" borderId="42" xfId="1" applyFont="1" applyBorder="1" applyAlignment="1">
      <alignment horizontal="center" vertical="center" wrapText="1"/>
    </xf>
    <xf numFmtId="0" fontId="33" fillId="0" borderId="60" xfId="1" applyFont="1" applyBorder="1" applyAlignment="1">
      <alignment horizontal="center" vertical="center" wrapText="1"/>
    </xf>
    <xf numFmtId="0" fontId="33" fillId="0" borderId="61" xfId="1" applyFont="1" applyBorder="1" applyAlignment="1">
      <alignment horizontal="center" vertical="center" wrapText="1"/>
    </xf>
    <xf numFmtId="0" fontId="33" fillId="0" borderId="63" xfId="1" applyFont="1" applyBorder="1" applyAlignment="1">
      <alignment horizontal="center" vertical="center" wrapText="1"/>
    </xf>
    <xf numFmtId="0" fontId="33" fillId="3" borderId="42" xfId="0" applyFont="1" applyFill="1" applyBorder="1" applyAlignment="1">
      <alignment horizontal="center" vertical="center" wrapText="1"/>
    </xf>
    <xf numFmtId="0" fontId="33" fillId="3" borderId="60" xfId="0" applyFont="1" applyFill="1" applyBorder="1" applyAlignment="1">
      <alignment horizontal="center" vertical="center" wrapText="1"/>
    </xf>
    <xf numFmtId="0" fontId="33" fillId="3" borderId="61" xfId="0" applyFont="1" applyFill="1" applyBorder="1" applyAlignment="1">
      <alignment horizontal="center" vertical="center" wrapText="1"/>
    </xf>
    <xf numFmtId="0" fontId="33" fillId="3" borderId="63" xfId="0" applyFont="1" applyFill="1" applyBorder="1" applyAlignment="1">
      <alignment horizontal="center" vertical="center" wrapText="1"/>
    </xf>
    <xf numFmtId="0" fontId="33" fillId="3" borderId="42" xfId="0" applyFont="1" applyFill="1" applyBorder="1" applyAlignment="1">
      <alignment horizontal="center" vertical="center"/>
    </xf>
    <xf numFmtId="0" fontId="33" fillId="3" borderId="59" xfId="0" applyFont="1" applyFill="1" applyBorder="1" applyAlignment="1">
      <alignment horizontal="center" vertical="center"/>
    </xf>
    <xf numFmtId="0" fontId="33" fillId="3" borderId="60" xfId="0" applyFont="1" applyFill="1" applyBorder="1" applyAlignment="1">
      <alignment horizontal="center" vertical="center"/>
    </xf>
    <xf numFmtId="0" fontId="33" fillId="3" borderId="61" xfId="0" applyFont="1" applyFill="1" applyBorder="1" applyAlignment="1">
      <alignment horizontal="center" vertical="center"/>
    </xf>
    <xf numFmtId="0" fontId="33" fillId="3" borderId="62" xfId="0" applyFont="1" applyFill="1" applyBorder="1" applyAlignment="1">
      <alignment horizontal="center" vertical="center"/>
    </xf>
    <xf numFmtId="0" fontId="33" fillId="3" borderId="63" xfId="0" applyFont="1" applyFill="1" applyBorder="1" applyAlignment="1">
      <alignment horizontal="center" vertical="center"/>
    </xf>
    <xf numFmtId="0" fontId="31" fillId="0" borderId="4" xfId="1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/>
    </xf>
    <xf numFmtId="170" fontId="31" fillId="3" borderId="5" xfId="0" applyNumberFormat="1" applyFont="1" applyFill="1" applyBorder="1" applyAlignment="1">
      <alignment horizontal="center" vertical="center" textRotation="45"/>
    </xf>
    <xf numFmtId="170" fontId="31" fillId="3" borderId="57" xfId="0" applyNumberFormat="1" applyFont="1" applyFill="1" applyBorder="1" applyAlignment="1">
      <alignment horizontal="center" vertical="center" textRotation="45"/>
    </xf>
    <xf numFmtId="170" fontId="31" fillId="3" borderId="6" xfId="0" applyNumberFormat="1" applyFont="1" applyFill="1" applyBorder="1" applyAlignment="1">
      <alignment horizontal="center" vertical="center" textRotation="45"/>
    </xf>
    <xf numFmtId="0" fontId="33" fillId="3" borderId="5" xfId="0" applyFont="1" applyFill="1" applyBorder="1" applyAlignment="1">
      <alignment horizontal="center" vertical="center"/>
    </xf>
    <xf numFmtId="0" fontId="33" fillId="3" borderId="6" xfId="0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horizontal="center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31" fillId="3" borderId="57" xfId="0" applyFont="1" applyFill="1" applyBorder="1" applyAlignment="1">
      <alignment horizontal="center" vertical="center" wrapText="1"/>
    </xf>
    <xf numFmtId="0" fontId="31" fillId="3" borderId="6" xfId="0" applyFont="1" applyFill="1" applyBorder="1" applyAlignment="1">
      <alignment horizontal="center" vertical="center" wrapText="1"/>
    </xf>
    <xf numFmtId="2" fontId="31" fillId="3" borderId="5" xfId="0" quotePrefix="1" applyNumberFormat="1" applyFont="1" applyFill="1" applyBorder="1" applyAlignment="1">
      <alignment horizontal="center" vertical="center" wrapText="1"/>
    </xf>
    <xf numFmtId="2" fontId="31" fillId="3" borderId="57" xfId="0" applyNumberFormat="1" applyFont="1" applyFill="1" applyBorder="1" applyAlignment="1">
      <alignment horizontal="center" vertical="center" wrapText="1"/>
    </xf>
    <xf numFmtId="2" fontId="31" fillId="3" borderId="6" xfId="0" applyNumberFormat="1" applyFont="1" applyFill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9" fillId="3" borderId="0" xfId="0" applyFont="1" applyFill="1" applyAlignment="1">
      <alignment horizontal="center"/>
    </xf>
    <xf numFmtId="0" fontId="71" fillId="11" borderId="1" xfId="0" applyFont="1" applyFill="1" applyBorder="1" applyAlignment="1">
      <alignment horizontal="center" vertical="center"/>
    </xf>
    <xf numFmtId="0" fontId="71" fillId="11" borderId="3" xfId="0" applyFont="1" applyFill="1" applyBorder="1" applyAlignment="1">
      <alignment horizontal="center" vertical="center"/>
    </xf>
    <xf numFmtId="0" fontId="71" fillId="11" borderId="1" xfId="0" quotePrefix="1" applyFont="1" applyFill="1" applyBorder="1" applyAlignment="1">
      <alignment horizontal="center" vertical="center"/>
    </xf>
    <xf numFmtId="0" fontId="71" fillId="11" borderId="3" xfId="0" quotePrefix="1" applyFont="1" applyFill="1" applyBorder="1" applyAlignment="1">
      <alignment horizontal="center" vertical="center"/>
    </xf>
    <xf numFmtId="0" fontId="15" fillId="3" borderId="4" xfId="2" applyFont="1" applyFill="1" applyBorder="1" applyAlignment="1">
      <alignment horizontal="left"/>
    </xf>
    <xf numFmtId="0" fontId="42" fillId="3" borderId="4" xfId="2" applyFont="1" applyFill="1" applyBorder="1" applyAlignment="1">
      <alignment horizontal="left"/>
    </xf>
    <xf numFmtId="0" fontId="43" fillId="3" borderId="4" xfId="2" applyFont="1" applyFill="1" applyBorder="1" applyAlignment="1">
      <alignment horizontal="left"/>
    </xf>
    <xf numFmtId="0" fontId="8" fillId="3" borderId="4" xfId="2" applyFont="1" applyFill="1" applyBorder="1" applyAlignment="1">
      <alignment horizontal="left"/>
    </xf>
    <xf numFmtId="0" fontId="79" fillId="0" borderId="25" xfId="0" applyFont="1" applyBorder="1" applyAlignment="1">
      <alignment horizontal="center" vertical="center"/>
    </xf>
    <xf numFmtId="0" fontId="79" fillId="0" borderId="26" xfId="0" applyFont="1" applyBorder="1" applyAlignment="1">
      <alignment horizontal="center" vertical="center"/>
    </xf>
    <xf numFmtId="0" fontId="79" fillId="0" borderId="27" xfId="0" applyFont="1" applyBorder="1" applyAlignment="1">
      <alignment horizontal="center" vertical="center"/>
    </xf>
    <xf numFmtId="0" fontId="75" fillId="0" borderId="1" xfId="0" applyFont="1" applyBorder="1" applyAlignment="1">
      <alignment horizontal="left" vertical="top"/>
    </xf>
    <xf numFmtId="0" fontId="75" fillId="0" borderId="2" xfId="0" applyFont="1" applyBorder="1" applyAlignment="1">
      <alignment horizontal="left" vertical="top"/>
    </xf>
    <xf numFmtId="0" fontId="75" fillId="0" borderId="3" xfId="0" applyFont="1" applyBorder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55" fillId="6" borderId="0" xfId="0" applyFont="1" applyFill="1" applyAlignment="1">
      <alignment horizontal="center" vertical="center"/>
    </xf>
    <xf numFmtId="0" fontId="44" fillId="3" borderId="36" xfId="0" applyFont="1" applyFill="1" applyBorder="1" applyAlignment="1">
      <alignment horizontal="center"/>
    </xf>
    <xf numFmtId="0" fontId="44" fillId="3" borderId="37" xfId="0" applyFont="1" applyFill="1" applyBorder="1" applyAlignment="1">
      <alignment horizontal="center"/>
    </xf>
    <xf numFmtId="0" fontId="44" fillId="3" borderId="45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5" fontId="31" fillId="14" borderId="0" xfId="0" quotePrefix="1" applyNumberFormat="1" applyFont="1" applyFill="1" applyAlignment="1">
      <alignment horizontal="center"/>
    </xf>
    <xf numFmtId="0" fontId="32" fillId="0" borderId="5" xfId="0" applyFont="1" applyBorder="1" applyAlignment="1">
      <alignment horizontal="center" vertical="center"/>
    </xf>
    <xf numFmtId="0" fontId="32" fillId="0" borderId="57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90" fillId="3" borderId="19" xfId="1" applyFont="1" applyFill="1" applyBorder="1" applyAlignment="1">
      <alignment horizontal="center" vertical="center"/>
    </xf>
    <xf numFmtId="0" fontId="90" fillId="3" borderId="61" xfId="1" applyFont="1" applyFill="1" applyBorder="1" applyAlignment="1">
      <alignment horizontal="center" vertical="center"/>
    </xf>
    <xf numFmtId="0" fontId="59" fillId="3" borderId="0" xfId="0" applyFont="1" applyFill="1" applyAlignment="1">
      <alignment horizontal="center" vertical="center"/>
    </xf>
    <xf numFmtId="0" fontId="31" fillId="3" borderId="0" xfId="0" applyFont="1" applyFill="1" applyAlignment="1">
      <alignment horizontal="center"/>
    </xf>
    <xf numFmtId="0" fontId="31" fillId="3" borderId="1" xfId="0" applyFont="1" applyFill="1" applyBorder="1" applyAlignment="1">
      <alignment horizontal="left" vertical="center"/>
    </xf>
    <xf numFmtId="0" fontId="31" fillId="3" borderId="2" xfId="0" applyFont="1" applyFill="1" applyBorder="1" applyAlignment="1">
      <alignment horizontal="left" vertical="center"/>
    </xf>
    <xf numFmtId="0" fontId="31" fillId="3" borderId="3" xfId="0" applyFont="1" applyFill="1" applyBorder="1" applyAlignment="1">
      <alignment horizontal="left" vertical="center"/>
    </xf>
    <xf numFmtId="0" fontId="31" fillId="3" borderId="4" xfId="1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horizontal="center" vertical="center"/>
    </xf>
    <xf numFmtId="0" fontId="31" fillId="3" borderId="4" xfId="0" applyFont="1" applyFill="1" applyBorder="1" applyAlignment="1">
      <alignment horizontal="center" vertical="center" wrapText="1"/>
    </xf>
    <xf numFmtId="0" fontId="31" fillId="14" borderId="0" xfId="0" applyFont="1" applyFill="1" applyAlignment="1">
      <alignment horizontal="left" vertical="center"/>
    </xf>
    <xf numFmtId="167" fontId="31" fillId="14" borderId="0" xfId="0" quotePrefix="1" applyNumberFormat="1" applyFont="1" applyFill="1" applyAlignment="1">
      <alignment horizontal="left"/>
    </xf>
    <xf numFmtId="167" fontId="31" fillId="14" borderId="0" xfId="0" applyNumberFormat="1" applyFont="1" applyFill="1" applyAlignment="1">
      <alignment horizontal="left"/>
    </xf>
    <xf numFmtId="0" fontId="31" fillId="3" borderId="3" xfId="0" applyFont="1" applyFill="1" applyBorder="1" applyAlignment="1">
      <alignment horizontal="center" vertical="center"/>
    </xf>
    <xf numFmtId="0" fontId="31" fillId="3" borderId="4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1" fillId="14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0" fontId="33" fillId="3" borderId="42" xfId="1" applyFont="1" applyFill="1" applyBorder="1" applyAlignment="1">
      <alignment horizontal="center" vertical="center" wrapText="1"/>
    </xf>
    <xf numFmtId="0" fontId="33" fillId="3" borderId="60" xfId="1" applyFont="1" applyFill="1" applyBorder="1" applyAlignment="1">
      <alignment horizontal="center" vertical="center" wrapText="1"/>
    </xf>
    <xf numFmtId="0" fontId="33" fillId="3" borderId="61" xfId="1" applyFont="1" applyFill="1" applyBorder="1" applyAlignment="1">
      <alignment horizontal="center" vertical="center" wrapText="1"/>
    </xf>
    <xf numFmtId="0" fontId="33" fillId="3" borderId="63" xfId="1" applyFont="1" applyFill="1" applyBorder="1" applyAlignment="1">
      <alignment horizontal="center" vertical="center" wrapText="1"/>
    </xf>
    <xf numFmtId="0" fontId="31" fillId="3" borderId="0" xfId="0" applyFont="1" applyFill="1" applyAlignment="1">
      <alignment horizontal="left" vertical="top" wrapText="1"/>
    </xf>
    <xf numFmtId="0" fontId="31" fillId="14" borderId="1" xfId="0" applyFont="1" applyFill="1" applyBorder="1" applyAlignment="1">
      <alignment horizontal="center" vertical="center"/>
    </xf>
    <xf numFmtId="0" fontId="31" fillId="14" borderId="2" xfId="0" applyFont="1" applyFill="1" applyBorder="1" applyAlignment="1">
      <alignment horizontal="center" vertical="center"/>
    </xf>
    <xf numFmtId="0" fontId="31" fillId="14" borderId="3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57" fillId="18" borderId="4" xfId="0" applyFont="1" applyFill="1" applyBorder="1" applyAlignment="1">
      <alignment horizontal="center"/>
    </xf>
    <xf numFmtId="0" fontId="57" fillId="18" borderId="4" xfId="0" applyFont="1" applyFill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3" fillId="3" borderId="1" xfId="2" applyFont="1" applyFill="1" applyBorder="1" applyAlignment="1">
      <alignment horizontal="center" vertical="center" wrapText="1"/>
    </xf>
    <xf numFmtId="0" fontId="33" fillId="3" borderId="2" xfId="2" applyFont="1" applyFill="1" applyBorder="1" applyAlignment="1">
      <alignment horizontal="center" vertical="center" wrapText="1"/>
    </xf>
    <xf numFmtId="0" fontId="33" fillId="3" borderId="3" xfId="2" applyFont="1" applyFill="1" applyBorder="1" applyAlignment="1">
      <alignment horizontal="center" vertical="center" wrapText="1"/>
    </xf>
    <xf numFmtId="1" fontId="31" fillId="0" borderId="1" xfId="2" applyNumberFormat="1" applyFont="1" applyBorder="1" applyAlignment="1">
      <alignment horizontal="center" vertical="center"/>
    </xf>
    <xf numFmtId="1" fontId="31" fillId="0" borderId="2" xfId="2" applyNumberFormat="1" applyFont="1" applyBorder="1" applyAlignment="1">
      <alignment horizontal="center" vertical="center"/>
    </xf>
    <xf numFmtId="1" fontId="31" fillId="0" borderId="3" xfId="2" applyNumberFormat="1" applyFont="1" applyBorder="1" applyAlignment="1">
      <alignment horizontal="center" vertical="center"/>
    </xf>
    <xf numFmtId="0" fontId="31" fillId="3" borderId="0" xfId="2" applyFont="1" applyFill="1" applyAlignment="1">
      <alignment horizontal="left" vertical="top" wrapText="1"/>
    </xf>
    <xf numFmtId="0" fontId="31" fillId="3" borderId="5" xfId="2" applyFont="1" applyFill="1" applyBorder="1" applyAlignment="1">
      <alignment horizontal="center" vertical="center" wrapText="1"/>
    </xf>
    <xf numFmtId="0" fontId="31" fillId="3" borderId="57" xfId="2" applyFont="1" applyFill="1" applyBorder="1" applyAlignment="1">
      <alignment horizontal="center" vertical="center" wrapText="1"/>
    </xf>
    <xf numFmtId="0" fontId="31" fillId="3" borderId="6" xfId="2" applyFont="1" applyFill="1" applyBorder="1" applyAlignment="1">
      <alignment horizontal="center" vertical="center" wrapText="1"/>
    </xf>
    <xf numFmtId="181" fontId="31" fillId="3" borderId="5" xfId="2" applyNumberFormat="1" applyFont="1" applyFill="1" applyBorder="1" applyAlignment="1">
      <alignment horizontal="center" vertical="center"/>
    </xf>
    <xf numFmtId="181" fontId="31" fillId="3" borderId="57" xfId="2" applyNumberFormat="1" applyFont="1" applyFill="1" applyBorder="1" applyAlignment="1">
      <alignment horizontal="center" vertical="center"/>
    </xf>
    <xf numFmtId="181" fontId="31" fillId="3" borderId="6" xfId="2" applyNumberFormat="1" applyFont="1" applyFill="1" applyBorder="1" applyAlignment="1">
      <alignment horizontal="center" vertical="center"/>
    </xf>
    <xf numFmtId="1" fontId="31" fillId="3" borderId="4" xfId="2" applyNumberFormat="1" applyFont="1" applyFill="1" applyBorder="1" applyAlignment="1">
      <alignment horizontal="center" vertical="center"/>
    </xf>
    <xf numFmtId="0" fontId="33" fillId="3" borderId="4" xfId="2" applyFont="1" applyFill="1" applyBorder="1" applyAlignment="1">
      <alignment horizontal="center" vertical="center" wrapText="1"/>
    </xf>
    <xf numFmtId="0" fontId="13" fillId="3" borderId="0" xfId="2" applyFont="1" applyFill="1" applyAlignment="1">
      <alignment horizontal="center" vertical="center"/>
    </xf>
    <xf numFmtId="0" fontId="32" fillId="3" borderId="0" xfId="2" applyFont="1" applyFill="1" applyAlignment="1">
      <alignment horizontal="center" vertical="center"/>
    </xf>
    <xf numFmtId="183" fontId="31" fillId="3" borderId="1" xfId="0" applyNumberFormat="1" applyFont="1" applyFill="1" applyBorder="1" applyAlignment="1">
      <alignment horizontal="center" vertical="center"/>
    </xf>
    <xf numFmtId="183" fontId="31" fillId="3" borderId="3" xfId="0" applyNumberFormat="1" applyFont="1" applyFill="1" applyBorder="1" applyAlignment="1">
      <alignment horizontal="center" vertical="center"/>
    </xf>
    <xf numFmtId="0" fontId="31" fillId="3" borderId="4" xfId="0" applyFont="1" applyFill="1" applyBorder="1" applyAlignment="1">
      <alignment horizontal="left" vertical="center"/>
    </xf>
    <xf numFmtId="182" fontId="31" fillId="3" borderId="1" xfId="0" applyNumberFormat="1" applyFont="1" applyFill="1" applyBorder="1" applyAlignment="1">
      <alignment horizontal="center" vertical="center"/>
    </xf>
    <xf numFmtId="182" fontId="31" fillId="3" borderId="3" xfId="0" applyNumberFormat="1" applyFont="1" applyFill="1" applyBorder="1" applyAlignment="1">
      <alignment horizontal="center" vertical="center"/>
    </xf>
    <xf numFmtId="164" fontId="31" fillId="3" borderId="1" xfId="0" applyNumberFormat="1" applyFont="1" applyFill="1" applyBorder="1" applyAlignment="1">
      <alignment horizontal="center" vertical="center"/>
    </xf>
    <xf numFmtId="164" fontId="31" fillId="3" borderId="3" xfId="0" applyNumberFormat="1" applyFont="1" applyFill="1" applyBorder="1" applyAlignment="1">
      <alignment horizontal="center" vertical="center"/>
    </xf>
    <xf numFmtId="185" fontId="31" fillId="3" borderId="0" xfId="2" applyNumberFormat="1" applyFont="1" applyFill="1" applyAlignment="1">
      <alignment horizontal="left" vertical="center"/>
    </xf>
    <xf numFmtId="0" fontId="67" fillId="0" borderId="1" xfId="2" applyFont="1" applyBorder="1" applyAlignment="1" applyProtection="1">
      <alignment horizontal="center" vertical="center"/>
      <protection locked="0"/>
    </xf>
    <xf numFmtId="0" fontId="67" fillId="0" borderId="3" xfId="2" applyFont="1" applyBorder="1" applyAlignment="1" applyProtection="1">
      <alignment horizontal="center" vertical="center"/>
      <protection locked="0"/>
    </xf>
    <xf numFmtId="176" fontId="33" fillId="3" borderId="0" xfId="2" applyNumberFormat="1" applyFont="1" applyFill="1" applyAlignment="1" applyProtection="1">
      <alignment horizontal="center" vertical="center"/>
      <protection locked="0"/>
    </xf>
    <xf numFmtId="0" fontId="33" fillId="3" borderId="0" xfId="2" applyFont="1" applyFill="1" applyAlignment="1" applyProtection="1">
      <alignment horizontal="center" vertical="center"/>
      <protection locked="0"/>
    </xf>
    <xf numFmtId="171" fontId="39" fillId="6" borderId="4" xfId="0" applyNumberFormat="1" applyFont="1" applyFill="1" applyBorder="1" applyAlignment="1" applyProtection="1">
      <alignment horizontal="center" vertical="center"/>
      <protection locked="0"/>
    </xf>
    <xf numFmtId="0" fontId="31" fillId="0" borderId="1" xfId="2" applyFont="1" applyBorder="1" applyAlignment="1" applyProtection="1">
      <alignment horizontal="center" vertical="center"/>
      <protection locked="0"/>
    </xf>
    <xf numFmtId="0" fontId="31" fillId="0" borderId="2" xfId="2" applyFont="1" applyBorder="1" applyAlignment="1" applyProtection="1">
      <alignment horizontal="center" vertical="center"/>
      <protection locked="0"/>
    </xf>
    <xf numFmtId="0" fontId="31" fillId="0" borderId="3" xfId="2" applyFont="1" applyBorder="1" applyAlignment="1" applyProtection="1">
      <alignment horizontal="center" vertical="center"/>
      <protection locked="0"/>
    </xf>
    <xf numFmtId="0" fontId="31" fillId="0" borderId="4" xfId="0" applyFont="1" applyBorder="1" applyAlignment="1" applyProtection="1">
      <alignment horizontal="center" vertical="center"/>
      <protection locked="0"/>
    </xf>
    <xf numFmtId="0" fontId="67" fillId="3" borderId="3" xfId="2" applyFont="1" applyFill="1" applyBorder="1" applyAlignment="1" applyProtection="1">
      <alignment horizontal="center" vertical="center"/>
      <protection locked="0"/>
    </xf>
    <xf numFmtId="0" fontId="67" fillId="3" borderId="4" xfId="2" applyFont="1" applyFill="1" applyBorder="1" applyAlignment="1" applyProtection="1">
      <alignment horizontal="center" vertical="center"/>
      <protection locked="0"/>
    </xf>
    <xf numFmtId="0" fontId="67" fillId="0" borderId="4" xfId="2" applyFont="1" applyBorder="1" applyAlignment="1" applyProtection="1">
      <alignment horizontal="center" vertical="center"/>
      <protection locked="0"/>
    </xf>
    <xf numFmtId="0" fontId="33" fillId="3" borderId="5" xfId="0" applyFont="1" applyFill="1" applyBorder="1" applyAlignment="1">
      <alignment horizontal="center" vertical="center" wrapText="1"/>
    </xf>
    <xf numFmtId="0" fontId="33" fillId="3" borderId="6" xfId="0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/>
    </xf>
    <xf numFmtId="0" fontId="31" fillId="3" borderId="0" xfId="2" applyFont="1" applyFill="1" applyAlignment="1">
      <alignment horizontal="left" vertical="center"/>
    </xf>
    <xf numFmtId="0" fontId="33" fillId="3" borderId="5" xfId="2" applyFont="1" applyFill="1" applyBorder="1" applyAlignment="1">
      <alignment horizontal="center" vertical="center" wrapText="1"/>
    </xf>
    <xf numFmtId="181" fontId="31" fillId="3" borderId="42" xfId="2" applyNumberFormat="1" applyFont="1" applyFill="1" applyBorder="1" applyAlignment="1">
      <alignment horizontal="center" vertical="center"/>
    </xf>
    <xf numFmtId="181" fontId="31" fillId="3" borderId="19" xfId="2" applyNumberFormat="1" applyFont="1" applyFill="1" applyBorder="1" applyAlignment="1">
      <alignment horizontal="center" vertical="center"/>
    </xf>
    <xf numFmtId="181" fontId="31" fillId="3" borderId="61" xfId="2" applyNumberFormat="1" applyFont="1" applyFill="1" applyBorder="1" applyAlignment="1">
      <alignment horizontal="center" vertical="center"/>
    </xf>
    <xf numFmtId="0" fontId="7" fillId="0" borderId="0" xfId="5" applyFont="1" applyAlignment="1">
      <alignment horizontal="left" vertical="center" wrapText="1"/>
    </xf>
    <xf numFmtId="0" fontId="8" fillId="0" borderId="0" xfId="5" applyFont="1" applyAlignment="1">
      <alignment horizontal="left" vertical="center" wrapText="1"/>
    </xf>
    <xf numFmtId="0" fontId="7" fillId="0" borderId="0" xfId="5" applyFont="1" applyAlignment="1">
      <alignment horizontal="left" vertical="top" wrapText="1"/>
    </xf>
    <xf numFmtId="0" fontId="7" fillId="6" borderId="0" xfId="5" applyFont="1" applyFill="1" applyAlignment="1">
      <alignment horizontal="justify" vertical="center" wrapText="1"/>
    </xf>
    <xf numFmtId="0" fontId="7" fillId="0" borderId="0" xfId="5" applyFont="1" applyAlignment="1" applyProtection="1">
      <alignment horizontal="left" vertical="center" wrapText="1"/>
    </xf>
    <xf numFmtId="185" fontId="7" fillId="0" borderId="0" xfId="5" applyNumberFormat="1" applyFont="1" applyAlignment="1">
      <alignment horizontal="left" vertical="top" wrapText="1"/>
    </xf>
    <xf numFmtId="185" fontId="7" fillId="0" borderId="0" xfId="5" applyNumberFormat="1" applyFont="1" applyAlignment="1">
      <alignment horizontal="left" vertical="center" wrapText="1"/>
    </xf>
    <xf numFmtId="0" fontId="7" fillId="0" borderId="0" xfId="5" applyFont="1" applyAlignment="1" applyProtection="1">
      <alignment horizontal="left" vertical="top" wrapText="1"/>
    </xf>
    <xf numFmtId="0" fontId="7" fillId="0" borderId="0" xfId="5" applyFont="1" applyAlignment="1" applyProtection="1">
      <alignment horizontal="left" vertical="top" wrapText="1"/>
      <protection locked="0"/>
    </xf>
    <xf numFmtId="0" fontId="7" fillId="0" borderId="0" xfId="5" applyFont="1" applyAlignment="1" applyProtection="1">
      <alignment horizontal="justify" vertical="top" wrapText="1"/>
      <protection locked="0"/>
    </xf>
    <xf numFmtId="0" fontId="7" fillId="0" borderId="1" xfId="5" applyFont="1" applyBorder="1" applyAlignment="1">
      <alignment horizontal="left" vertical="top" wrapText="1"/>
    </xf>
    <xf numFmtId="0" fontId="7" fillId="0" borderId="2" xfId="5" applyFont="1" applyBorder="1" applyAlignment="1">
      <alignment horizontal="left" vertical="top" wrapText="1"/>
    </xf>
    <xf numFmtId="0" fontId="92" fillId="0" borderId="0" xfId="5" applyFont="1" applyAlignment="1" applyProtection="1">
      <alignment horizontal="center" vertical="center"/>
      <protection locked="0"/>
    </xf>
    <xf numFmtId="0" fontId="7" fillId="0" borderId="0" xfId="5" applyFont="1" applyAlignment="1">
      <alignment horizontal="center"/>
    </xf>
    <xf numFmtId="0" fontId="93" fillId="0" borderId="0" xfId="5" applyFont="1" applyAlignment="1">
      <alignment horizontal="right" vertical="center"/>
    </xf>
    <xf numFmtId="0" fontId="31" fillId="0" borderId="0" xfId="0" applyFont="1" applyBorder="1" applyAlignment="1">
      <alignment horizontal="left" vertical="center" wrapText="1"/>
    </xf>
    <xf numFmtId="0" fontId="31" fillId="6" borderId="25" xfId="0" applyFont="1" applyFill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31" fillId="6" borderId="27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wrapText="1"/>
    </xf>
    <xf numFmtId="0" fontId="31" fillId="0" borderId="0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8" fontId="2" fillId="0" borderId="2" xfId="0" applyNumberFormat="1" applyFont="1" applyBorder="1" applyAlignment="1">
      <alignment horizontal="center"/>
    </xf>
    <xf numFmtId="178" fontId="2" fillId="0" borderId="3" xfId="0" applyNumberFormat="1" applyFont="1" applyBorder="1" applyAlignment="1">
      <alignment horizontal="center"/>
    </xf>
    <xf numFmtId="178" fontId="3" fillId="0" borderId="5" xfId="0" applyNumberFormat="1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8" fontId="5" fillId="2" borderId="7" xfId="0" applyNumberFormat="1" applyFont="1" applyFill="1" applyBorder="1" applyAlignment="1">
      <alignment horizontal="center" vertical="center"/>
    </xf>
    <xf numFmtId="178" fontId="5" fillId="2" borderId="10" xfId="0" applyNumberFormat="1" applyFont="1" applyFill="1" applyBorder="1" applyAlignment="1">
      <alignment horizontal="center" vertical="center"/>
    </xf>
    <xf numFmtId="178" fontId="5" fillId="2" borderId="14" xfId="0" applyNumberFormat="1" applyFont="1" applyFill="1" applyBorder="1" applyAlignment="1">
      <alignment horizontal="center" vertical="center"/>
    </xf>
    <xf numFmtId="178" fontId="6" fillId="2" borderId="8" xfId="2" applyNumberFormat="1" applyFont="1" applyFill="1" applyBorder="1" applyAlignment="1">
      <alignment horizontal="center" vertical="center" wrapText="1"/>
    </xf>
    <xf numFmtId="178" fontId="6" fillId="2" borderId="4" xfId="2" applyNumberFormat="1" applyFont="1" applyFill="1" applyBorder="1" applyAlignment="1">
      <alignment horizontal="center" vertical="center" wrapText="1"/>
    </xf>
    <xf numFmtId="178" fontId="7" fillId="2" borderId="8" xfId="2" applyNumberFormat="1" applyFont="1" applyFill="1" applyBorder="1" applyAlignment="1">
      <alignment horizontal="center"/>
    </xf>
    <xf numFmtId="178" fontId="7" fillId="2" borderId="9" xfId="2" applyNumberFormat="1" applyFont="1" applyFill="1" applyBorder="1" applyAlignment="1">
      <alignment horizontal="center"/>
    </xf>
    <xf numFmtId="178" fontId="3" fillId="2" borderId="4" xfId="2" applyNumberFormat="1" applyFont="1" applyFill="1" applyBorder="1" applyAlignment="1">
      <alignment horizontal="center" vertical="center"/>
    </xf>
    <xf numFmtId="178" fontId="3" fillId="2" borderId="5" xfId="2" applyNumberFormat="1" applyFont="1" applyFill="1" applyBorder="1" applyAlignment="1">
      <alignment horizontal="center"/>
    </xf>
    <xf numFmtId="178" fontId="3" fillId="2" borderId="6" xfId="2" applyNumberFormat="1" applyFont="1" applyFill="1" applyBorder="1" applyAlignment="1">
      <alignment horizontal="center"/>
    </xf>
    <xf numFmtId="178" fontId="11" fillId="0" borderId="1" xfId="0" applyNumberFormat="1" applyFont="1" applyBorder="1" applyAlignment="1">
      <alignment horizontal="center" vertical="center" wrapText="1"/>
    </xf>
    <xf numFmtId="178" fontId="11" fillId="0" borderId="2" xfId="0" applyNumberFormat="1" applyFont="1" applyBorder="1" applyAlignment="1">
      <alignment horizontal="center" vertical="center" wrapText="1"/>
    </xf>
    <xf numFmtId="178" fontId="11" fillId="0" borderId="3" xfId="0" applyNumberFormat="1" applyFont="1" applyBorder="1" applyAlignment="1">
      <alignment horizontal="center" vertical="center" wrapText="1"/>
    </xf>
    <xf numFmtId="178" fontId="3" fillId="2" borderId="11" xfId="2" applyNumberFormat="1" applyFont="1" applyFill="1" applyBorder="1" applyAlignment="1">
      <alignment horizontal="center" vertical="center"/>
    </xf>
    <xf numFmtId="178" fontId="3" fillId="2" borderId="12" xfId="2" applyNumberFormat="1" applyFont="1" applyFill="1" applyBorder="1" applyAlignment="1">
      <alignment horizontal="center" vertical="center"/>
    </xf>
    <xf numFmtId="0" fontId="26" fillId="8" borderId="25" xfId="2" applyFont="1" applyFill="1" applyBorder="1" applyAlignment="1" applyProtection="1">
      <alignment horizontal="center" vertical="center"/>
      <protection locked="0"/>
    </xf>
    <xf numFmtId="0" fontId="26" fillId="8" borderId="21" xfId="2" applyFont="1" applyFill="1" applyBorder="1" applyAlignment="1" applyProtection="1">
      <alignment horizontal="center" vertical="center"/>
      <protection locked="0"/>
    </xf>
    <xf numFmtId="0" fontId="26" fillId="8" borderId="26" xfId="2" applyFont="1" applyFill="1" applyBorder="1" applyAlignment="1" applyProtection="1">
      <alignment horizontal="center" vertical="center"/>
      <protection locked="0"/>
    </xf>
    <xf numFmtId="0" fontId="26" fillId="8" borderId="23" xfId="2" applyFont="1" applyFill="1" applyBorder="1" applyAlignment="1" applyProtection="1">
      <alignment horizontal="center" vertical="center"/>
      <protection locked="0"/>
    </xf>
    <xf numFmtId="0" fontId="17" fillId="15" borderId="4" xfId="2" applyFont="1" applyFill="1" applyBorder="1" applyAlignment="1" applyProtection="1">
      <alignment horizontal="center" vertical="center"/>
      <protection locked="0"/>
    </xf>
    <xf numFmtId="1" fontId="19" fillId="15" borderId="4" xfId="2" applyNumberFormat="1" applyFont="1" applyFill="1" applyBorder="1" applyAlignment="1" applyProtection="1">
      <alignment horizontal="center" vertical="center"/>
      <protection locked="0"/>
    </xf>
    <xf numFmtId="0" fontId="2" fillId="15" borderId="4" xfId="2" applyFont="1" applyFill="1" applyBorder="1" applyAlignment="1" applyProtection="1">
      <alignment horizontal="center" vertical="center"/>
      <protection locked="0"/>
    </xf>
    <xf numFmtId="0" fontId="15" fillId="15" borderId="4" xfId="2" applyFont="1" applyFill="1" applyBorder="1" applyAlignment="1" applyProtection="1">
      <alignment horizontal="center" vertical="center"/>
      <protection locked="0"/>
    </xf>
    <xf numFmtId="0" fontId="27" fillId="15" borderId="4" xfId="2" applyFont="1" applyFill="1" applyBorder="1" applyAlignment="1" applyProtection="1">
      <alignment horizontal="center" vertical="center"/>
      <protection locked="0"/>
    </xf>
    <xf numFmtId="0" fontId="67" fillId="0" borderId="20" xfId="2" applyBorder="1" applyAlignment="1" applyProtection="1">
      <alignment horizontal="center" vertical="center"/>
      <protection locked="0"/>
    </xf>
    <xf numFmtId="0" fontId="67" fillId="0" borderId="22" xfId="2" applyBorder="1" applyAlignment="1" applyProtection="1">
      <alignment horizontal="center" vertical="center"/>
      <protection locked="0"/>
    </xf>
    <xf numFmtId="0" fontId="67" fillId="0" borderId="34" xfId="2" applyBorder="1" applyAlignment="1" applyProtection="1">
      <alignment horizontal="center" vertical="center"/>
      <protection locked="0"/>
    </xf>
    <xf numFmtId="1" fontId="19" fillId="15" borderId="20" xfId="2" applyNumberFormat="1" applyFont="1" applyFill="1" applyBorder="1" applyAlignment="1" applyProtection="1">
      <alignment horizontal="center" vertical="center"/>
      <protection locked="0"/>
    </xf>
    <xf numFmtId="1" fontId="19" fillId="15" borderId="23" xfId="2" applyNumberFormat="1" applyFont="1" applyFill="1" applyBorder="1" applyAlignment="1" applyProtection="1">
      <alignment horizontal="center" vertical="center"/>
      <protection locked="0"/>
    </xf>
    <xf numFmtId="0" fontId="2" fillId="15" borderId="25" xfId="2" applyFont="1" applyFill="1" applyBorder="1" applyAlignment="1" applyProtection="1">
      <alignment horizontal="center" vertical="center"/>
      <protection locked="0"/>
    </xf>
    <xf numFmtId="0" fontId="2" fillId="15" borderId="50" xfId="2" applyFont="1" applyFill="1" applyBorder="1" applyAlignment="1" applyProtection="1">
      <alignment horizontal="center" vertical="center"/>
      <protection locked="0"/>
    </xf>
    <xf numFmtId="0" fontId="2" fillId="15" borderId="51" xfId="2" applyFont="1" applyFill="1" applyBorder="1" applyAlignment="1" applyProtection="1">
      <alignment horizontal="center" vertical="center"/>
      <protection locked="0"/>
    </xf>
    <xf numFmtId="0" fontId="2" fillId="15" borderId="26" xfId="2" applyFont="1" applyFill="1" applyBorder="1" applyAlignment="1" applyProtection="1">
      <alignment horizontal="center" vertical="center"/>
      <protection locked="0"/>
    </xf>
    <xf numFmtId="0" fontId="15" fillId="15" borderId="25" xfId="2" applyFont="1" applyFill="1" applyBorder="1" applyAlignment="1" applyProtection="1">
      <alignment horizontal="center" vertical="center"/>
      <protection locked="0"/>
    </xf>
    <xf numFmtId="0" fontId="15" fillId="15" borderId="50" xfId="2" applyFont="1" applyFill="1" applyBorder="1" applyAlignment="1" applyProtection="1">
      <alignment horizontal="center" vertical="center"/>
      <protection locked="0"/>
    </xf>
    <xf numFmtId="0" fontId="27" fillId="15" borderId="34" xfId="2" applyFont="1" applyFill="1" applyBorder="1" applyAlignment="1" applyProtection="1">
      <alignment horizontal="center" vertical="center"/>
      <protection locked="0"/>
    </xf>
    <xf numFmtId="0" fontId="15" fillId="15" borderId="56" xfId="2" applyFont="1" applyFill="1" applyBorder="1" applyAlignment="1" applyProtection="1">
      <alignment horizontal="center" vertical="center"/>
      <protection locked="0"/>
    </xf>
    <xf numFmtId="0" fontId="2" fillId="15" borderId="48" xfId="2" applyFont="1" applyFill="1" applyBorder="1" applyAlignment="1" applyProtection="1">
      <alignment horizontal="center" vertical="center"/>
      <protection locked="0"/>
    </xf>
    <xf numFmtId="0" fontId="2" fillId="15" borderId="54" xfId="2" applyFont="1" applyFill="1" applyBorder="1" applyAlignment="1" applyProtection="1">
      <alignment horizontal="center" vertical="center"/>
      <protection locked="0"/>
    </xf>
    <xf numFmtId="0" fontId="17" fillId="15" borderId="20" xfId="2" applyFont="1" applyFill="1" applyBorder="1" applyAlignment="1" applyProtection="1">
      <alignment horizontal="center" vertical="center"/>
      <protection locked="0"/>
    </xf>
    <xf numFmtId="0" fontId="17" fillId="15" borderId="21" xfId="2" applyFont="1" applyFill="1" applyBorder="1" applyAlignment="1" applyProtection="1">
      <alignment horizontal="center" vertical="center"/>
      <protection locked="0"/>
    </xf>
    <xf numFmtId="0" fontId="17" fillId="15" borderId="23" xfId="2" applyFont="1" applyFill="1" applyBorder="1" applyAlignment="1" applyProtection="1">
      <alignment horizontal="center" vertical="center"/>
      <protection locked="0"/>
    </xf>
    <xf numFmtId="0" fontId="67" fillId="0" borderId="48" xfId="2" applyBorder="1" applyAlignment="1" applyProtection="1">
      <alignment horizontal="center" vertical="center"/>
      <protection locked="0"/>
    </xf>
    <xf numFmtId="0" fontId="67" fillId="0" borderId="49" xfId="2" applyBorder="1" applyAlignment="1" applyProtection="1">
      <alignment horizontal="center" vertical="center"/>
      <protection locked="0"/>
    </xf>
    <xf numFmtId="0" fontId="67" fillId="0" borderId="54" xfId="2" applyBorder="1" applyAlignment="1" applyProtection="1">
      <alignment horizontal="center" vertical="center"/>
      <protection locked="0"/>
    </xf>
    <xf numFmtId="0" fontId="17" fillId="15" borderId="25" xfId="2" applyFont="1" applyFill="1" applyBorder="1" applyAlignment="1" applyProtection="1">
      <alignment horizontal="center" vertical="center"/>
      <protection locked="0"/>
    </xf>
    <xf numFmtId="0" fontId="17" fillId="15" borderId="26" xfId="2" applyFont="1" applyFill="1" applyBorder="1" applyAlignment="1" applyProtection="1">
      <alignment horizontal="center" vertical="center"/>
      <protection locked="0"/>
    </xf>
    <xf numFmtId="0" fontId="17" fillId="15" borderId="27" xfId="2" applyFont="1" applyFill="1" applyBorder="1" applyAlignment="1" applyProtection="1">
      <alignment horizontal="center" vertical="center"/>
      <protection locked="0"/>
    </xf>
    <xf numFmtId="0" fontId="24" fillId="10" borderId="28" xfId="2" applyFont="1" applyFill="1" applyBorder="1" applyAlignment="1">
      <alignment horizontal="center" vertical="center"/>
    </xf>
    <xf numFmtId="0" fontId="24" fillId="10" borderId="30" xfId="2" applyFont="1" applyFill="1" applyBorder="1" applyAlignment="1">
      <alignment horizontal="center" vertical="center"/>
    </xf>
    <xf numFmtId="0" fontId="24" fillId="10" borderId="8" xfId="2" applyFont="1" applyFill="1" applyBorder="1" applyAlignment="1">
      <alignment horizontal="center" vertical="center" wrapText="1"/>
    </xf>
    <xf numFmtId="0" fontId="24" fillId="10" borderId="4" xfId="2" applyFont="1" applyFill="1" applyBorder="1" applyAlignment="1">
      <alignment horizontal="center" vertical="center" wrapText="1"/>
    </xf>
    <xf numFmtId="0" fontId="17" fillId="10" borderId="8" xfId="2" applyFont="1" applyFill="1" applyBorder="1" applyAlignment="1">
      <alignment horizontal="center" vertical="center"/>
    </xf>
    <xf numFmtId="0" fontId="24" fillId="10" borderId="8" xfId="2" applyFont="1" applyFill="1" applyBorder="1" applyAlignment="1">
      <alignment horizontal="center" vertical="center"/>
    </xf>
    <xf numFmtId="0" fontId="24" fillId="10" borderId="4" xfId="2" applyFont="1" applyFill="1" applyBorder="1" applyAlignment="1">
      <alignment horizontal="center" vertical="center"/>
    </xf>
    <xf numFmtId="1" fontId="17" fillId="6" borderId="8" xfId="2" applyNumberFormat="1" applyFont="1" applyFill="1" applyBorder="1" applyAlignment="1">
      <alignment horizontal="center" vertical="center"/>
    </xf>
    <xf numFmtId="1" fontId="17" fillId="6" borderId="9" xfId="2" applyNumberFormat="1" applyFont="1" applyFill="1" applyBorder="1" applyAlignment="1">
      <alignment horizontal="center" vertical="center"/>
    </xf>
    <xf numFmtId="0" fontId="28" fillId="10" borderId="4" xfId="2" applyFont="1" applyFill="1" applyBorder="1" applyAlignment="1">
      <alignment horizontal="center" vertical="center"/>
    </xf>
    <xf numFmtId="0" fontId="24" fillId="6" borderId="4" xfId="2" applyFont="1" applyFill="1" applyBorder="1" applyAlignment="1">
      <alignment horizontal="center" vertical="center"/>
    </xf>
    <xf numFmtId="0" fontId="24" fillId="6" borderId="13" xfId="2" applyFont="1" applyFill="1" applyBorder="1" applyAlignment="1">
      <alignment horizontal="center" vertical="center"/>
    </xf>
    <xf numFmtId="0" fontId="9" fillId="10" borderId="30" xfId="2" applyFont="1" applyFill="1" applyBorder="1" applyAlignment="1">
      <alignment horizontal="center" vertical="center"/>
    </xf>
    <xf numFmtId="0" fontId="9" fillId="10" borderId="4" xfId="2" applyFont="1" applyFill="1" applyBorder="1" applyAlignment="1">
      <alignment horizontal="center" vertical="center"/>
    </xf>
    <xf numFmtId="1" fontId="17" fillId="6" borderId="1" xfId="2" applyNumberFormat="1" applyFont="1" applyFill="1" applyBorder="1" applyAlignment="1">
      <alignment horizontal="center" vertical="center"/>
    </xf>
    <xf numFmtId="1" fontId="17" fillId="6" borderId="47" xfId="2" applyNumberFormat="1" applyFont="1" applyFill="1" applyBorder="1" applyAlignment="1">
      <alignment horizontal="center" vertical="center"/>
    </xf>
    <xf numFmtId="0" fontId="24" fillId="6" borderId="1" xfId="2" applyFont="1" applyFill="1" applyBorder="1" applyAlignment="1">
      <alignment horizontal="center" vertical="center"/>
    </xf>
    <xf numFmtId="0" fontId="24" fillId="6" borderId="47" xfId="2" applyFont="1" applyFill="1" applyBorder="1" applyAlignment="1">
      <alignment horizontal="center" vertical="center"/>
    </xf>
    <xf numFmtId="0" fontId="24" fillId="3" borderId="13" xfId="2" applyFont="1" applyFill="1" applyBorder="1" applyAlignment="1">
      <alignment horizontal="center" vertical="center" wrapText="1"/>
    </xf>
    <xf numFmtId="0" fontId="17" fillId="3" borderId="8" xfId="2" applyFont="1" applyFill="1" applyBorder="1" applyAlignment="1">
      <alignment horizontal="left" vertical="center" wrapText="1"/>
    </xf>
    <xf numFmtId="0" fontId="17" fillId="3" borderId="9" xfId="2" applyFont="1" applyFill="1" applyBorder="1" applyAlignment="1">
      <alignment horizontal="left" vertical="center" wrapText="1"/>
    </xf>
    <xf numFmtId="0" fontId="17" fillId="3" borderId="17" xfId="2" applyFont="1" applyFill="1" applyBorder="1" applyAlignment="1">
      <alignment horizontal="left" vertical="center" wrapText="1"/>
    </xf>
    <xf numFmtId="0" fontId="17" fillId="3" borderId="37" xfId="2" applyFont="1" applyFill="1" applyBorder="1" applyAlignment="1">
      <alignment horizontal="left" vertical="center" wrapText="1"/>
    </xf>
    <xf numFmtId="0" fontId="17" fillId="3" borderId="45" xfId="2" applyFont="1" applyFill="1" applyBorder="1" applyAlignment="1">
      <alignment horizontal="left" vertical="center" wrapText="1"/>
    </xf>
    <xf numFmtId="0" fontId="24" fillId="3" borderId="4" xfId="2" applyFont="1" applyFill="1" applyBorder="1" applyAlignment="1">
      <alignment horizontal="center" vertical="center"/>
    </xf>
    <xf numFmtId="0" fontId="17" fillId="3" borderId="25" xfId="2" applyFont="1" applyFill="1" applyBorder="1" applyAlignment="1">
      <alignment horizontal="center" vertical="center"/>
    </xf>
    <xf numFmtId="0" fontId="17" fillId="3" borderId="26" xfId="2" applyFont="1" applyFill="1" applyBorder="1" applyAlignment="1">
      <alignment horizontal="center" vertical="center"/>
    </xf>
    <xf numFmtId="0" fontId="17" fillId="3" borderId="27" xfId="2" applyFont="1" applyFill="1" applyBorder="1" applyAlignment="1">
      <alignment horizontal="center" vertical="center"/>
    </xf>
    <xf numFmtId="0" fontId="33" fillId="10" borderId="36" xfId="2" applyFont="1" applyFill="1" applyBorder="1" applyAlignment="1" applyProtection="1">
      <alignment horizontal="center" vertical="center"/>
      <protection locked="0"/>
    </xf>
    <xf numFmtId="0" fontId="33" fillId="10" borderId="37" xfId="2" applyFont="1" applyFill="1" applyBorder="1" applyAlignment="1" applyProtection="1">
      <alignment horizontal="center" vertical="center"/>
      <protection locked="0"/>
    </xf>
    <xf numFmtId="0" fontId="33" fillId="10" borderId="21" xfId="2" applyFont="1" applyFill="1" applyBorder="1" applyAlignment="1" applyProtection="1">
      <alignment horizontal="center" vertical="center"/>
      <protection locked="0"/>
    </xf>
    <xf numFmtId="0" fontId="33" fillId="10" borderId="45" xfId="2" applyFont="1" applyFill="1" applyBorder="1" applyAlignment="1" applyProtection="1">
      <alignment horizontal="center" vertical="center"/>
      <protection locked="0"/>
    </xf>
    <xf numFmtId="0" fontId="33" fillId="10" borderId="33" xfId="2" applyFont="1" applyFill="1" applyBorder="1" applyAlignment="1" applyProtection="1">
      <alignment horizontal="center" vertical="center"/>
      <protection locked="0"/>
    </xf>
    <xf numFmtId="0" fontId="33" fillId="10" borderId="15" xfId="2" applyFont="1" applyFill="1" applyBorder="1" applyAlignment="1" applyProtection="1">
      <alignment horizontal="center" vertical="center"/>
      <protection locked="0"/>
    </xf>
    <xf numFmtId="0" fontId="33" fillId="10" borderId="52" xfId="2" applyFont="1" applyFill="1" applyBorder="1" applyAlignment="1" applyProtection="1">
      <alignment horizontal="center" vertical="center"/>
      <protection locked="0"/>
    </xf>
    <xf numFmtId="0" fontId="33" fillId="10" borderId="16" xfId="2" applyFont="1" applyFill="1" applyBorder="1" applyAlignment="1" applyProtection="1">
      <alignment horizontal="center" vertical="center"/>
      <protection locked="0"/>
    </xf>
    <xf numFmtId="0" fontId="28" fillId="3" borderId="4" xfId="2" applyFont="1" applyFill="1" applyBorder="1" applyAlignment="1">
      <alignment horizontal="center" vertical="center"/>
    </xf>
    <xf numFmtId="0" fontId="28" fillId="3" borderId="13" xfId="2" applyFont="1" applyFill="1" applyBorder="1" applyAlignment="1">
      <alignment horizontal="center" vertical="center"/>
    </xf>
    <xf numFmtId="0" fontId="17" fillId="3" borderId="29" xfId="2" applyFont="1" applyFill="1" applyBorder="1" applyAlignment="1">
      <alignment horizontal="center" vertical="center" wrapText="1"/>
    </xf>
    <xf numFmtId="0" fontId="17" fillId="3" borderId="10" xfId="2" applyFont="1" applyFill="1" applyBorder="1" applyAlignment="1">
      <alignment horizontal="center" vertical="center" wrapText="1"/>
    </xf>
    <xf numFmtId="0" fontId="17" fillId="3" borderId="55" xfId="2" applyFont="1" applyFill="1" applyBorder="1" applyAlignment="1">
      <alignment horizontal="center" vertical="center" wrapText="1"/>
    </xf>
    <xf numFmtId="0" fontId="17" fillId="3" borderId="4" xfId="2" applyFont="1" applyFill="1" applyBorder="1" applyAlignment="1">
      <alignment horizontal="center" vertical="center" wrapText="1"/>
    </xf>
    <xf numFmtId="0" fontId="31" fillId="0" borderId="36" xfId="4" applyFont="1" applyBorder="1" applyAlignment="1" applyProtection="1">
      <alignment horizontal="center"/>
      <protection locked="0"/>
    </xf>
    <xf numFmtId="0" fontId="31" fillId="0" borderId="37" xfId="4" applyFont="1" applyBorder="1" applyAlignment="1" applyProtection="1">
      <alignment horizontal="center"/>
      <protection locked="0"/>
    </xf>
    <xf numFmtId="0" fontId="31" fillId="0" borderId="45" xfId="4" applyFont="1" applyBorder="1" applyAlignment="1" applyProtection="1">
      <alignment horizontal="center"/>
      <protection locked="0"/>
    </xf>
    <xf numFmtId="0" fontId="33" fillId="0" borderId="39" xfId="4" applyFont="1" applyBorder="1" applyAlignment="1" applyProtection="1">
      <alignment horizontal="center"/>
      <protection locked="0"/>
    </xf>
    <xf numFmtId="0" fontId="33" fillId="0" borderId="40" xfId="4" applyFont="1" applyBorder="1" applyAlignment="1" applyProtection="1">
      <alignment horizontal="center"/>
      <protection locked="0"/>
    </xf>
    <xf numFmtId="0" fontId="33" fillId="0" borderId="46" xfId="4" applyFont="1" applyBorder="1" applyAlignment="1" applyProtection="1">
      <alignment horizontal="center"/>
      <protection locked="0"/>
    </xf>
    <xf numFmtId="0" fontId="18" fillId="3" borderId="0" xfId="4" applyFont="1" applyFill="1" applyAlignment="1">
      <alignment horizontal="center" vertical="center" wrapText="1"/>
    </xf>
    <xf numFmtId="0" fontId="3" fillId="3" borderId="28" xfId="4" applyFont="1" applyFill="1" applyBorder="1" applyAlignment="1">
      <alignment horizontal="center" vertical="center" wrapText="1"/>
    </xf>
    <xf numFmtId="0" fontId="3" fillId="3" borderId="8" xfId="4" applyFont="1" applyFill="1" applyBorder="1" applyAlignment="1">
      <alignment horizontal="center" vertical="center" wrapText="1"/>
    </xf>
    <xf numFmtId="0" fontId="17" fillId="0" borderId="30" xfId="4" applyFont="1" applyBorder="1" applyAlignment="1">
      <alignment horizontal="center" vertical="center" wrapText="1"/>
    </xf>
    <xf numFmtId="0" fontId="17" fillId="0" borderId="4" xfId="4" applyFont="1" applyBorder="1" applyAlignment="1">
      <alignment horizontal="center" vertical="center" wrapText="1"/>
    </xf>
    <xf numFmtId="0" fontId="17" fillId="0" borderId="13" xfId="4" applyFont="1" applyBorder="1" applyAlignment="1">
      <alignment horizontal="center" vertical="center" wrapText="1"/>
    </xf>
    <xf numFmtId="0" fontId="16" fillId="3" borderId="8" xfId="4" applyFont="1" applyFill="1" applyBorder="1" applyAlignment="1">
      <alignment horizontal="left" vertical="center" wrapText="1"/>
    </xf>
    <xf numFmtId="0" fontId="16" fillId="3" borderId="9" xfId="4" applyFont="1" applyFill="1" applyBorder="1" applyAlignment="1">
      <alignment horizontal="left" vertical="center" wrapText="1"/>
    </xf>
    <xf numFmtId="0" fontId="17" fillId="0" borderId="28" xfId="4" applyFont="1" applyBorder="1" applyAlignment="1">
      <alignment horizontal="center" vertical="center"/>
    </xf>
    <xf numFmtId="0" fontId="17" fillId="0" borderId="8" xfId="4" applyFont="1" applyBorder="1" applyAlignment="1">
      <alignment horizontal="center" vertical="center"/>
    </xf>
    <xf numFmtId="0" fontId="17" fillId="0" borderId="9" xfId="4" applyFont="1" applyBorder="1" applyAlignment="1">
      <alignment horizontal="center" vertical="center"/>
    </xf>
    <xf numFmtId="0" fontId="19" fillId="3" borderId="28" xfId="4" applyFont="1" applyFill="1" applyBorder="1" applyAlignment="1">
      <alignment horizontal="center" vertical="center" wrapText="1"/>
    </xf>
    <xf numFmtId="0" fontId="19" fillId="3" borderId="30" xfId="4" applyFont="1" applyFill="1" applyBorder="1" applyAlignment="1">
      <alignment horizontal="center" vertical="center" wrapText="1"/>
    </xf>
    <xf numFmtId="0" fontId="19" fillId="3" borderId="29" xfId="4" applyFont="1" applyFill="1" applyBorder="1" applyAlignment="1">
      <alignment horizontal="center" vertical="center" wrapText="1"/>
    </xf>
    <xf numFmtId="0" fontId="19" fillId="3" borderId="17" xfId="4" applyFont="1" applyFill="1" applyBorder="1" applyAlignment="1">
      <alignment horizontal="center" vertical="center" wrapText="1"/>
    </xf>
    <xf numFmtId="0" fontId="19" fillId="3" borderId="1" xfId="4" applyFont="1" applyFill="1" applyBorder="1" applyAlignment="1">
      <alignment horizontal="center" vertical="center" wrapText="1"/>
    </xf>
    <xf numFmtId="0" fontId="19" fillId="3" borderId="42" xfId="4" applyFont="1" applyFill="1" applyBorder="1" applyAlignment="1">
      <alignment horizontal="center" vertical="center" wrapText="1"/>
    </xf>
    <xf numFmtId="0" fontId="3" fillId="3" borderId="32" xfId="4" applyFont="1" applyFill="1" applyBorder="1" applyAlignment="1">
      <alignment horizontal="center" vertical="center" wrapText="1"/>
    </xf>
    <xf numFmtId="0" fontId="3" fillId="3" borderId="41" xfId="4" applyFont="1" applyFill="1" applyBorder="1" applyAlignment="1">
      <alignment horizontal="center" vertical="center" wrapText="1"/>
    </xf>
    <xf numFmtId="0" fontId="7" fillId="3" borderId="29" xfId="4" applyFont="1" applyFill="1" applyBorder="1" applyAlignment="1">
      <alignment horizontal="center" vertical="center" wrapText="1"/>
    </xf>
    <xf numFmtId="0" fontId="7" fillId="3" borderId="5" xfId="4" applyFont="1" applyFill="1" applyBorder="1" applyAlignment="1">
      <alignment horizontal="center" vertical="center" wrapText="1"/>
    </xf>
    <xf numFmtId="0" fontId="7" fillId="3" borderId="11" xfId="4" applyFont="1" applyFill="1" applyBorder="1" applyAlignment="1">
      <alignment horizontal="center" vertical="center" wrapText="1"/>
    </xf>
    <xf numFmtId="0" fontId="3" fillId="3" borderId="28" xfId="4" applyFont="1" applyFill="1" applyBorder="1" applyAlignment="1">
      <alignment horizontal="center" vertical="center"/>
    </xf>
    <xf numFmtId="0" fontId="3" fillId="3" borderId="8" xfId="4" applyFont="1" applyFill="1" applyBorder="1" applyAlignment="1">
      <alignment horizontal="center" vertical="center"/>
    </xf>
    <xf numFmtId="0" fontId="3" fillId="3" borderId="31" xfId="4" applyFont="1" applyFill="1" applyBorder="1" applyAlignment="1">
      <alignment horizontal="center" vertical="center"/>
    </xf>
    <xf numFmtId="0" fontId="3" fillId="3" borderId="6" xfId="4" applyFont="1" applyFill="1" applyBorder="1" applyAlignment="1">
      <alignment horizontal="center" vertical="center"/>
    </xf>
    <xf numFmtId="0" fontId="3" fillId="3" borderId="32" xfId="4" applyFont="1" applyFill="1" applyBorder="1" applyAlignment="1">
      <alignment horizontal="center" vertical="center"/>
    </xf>
    <xf numFmtId="0" fontId="3" fillId="3" borderId="12" xfId="4" applyFont="1" applyFill="1" applyBorder="1" applyAlignment="1">
      <alignment horizontal="center" vertical="center"/>
    </xf>
    <xf numFmtId="0" fontId="67" fillId="9" borderId="4" xfId="4" applyFont="1" applyFill="1" applyBorder="1" applyAlignment="1">
      <alignment horizontal="center" vertical="center" wrapText="1"/>
    </xf>
    <xf numFmtId="0" fontId="6" fillId="9" borderId="4" xfId="4" applyFont="1" applyFill="1" applyBorder="1" applyAlignment="1">
      <alignment horizontal="center" vertical="center" wrapText="1"/>
    </xf>
    <xf numFmtId="0" fontId="7" fillId="9" borderId="4" xfId="4" applyFont="1" applyFill="1" applyBorder="1" applyAlignment="1">
      <alignment horizontal="center" vertical="center"/>
    </xf>
    <xf numFmtId="0" fontId="3" fillId="3" borderId="4" xfId="4" applyFont="1" applyFill="1" applyBorder="1" applyAlignment="1">
      <alignment horizontal="center" vertical="center" wrapText="1"/>
    </xf>
    <xf numFmtId="0" fontId="67" fillId="9" borderId="4" xfId="4" applyFont="1" applyFill="1" applyBorder="1" applyAlignment="1">
      <alignment horizontal="center" vertical="center"/>
    </xf>
    <xf numFmtId="0" fontId="3" fillId="9" borderId="4" xfId="4" applyFont="1" applyFill="1" applyBorder="1" applyAlignment="1">
      <alignment horizontal="center" vertical="center"/>
    </xf>
    <xf numFmtId="0" fontId="7" fillId="9" borderId="4" xfId="4" applyFont="1" applyFill="1" applyBorder="1" applyAlignment="1">
      <alignment horizontal="center"/>
    </xf>
    <xf numFmtId="0" fontId="3" fillId="3" borderId="4" xfId="4" applyFont="1" applyFill="1" applyBorder="1" applyAlignment="1">
      <alignment horizontal="center" vertical="center"/>
    </xf>
    <xf numFmtId="0" fontId="3" fillId="9" borderId="4" xfId="4" applyFont="1" applyFill="1" applyBorder="1" applyAlignment="1" applyProtection="1">
      <alignment horizontal="center" vertical="center" wrapText="1"/>
      <protection locked="0"/>
    </xf>
    <xf numFmtId="0" fontId="3" fillId="9" borderId="4" xfId="4" applyFont="1" applyFill="1" applyBorder="1" applyAlignment="1" applyProtection="1">
      <alignment horizontal="center" vertical="center"/>
      <protection locked="0"/>
    </xf>
    <xf numFmtId="0" fontId="14" fillId="8" borderId="25" xfId="4" applyFont="1" applyFill="1" applyBorder="1" applyAlignment="1" applyProtection="1">
      <alignment horizontal="center" vertical="center" wrapText="1"/>
      <protection locked="0"/>
    </xf>
    <xf numFmtId="0" fontId="14" fillId="8" borderId="26" xfId="4" applyFont="1" applyFill="1" applyBorder="1" applyAlignment="1" applyProtection="1">
      <alignment horizontal="center" vertical="center" wrapText="1"/>
      <protection locked="0"/>
    </xf>
    <xf numFmtId="0" fontId="14" fillId="9" borderId="4" xfId="4" applyFont="1" applyFill="1" applyBorder="1" applyAlignment="1" applyProtection="1">
      <alignment horizontal="center" vertical="center" wrapText="1"/>
      <protection locked="0"/>
    </xf>
    <xf numFmtId="0" fontId="6" fillId="9" borderId="4" xfId="4" applyFont="1" applyFill="1" applyBorder="1" applyAlignment="1" applyProtection="1">
      <alignment horizontal="center" vertical="center"/>
      <protection locked="0"/>
    </xf>
    <xf numFmtId="0" fontId="7" fillId="9" borderId="4" xfId="4" applyFont="1" applyFill="1" applyBorder="1" applyAlignment="1" applyProtection="1">
      <alignment horizontal="center"/>
      <protection locked="0"/>
    </xf>
    <xf numFmtId="0" fontId="7" fillId="9" borderId="4" xfId="4" applyFont="1" applyFill="1" applyBorder="1" applyAlignment="1" applyProtection="1">
      <alignment horizontal="center" vertical="center"/>
      <protection locked="0"/>
    </xf>
    <xf numFmtId="0" fontId="13" fillId="8" borderId="20" xfId="4" applyFont="1" applyFill="1" applyBorder="1" applyAlignment="1">
      <alignment horizontal="center" vertical="center"/>
    </xf>
    <xf numFmtId="0" fontId="13" fillId="8" borderId="21" xfId="4" applyFont="1" applyFill="1" applyBorder="1" applyAlignment="1">
      <alignment horizontal="center" vertical="center"/>
    </xf>
    <xf numFmtId="0" fontId="13" fillId="8" borderId="23" xfId="4" applyFont="1" applyFill="1" applyBorder="1" applyAlignment="1">
      <alignment horizontal="center" vertical="center"/>
    </xf>
  </cellXfs>
  <cellStyles count="6">
    <cellStyle name="Normal" xfId="0" builtinId="0"/>
    <cellStyle name="Normal 2" xfId="2" xr:uid="{00000000-0005-0000-0000-000001000000}"/>
    <cellStyle name="Normal 2 2" xfId="4" xr:uid="{00000000-0005-0000-0000-000002000000}"/>
    <cellStyle name="Normal 2 3" xfId="5" xr:uid="{00000000-0005-0000-0000-000003000000}"/>
    <cellStyle name="Normal 3" xfId="3" xr:uid="{00000000-0005-0000-0000-000004000000}"/>
    <cellStyle name="Normal_Daftar kelistrikan (ecg)" xfId="1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00000000-0008-0000-03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00000000-0008-0000-03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00000000-0008-0000-03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9" name="Picture 7">
          <a:extLst>
            <a:ext uri="{FF2B5EF4-FFF2-40B4-BE49-F238E27FC236}">
              <a16:creationId xmlns:a16="http://schemas.microsoft.com/office/drawing/2014/main" id="{00000000-0008-0000-03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80" name="Picture 8">
          <a:extLst>
            <a:ext uri="{FF2B5EF4-FFF2-40B4-BE49-F238E27FC236}">
              <a16:creationId xmlns:a16="http://schemas.microsoft.com/office/drawing/2014/main" id="{00000000-0008-0000-03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81" name="Picture 9">
          <a:extLst>
            <a:ext uri="{FF2B5EF4-FFF2-40B4-BE49-F238E27FC236}">
              <a16:creationId xmlns:a16="http://schemas.microsoft.com/office/drawing/2014/main" id="{00000000-0008-0000-03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2" name="Picture 10">
          <a:extLst>
            <a:ext uri="{FF2B5EF4-FFF2-40B4-BE49-F238E27FC236}">
              <a16:creationId xmlns:a16="http://schemas.microsoft.com/office/drawing/2014/main" id="{00000000-0008-0000-03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3" name="Picture 11">
          <a:extLst>
            <a:ext uri="{FF2B5EF4-FFF2-40B4-BE49-F238E27FC236}">
              <a16:creationId xmlns:a16="http://schemas.microsoft.com/office/drawing/2014/main" id="{00000000-0008-0000-03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4" name="Picture 12">
          <a:extLst>
            <a:ext uri="{FF2B5EF4-FFF2-40B4-BE49-F238E27FC236}">
              <a16:creationId xmlns:a16="http://schemas.microsoft.com/office/drawing/2014/main" id="{00000000-0008-0000-03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5" name="Picture 13">
          <a:extLst>
            <a:ext uri="{FF2B5EF4-FFF2-40B4-BE49-F238E27FC236}">
              <a16:creationId xmlns:a16="http://schemas.microsoft.com/office/drawing/2014/main" id="{00000000-0008-0000-03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00000000-0008-0000-03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00000000-0008-0000-03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00000000-0008-0000-03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00000000-0008-0000-03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00000000-0008-0000-03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30</xdr:row>
          <xdr:rowOff>0</xdr:rowOff>
        </xdr:from>
        <xdr:to>
          <xdr:col>11</xdr:col>
          <xdr:colOff>411480</xdr:colOff>
          <xdr:row>30</xdr:row>
          <xdr:rowOff>0</xdr:rowOff>
        </xdr:to>
        <xdr:sp macro="" textlink="">
          <xdr:nvSpPr>
            <xdr:cNvPr id="3091" name="Object 1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3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30</xdr:row>
          <xdr:rowOff>0</xdr:rowOff>
        </xdr:from>
        <xdr:to>
          <xdr:col>11</xdr:col>
          <xdr:colOff>411480</xdr:colOff>
          <xdr:row>30</xdr:row>
          <xdr:rowOff>0</xdr:rowOff>
        </xdr:to>
        <xdr:sp macro="" textlink="">
          <xdr:nvSpPr>
            <xdr:cNvPr id="3092" name="Object 2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3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30</xdr:row>
          <xdr:rowOff>0</xdr:rowOff>
        </xdr:from>
        <xdr:to>
          <xdr:col>11</xdr:col>
          <xdr:colOff>411480</xdr:colOff>
          <xdr:row>30</xdr:row>
          <xdr:rowOff>0</xdr:rowOff>
        </xdr:to>
        <xdr:sp macro="" textlink="">
          <xdr:nvSpPr>
            <xdr:cNvPr id="3093" name="Object 3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3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30</xdr:row>
          <xdr:rowOff>0</xdr:rowOff>
        </xdr:from>
        <xdr:to>
          <xdr:col>11</xdr:col>
          <xdr:colOff>411480</xdr:colOff>
          <xdr:row>30</xdr:row>
          <xdr:rowOff>0</xdr:rowOff>
        </xdr:to>
        <xdr:sp macro="" textlink="">
          <xdr:nvSpPr>
            <xdr:cNvPr id="3094" name="Object 4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3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30</xdr:row>
          <xdr:rowOff>0</xdr:rowOff>
        </xdr:from>
        <xdr:to>
          <xdr:col>11</xdr:col>
          <xdr:colOff>411480</xdr:colOff>
          <xdr:row>30</xdr:row>
          <xdr:rowOff>0</xdr:rowOff>
        </xdr:to>
        <xdr:sp macro="" textlink="">
          <xdr:nvSpPr>
            <xdr:cNvPr id="3095" name="Object 5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3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30</xdr:row>
          <xdr:rowOff>0</xdr:rowOff>
        </xdr:from>
        <xdr:to>
          <xdr:col>11</xdr:col>
          <xdr:colOff>411480</xdr:colOff>
          <xdr:row>30</xdr:row>
          <xdr:rowOff>0</xdr:rowOff>
        </xdr:to>
        <xdr:sp macro="" textlink="">
          <xdr:nvSpPr>
            <xdr:cNvPr id="3096" name="Object 6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3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30</xdr:row>
          <xdr:rowOff>0</xdr:rowOff>
        </xdr:from>
        <xdr:to>
          <xdr:col>11</xdr:col>
          <xdr:colOff>411480</xdr:colOff>
          <xdr:row>30</xdr:row>
          <xdr:rowOff>0</xdr:rowOff>
        </xdr:to>
        <xdr:sp macro="" textlink="">
          <xdr:nvSpPr>
            <xdr:cNvPr id="3097" name="Object 7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3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30</xdr:row>
          <xdr:rowOff>0</xdr:rowOff>
        </xdr:from>
        <xdr:to>
          <xdr:col>11</xdr:col>
          <xdr:colOff>411480</xdr:colOff>
          <xdr:row>30</xdr:row>
          <xdr:rowOff>0</xdr:rowOff>
        </xdr:to>
        <xdr:sp macro="" textlink="">
          <xdr:nvSpPr>
            <xdr:cNvPr id="3098" name="Object 8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3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30</xdr:row>
          <xdr:rowOff>0</xdr:rowOff>
        </xdr:from>
        <xdr:to>
          <xdr:col>11</xdr:col>
          <xdr:colOff>411480</xdr:colOff>
          <xdr:row>30</xdr:row>
          <xdr:rowOff>0</xdr:rowOff>
        </xdr:to>
        <xdr:sp macro="" textlink="">
          <xdr:nvSpPr>
            <xdr:cNvPr id="3099" name="Object 9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3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0" name="Object 10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3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1" name="Object 11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3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2" name="Object 12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3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3" name="Object 13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3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4" name="Object 14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3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5" name="Object 15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3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6" name="Object 16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3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7" name="Object 17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3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8" name="Object 18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3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oleObject" Target="../embeddings/oleObject9.bin"/><Relationship Id="rId18" Type="http://schemas.openxmlformats.org/officeDocument/2006/relationships/oleObject" Target="../embeddings/oleObject14.bin"/><Relationship Id="rId3" Type="http://schemas.openxmlformats.org/officeDocument/2006/relationships/vmlDrawing" Target="../drawings/vmlDrawing3.vml"/><Relationship Id="rId21" Type="http://schemas.openxmlformats.org/officeDocument/2006/relationships/oleObject" Target="../embeddings/oleObject17.bin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17" Type="http://schemas.openxmlformats.org/officeDocument/2006/relationships/oleObject" Target="../embeddings/oleObject13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12.bin"/><Relationship Id="rId20" Type="http://schemas.openxmlformats.org/officeDocument/2006/relationships/oleObject" Target="../embeddings/oleObject16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11.bin"/><Relationship Id="rId10" Type="http://schemas.openxmlformats.org/officeDocument/2006/relationships/oleObject" Target="../embeddings/oleObject6.bin"/><Relationship Id="rId19" Type="http://schemas.openxmlformats.org/officeDocument/2006/relationships/oleObject" Target="../embeddings/oleObject15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4" Type="http://schemas.openxmlformats.org/officeDocument/2006/relationships/oleObject" Target="../embeddings/oleObject10.bin"/><Relationship Id="rId22" Type="http://schemas.openxmlformats.org/officeDocument/2006/relationships/oleObject" Target="../embeddings/oleObject1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1"/>
  <sheetViews>
    <sheetView showGridLines="0" view="pageBreakPreview" topLeftCell="A22" zoomScaleNormal="100" zoomScaleSheetLayoutView="100" workbookViewId="0">
      <selection activeCell="J18" sqref="J18"/>
    </sheetView>
  </sheetViews>
  <sheetFormatPr defaultColWidth="9.109375" defaultRowHeight="13.8"/>
  <cols>
    <col min="1" max="1" width="4.33203125" style="158" customWidth="1"/>
    <col min="2" max="2" width="5.44140625" style="158" customWidth="1"/>
    <col min="3" max="3" width="12.44140625" style="158" customWidth="1"/>
    <col min="4" max="4" width="12" style="158" customWidth="1"/>
    <col min="5" max="6" width="9.109375" style="158"/>
    <col min="7" max="8" width="9.109375" style="158" customWidth="1"/>
    <col min="9" max="9" width="9.44140625" style="158" customWidth="1"/>
    <col min="10" max="10" width="10.5546875" style="158" customWidth="1"/>
    <col min="11" max="11" width="10.6640625" style="158" customWidth="1"/>
    <col min="12" max="12" width="9.88671875" style="158" customWidth="1"/>
    <col min="13" max="13" width="6.109375" style="158" customWidth="1"/>
    <col min="14" max="14" width="16.6640625" style="158" customWidth="1"/>
    <col min="15" max="16384" width="9.109375" style="158"/>
  </cols>
  <sheetData>
    <row r="1" spans="1:14" ht="17.399999999999999">
      <c r="A1" s="874" t="s">
        <v>370</v>
      </c>
      <c r="B1" s="874"/>
      <c r="C1" s="874"/>
      <c r="D1" s="874"/>
      <c r="E1" s="874"/>
      <c r="F1" s="874"/>
      <c r="G1" s="874"/>
      <c r="H1" s="874"/>
      <c r="I1" s="874"/>
      <c r="J1" s="874"/>
      <c r="K1" s="874"/>
      <c r="L1" s="874"/>
      <c r="M1" s="874"/>
      <c r="N1" s="874"/>
    </row>
    <row r="2" spans="1:14" ht="15">
      <c r="A2" s="875" t="s">
        <v>0</v>
      </c>
      <c r="B2" s="876"/>
      <c r="C2" s="876"/>
      <c r="D2" s="876"/>
      <c r="E2" s="876"/>
      <c r="F2" s="876"/>
      <c r="G2" s="876"/>
      <c r="H2" s="876"/>
      <c r="I2" s="876"/>
      <c r="J2" s="876"/>
      <c r="K2" s="876"/>
      <c r="L2" s="876"/>
      <c r="M2" s="876"/>
      <c r="N2" s="876"/>
    </row>
    <row r="3" spans="1:14" ht="16.8">
      <c r="A3" s="217"/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</row>
    <row r="4" spans="1:14" ht="16.8">
      <c r="A4" s="217"/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</row>
    <row r="5" spans="1:14"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</row>
    <row r="6" spans="1:14">
      <c r="A6" s="161" t="s">
        <v>1</v>
      </c>
      <c r="C6" s="161"/>
      <c r="D6" s="161"/>
      <c r="E6" s="218" t="s">
        <v>2</v>
      </c>
      <c r="F6" s="877"/>
      <c r="G6" s="877"/>
      <c r="H6" s="877"/>
      <c r="I6" s="877"/>
      <c r="J6" s="877"/>
      <c r="K6" s="877"/>
      <c r="L6" s="877"/>
      <c r="M6" s="161"/>
    </row>
    <row r="7" spans="1:14">
      <c r="A7" s="161" t="s">
        <v>3</v>
      </c>
      <c r="C7" s="161"/>
      <c r="D7" s="161"/>
      <c r="E7" s="219" t="s">
        <v>2</v>
      </c>
      <c r="F7" s="878"/>
      <c r="G7" s="878"/>
      <c r="H7" s="878"/>
      <c r="I7" s="878"/>
      <c r="J7" s="878"/>
      <c r="K7" s="878"/>
      <c r="L7" s="878"/>
      <c r="M7" s="161"/>
    </row>
    <row r="8" spans="1:14">
      <c r="A8" s="161" t="s">
        <v>4</v>
      </c>
      <c r="C8" s="161"/>
      <c r="D8" s="161"/>
      <c r="E8" s="219" t="s">
        <v>2</v>
      </c>
      <c r="F8" s="219"/>
      <c r="G8" s="219"/>
      <c r="H8" s="219"/>
      <c r="I8" s="219"/>
      <c r="J8" s="219"/>
      <c r="K8" s="219"/>
      <c r="L8" s="219"/>
      <c r="M8" s="161"/>
    </row>
    <row r="9" spans="1:14">
      <c r="A9" s="161" t="s">
        <v>5</v>
      </c>
      <c r="C9" s="161"/>
      <c r="D9" s="161"/>
      <c r="E9" s="219" t="s">
        <v>2</v>
      </c>
      <c r="F9" s="219"/>
      <c r="G9" s="219"/>
      <c r="H9" s="219"/>
      <c r="I9" s="219"/>
      <c r="J9" s="219"/>
      <c r="K9" s="219"/>
      <c r="L9" s="219"/>
      <c r="M9" s="161"/>
    </row>
    <row r="10" spans="1:14">
      <c r="A10" s="161" t="s">
        <v>468</v>
      </c>
      <c r="C10" s="161"/>
      <c r="D10" s="161"/>
      <c r="E10" s="219" t="s">
        <v>2</v>
      </c>
      <c r="F10" s="219"/>
      <c r="G10" s="219"/>
      <c r="H10" s="219"/>
      <c r="I10" s="219"/>
      <c r="J10" s="219"/>
      <c r="K10" s="219"/>
      <c r="L10" s="219"/>
      <c r="M10" s="161"/>
    </row>
    <row r="11" spans="1:14">
      <c r="A11" s="161" t="s">
        <v>371</v>
      </c>
      <c r="C11" s="161"/>
      <c r="D11" s="161"/>
      <c r="E11" s="219" t="s">
        <v>2</v>
      </c>
      <c r="F11" s="219"/>
      <c r="G11" s="219"/>
      <c r="H11" s="219"/>
      <c r="I11" s="219"/>
      <c r="J11" s="219"/>
      <c r="K11" s="219"/>
      <c r="L11" s="219"/>
      <c r="M11" s="161"/>
    </row>
    <row r="12" spans="1:14">
      <c r="A12" s="161" t="s">
        <v>372</v>
      </c>
      <c r="C12" s="161"/>
      <c r="D12" s="161"/>
      <c r="E12" s="219" t="s">
        <v>2</v>
      </c>
      <c r="F12" s="219"/>
      <c r="G12" s="219"/>
      <c r="H12" s="219"/>
      <c r="I12" s="219"/>
      <c r="J12" s="219"/>
      <c r="K12" s="219"/>
      <c r="L12" s="219"/>
      <c r="M12" s="161"/>
    </row>
    <row r="13" spans="1:14">
      <c r="A13" s="161" t="s">
        <v>6</v>
      </c>
      <c r="C13" s="161"/>
      <c r="D13" s="161"/>
      <c r="E13" s="219" t="s">
        <v>2</v>
      </c>
      <c r="F13" s="219"/>
      <c r="G13" s="219"/>
      <c r="H13" s="219"/>
      <c r="I13" s="219"/>
      <c r="J13" s="219"/>
      <c r="K13" s="219"/>
      <c r="L13" s="219"/>
      <c r="M13" s="161"/>
    </row>
    <row r="14" spans="1:14"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</row>
    <row r="15" spans="1:14">
      <c r="A15" s="175" t="s">
        <v>7</v>
      </c>
      <c r="B15" s="175" t="s">
        <v>332</v>
      </c>
      <c r="D15" s="175"/>
      <c r="E15" s="175"/>
      <c r="F15" s="220"/>
      <c r="G15" s="220"/>
      <c r="H15" s="220"/>
      <c r="I15" s="175"/>
      <c r="J15" s="175"/>
      <c r="K15" s="175"/>
      <c r="L15" s="175"/>
      <c r="M15" s="175"/>
    </row>
    <row r="16" spans="1:14">
      <c r="B16" s="175"/>
      <c r="C16" s="175"/>
      <c r="D16" s="175"/>
      <c r="E16" s="80" t="s">
        <v>8</v>
      </c>
      <c r="F16" s="80" t="s">
        <v>9</v>
      </c>
      <c r="G16" s="175"/>
      <c r="H16" s="175"/>
      <c r="I16" s="220"/>
      <c r="J16" s="175"/>
      <c r="K16" s="175"/>
      <c r="L16" s="175"/>
      <c r="M16" s="175"/>
    </row>
    <row r="17" spans="1:14" ht="16.2">
      <c r="B17" s="161" t="s">
        <v>10</v>
      </c>
      <c r="D17" s="161"/>
      <c r="E17" s="81"/>
      <c r="F17" s="81"/>
      <c r="G17" s="221" t="s">
        <v>11</v>
      </c>
      <c r="H17" s="221"/>
      <c r="I17" s="220"/>
      <c r="J17" s="161"/>
      <c r="K17" s="161"/>
      <c r="L17" s="161"/>
      <c r="M17" s="161"/>
    </row>
    <row r="18" spans="1:14">
      <c r="B18" s="161" t="s">
        <v>12</v>
      </c>
      <c r="D18" s="161"/>
      <c r="E18" s="81"/>
      <c r="F18" s="81"/>
      <c r="G18" s="161" t="s">
        <v>13</v>
      </c>
      <c r="H18" s="161"/>
      <c r="I18" s="220"/>
      <c r="J18" s="161"/>
      <c r="K18" s="161"/>
      <c r="L18" s="161"/>
      <c r="M18" s="161"/>
    </row>
    <row r="19" spans="1:14">
      <c r="B19" s="161" t="s">
        <v>14</v>
      </c>
      <c r="D19" s="161"/>
      <c r="E19" s="222" t="s">
        <v>15</v>
      </c>
      <c r="F19" s="223" t="s">
        <v>16</v>
      </c>
      <c r="I19" s="161"/>
      <c r="J19" s="161"/>
      <c r="K19" s="161"/>
      <c r="L19" s="161"/>
      <c r="M19" s="161"/>
    </row>
    <row r="20" spans="1:14"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</row>
    <row r="21" spans="1:14">
      <c r="A21" s="175" t="s">
        <v>17</v>
      </c>
      <c r="B21" s="175" t="s">
        <v>333</v>
      </c>
      <c r="D21" s="175"/>
      <c r="E21" s="175"/>
      <c r="F21" s="175"/>
      <c r="G21" s="175"/>
      <c r="H21" s="175"/>
      <c r="I21" s="175"/>
      <c r="J21" s="175"/>
      <c r="K21" s="175"/>
      <c r="L21" s="175"/>
      <c r="M21" s="161"/>
      <c r="N21" s="91" t="s">
        <v>18</v>
      </c>
    </row>
    <row r="22" spans="1:14">
      <c r="B22" s="160" t="s">
        <v>19</v>
      </c>
      <c r="D22" s="161"/>
      <c r="E22" s="161" t="s">
        <v>20</v>
      </c>
      <c r="F22" s="220"/>
      <c r="G22" s="161"/>
      <c r="H22" s="161"/>
      <c r="I22" s="161"/>
      <c r="J22" s="161"/>
      <c r="K22" s="161"/>
      <c r="L22" s="161"/>
      <c r="M22" s="161"/>
      <c r="N22" s="238" t="s">
        <v>21</v>
      </c>
    </row>
    <row r="23" spans="1:14">
      <c r="B23" s="160" t="s">
        <v>22</v>
      </c>
      <c r="D23" s="161"/>
      <c r="E23" s="161" t="s">
        <v>20</v>
      </c>
      <c r="F23" s="220"/>
      <c r="G23" s="161"/>
      <c r="H23" s="161"/>
      <c r="I23" s="161"/>
      <c r="J23" s="161"/>
      <c r="K23" s="161"/>
      <c r="L23" s="161"/>
      <c r="M23" s="161"/>
      <c r="N23" s="238" t="s">
        <v>21</v>
      </c>
    </row>
    <row r="24" spans="1:14"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52"/>
    </row>
    <row r="25" spans="1:14">
      <c r="A25" s="175" t="s">
        <v>23</v>
      </c>
      <c r="B25" s="175" t="s">
        <v>331</v>
      </c>
      <c r="D25" s="161"/>
      <c r="E25" s="161"/>
      <c r="F25" s="161"/>
      <c r="G25" s="176"/>
      <c r="H25" s="176"/>
      <c r="I25" s="177"/>
      <c r="J25" s="178"/>
      <c r="K25" s="161"/>
      <c r="L25" s="161"/>
      <c r="M25" s="161"/>
      <c r="N25" s="52"/>
    </row>
    <row r="26" spans="1:14" ht="15.75" customHeight="1">
      <c r="B26" s="902" t="s">
        <v>24</v>
      </c>
      <c r="C26" s="889" t="s">
        <v>25</v>
      </c>
      <c r="D26" s="890"/>
      <c r="E26" s="890"/>
      <c r="F26" s="890"/>
      <c r="G26" s="890"/>
      <c r="H26" s="891"/>
      <c r="I26" s="881" t="s">
        <v>26</v>
      </c>
      <c r="J26" s="882"/>
      <c r="K26" s="885" t="s">
        <v>27</v>
      </c>
      <c r="L26" s="886"/>
      <c r="N26" s="49"/>
    </row>
    <row r="27" spans="1:14" ht="15" customHeight="1">
      <c r="B27" s="903"/>
      <c r="C27" s="892"/>
      <c r="D27" s="893"/>
      <c r="E27" s="893"/>
      <c r="F27" s="893"/>
      <c r="G27" s="893"/>
      <c r="H27" s="894"/>
      <c r="I27" s="883"/>
      <c r="J27" s="884"/>
      <c r="K27" s="887"/>
      <c r="L27" s="888"/>
      <c r="N27" s="91" t="s">
        <v>28</v>
      </c>
    </row>
    <row r="28" spans="1:14" ht="18" customHeight="1">
      <c r="B28" s="224">
        <v>1</v>
      </c>
      <c r="C28" s="60" t="s">
        <v>361</v>
      </c>
      <c r="D28" s="61"/>
      <c r="E28" s="61"/>
      <c r="F28" s="61"/>
      <c r="G28" s="61"/>
      <c r="H28" s="61"/>
      <c r="I28" s="183"/>
      <c r="J28" s="184" t="s">
        <v>29</v>
      </c>
      <c r="K28" s="879" t="s">
        <v>328</v>
      </c>
      <c r="L28" s="880"/>
      <c r="N28" s="239" t="s">
        <v>30</v>
      </c>
    </row>
    <row r="29" spans="1:14">
      <c r="B29" s="183">
        <v>2</v>
      </c>
      <c r="C29" s="60" t="s">
        <v>31</v>
      </c>
      <c r="D29" s="61"/>
      <c r="E29" s="61"/>
      <c r="F29" s="61"/>
      <c r="G29" s="61"/>
      <c r="H29" s="61"/>
      <c r="I29" s="60"/>
      <c r="J29" s="184" t="s">
        <v>32</v>
      </c>
      <c r="K29" s="895" t="s">
        <v>33</v>
      </c>
      <c r="L29" s="895"/>
      <c r="N29" s="239" t="s">
        <v>30</v>
      </c>
    </row>
    <row r="30" spans="1:14">
      <c r="B30" s="183">
        <v>3</v>
      </c>
      <c r="C30" s="60" t="s">
        <v>34</v>
      </c>
      <c r="D30" s="61"/>
      <c r="E30" s="61"/>
      <c r="F30" s="61"/>
      <c r="G30" s="61"/>
      <c r="H30" s="61"/>
      <c r="I30" s="60"/>
      <c r="J30" s="184" t="s">
        <v>35</v>
      </c>
      <c r="K30" s="895" t="s">
        <v>36</v>
      </c>
      <c r="L30" s="895"/>
      <c r="N30" s="239" t="s">
        <v>37</v>
      </c>
    </row>
    <row r="31" spans="1:14">
      <c r="B31" s="197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229"/>
      <c r="N31" s="52"/>
    </row>
    <row r="32" spans="1:14">
      <c r="A32" s="175" t="s">
        <v>38</v>
      </c>
      <c r="B32" s="175" t="s">
        <v>362</v>
      </c>
      <c r="D32" s="175"/>
      <c r="E32" s="175"/>
      <c r="F32" s="175"/>
      <c r="G32" s="175"/>
      <c r="H32" s="175"/>
      <c r="I32" s="197"/>
      <c r="J32" s="161"/>
      <c r="K32" s="161"/>
      <c r="L32" s="161"/>
      <c r="M32" s="161"/>
      <c r="N32" s="52"/>
    </row>
    <row r="33" spans="1:14">
      <c r="B33" s="904" t="s">
        <v>24</v>
      </c>
      <c r="C33" s="904" t="s">
        <v>25</v>
      </c>
      <c r="D33" s="904" t="s">
        <v>184</v>
      </c>
      <c r="E33" s="896" t="s">
        <v>40</v>
      </c>
      <c r="F33" s="897"/>
      <c r="G33" s="897"/>
      <c r="H33" s="897"/>
      <c r="I33" s="898"/>
      <c r="J33" s="193" t="s">
        <v>41</v>
      </c>
      <c r="M33" s="220"/>
    </row>
    <row r="34" spans="1:14">
      <c r="B34" s="904"/>
      <c r="C34" s="904"/>
      <c r="D34" s="904"/>
      <c r="E34" s="80" t="s">
        <v>42</v>
      </c>
      <c r="F34" s="80" t="s">
        <v>43</v>
      </c>
      <c r="G34" s="80" t="s">
        <v>44</v>
      </c>
      <c r="H34" s="80" t="s">
        <v>45</v>
      </c>
      <c r="I34" s="80" t="s">
        <v>46</v>
      </c>
      <c r="J34" s="908" t="s">
        <v>47</v>
      </c>
      <c r="M34" s="220"/>
      <c r="N34" s="91" t="s">
        <v>369</v>
      </c>
    </row>
    <row r="35" spans="1:14" ht="20.100000000000001" customHeight="1">
      <c r="B35" s="182">
        <v>1</v>
      </c>
      <c r="C35" s="905" t="s">
        <v>48</v>
      </c>
      <c r="D35" s="182">
        <v>30</v>
      </c>
      <c r="E35" s="80"/>
      <c r="F35" s="80"/>
      <c r="G35" s="80"/>
      <c r="H35" s="80"/>
      <c r="I35" s="80"/>
      <c r="J35" s="909"/>
      <c r="M35" s="220"/>
      <c r="N35" s="899" t="s">
        <v>412</v>
      </c>
    </row>
    <row r="36" spans="1:14" ht="20.100000000000001" customHeight="1">
      <c r="B36" s="225" t="s">
        <v>49</v>
      </c>
      <c r="C36" s="906"/>
      <c r="D36" s="226">
        <v>60</v>
      </c>
      <c r="E36" s="227"/>
      <c r="F36" s="228"/>
      <c r="G36" s="228"/>
      <c r="H36" s="228"/>
      <c r="I36" s="228"/>
      <c r="J36" s="909"/>
      <c r="M36" s="220"/>
      <c r="N36" s="900"/>
    </row>
    <row r="37" spans="1:14" ht="20.100000000000001" customHeight="1">
      <c r="B37" s="182">
        <v>3</v>
      </c>
      <c r="C37" s="906"/>
      <c r="D37" s="226">
        <v>90</v>
      </c>
      <c r="E37" s="227"/>
      <c r="F37" s="228"/>
      <c r="G37" s="228"/>
      <c r="H37" s="228"/>
      <c r="I37" s="228"/>
      <c r="J37" s="909"/>
      <c r="M37" s="220"/>
      <c r="N37" s="900"/>
    </row>
    <row r="38" spans="1:14" ht="20.100000000000001" customHeight="1">
      <c r="B38" s="225" t="s">
        <v>50</v>
      </c>
      <c r="C38" s="906"/>
      <c r="D38" s="226">
        <v>120</v>
      </c>
      <c r="E38" s="227"/>
      <c r="F38" s="228"/>
      <c r="G38" s="228"/>
      <c r="H38" s="228"/>
      <c r="I38" s="228"/>
      <c r="J38" s="909"/>
      <c r="M38" s="220"/>
      <c r="N38" s="900"/>
    </row>
    <row r="39" spans="1:14" ht="20.100000000000001" customHeight="1">
      <c r="B39" s="182">
        <v>5</v>
      </c>
      <c r="C39" s="906"/>
      <c r="D39" s="226">
        <v>150</v>
      </c>
      <c r="E39" s="227"/>
      <c r="F39" s="228"/>
      <c r="G39" s="228"/>
      <c r="H39" s="228"/>
      <c r="I39" s="228"/>
      <c r="J39" s="909"/>
      <c r="M39" s="220"/>
      <c r="N39" s="900"/>
    </row>
    <row r="40" spans="1:14" ht="20.100000000000001" customHeight="1">
      <c r="B40" s="225" t="s">
        <v>51</v>
      </c>
      <c r="C40" s="906"/>
      <c r="D40" s="226">
        <v>180</v>
      </c>
      <c r="E40" s="227"/>
      <c r="F40" s="228"/>
      <c r="G40" s="228"/>
      <c r="H40" s="228"/>
      <c r="I40" s="228"/>
      <c r="J40" s="909"/>
      <c r="M40" s="220"/>
      <c r="N40" s="900"/>
    </row>
    <row r="41" spans="1:14" ht="20.100000000000001" customHeight="1">
      <c r="B41" s="182">
        <v>7</v>
      </c>
      <c r="C41" s="907"/>
      <c r="D41" s="226">
        <v>210</v>
      </c>
      <c r="E41" s="227"/>
      <c r="F41" s="228"/>
      <c r="G41" s="228"/>
      <c r="H41" s="228"/>
      <c r="I41" s="228"/>
      <c r="J41" s="910"/>
      <c r="M41" s="220"/>
      <c r="N41" s="901"/>
    </row>
    <row r="42" spans="1:14">
      <c r="B42" s="197"/>
      <c r="C42" s="197"/>
      <c r="D42" s="229"/>
      <c r="E42" s="197"/>
      <c r="F42" s="197"/>
      <c r="G42" s="197"/>
      <c r="H42" s="197"/>
      <c r="I42" s="197"/>
      <c r="J42" s="197"/>
      <c r="K42" s="197"/>
      <c r="L42" s="197"/>
      <c r="M42" s="234"/>
    </row>
    <row r="43" spans="1:14">
      <c r="A43" s="175" t="s">
        <v>52</v>
      </c>
      <c r="B43" s="175" t="s">
        <v>53</v>
      </c>
      <c r="D43" s="161"/>
      <c r="E43" s="161"/>
      <c r="F43" s="161"/>
      <c r="G43" s="161"/>
      <c r="H43" s="161"/>
      <c r="I43" s="161"/>
      <c r="J43" s="161"/>
      <c r="K43" s="161"/>
      <c r="L43" s="161"/>
      <c r="M43" s="161"/>
    </row>
    <row r="44" spans="1:14">
      <c r="B44" s="161" t="s">
        <v>54</v>
      </c>
      <c r="D44" s="161"/>
      <c r="E44" s="161"/>
      <c r="F44" s="161"/>
      <c r="G44" s="161"/>
      <c r="H44" s="161"/>
      <c r="I44" s="161"/>
      <c r="J44" s="161"/>
      <c r="K44" s="161"/>
      <c r="L44" s="161"/>
      <c r="M44" s="161"/>
    </row>
    <row r="45" spans="1:14">
      <c r="B45" s="229" t="s">
        <v>54</v>
      </c>
      <c r="D45" s="161"/>
      <c r="E45" s="161"/>
      <c r="F45" s="161"/>
      <c r="G45" s="161"/>
      <c r="H45" s="161"/>
      <c r="I45" s="161"/>
      <c r="J45" s="161"/>
      <c r="K45" s="161"/>
      <c r="L45" s="161" t="s">
        <v>55</v>
      </c>
      <c r="M45" s="161"/>
    </row>
    <row r="46" spans="1:14" ht="15.75" customHeight="1">
      <c r="B46" s="161"/>
      <c r="C46" s="229"/>
      <c r="D46" s="161"/>
      <c r="E46" s="161"/>
      <c r="F46" s="161"/>
      <c r="G46" s="161"/>
      <c r="H46" s="161"/>
      <c r="I46" s="161"/>
      <c r="J46" s="161"/>
      <c r="K46" s="161"/>
      <c r="L46" s="161"/>
      <c r="M46" s="161"/>
    </row>
    <row r="47" spans="1:14">
      <c r="A47" s="175" t="s">
        <v>56</v>
      </c>
      <c r="B47" s="175" t="s">
        <v>351</v>
      </c>
      <c r="D47" s="175"/>
      <c r="E47" s="161"/>
      <c r="F47" s="161"/>
      <c r="G47" s="161"/>
      <c r="H47" s="161"/>
      <c r="I47" s="161"/>
      <c r="J47" s="161"/>
      <c r="K47" s="161"/>
      <c r="L47" s="161"/>
      <c r="M47" s="161"/>
    </row>
    <row r="48" spans="1:14">
      <c r="B48" s="81"/>
      <c r="C48" s="463" t="s">
        <v>335</v>
      </c>
      <c r="D48" s="161"/>
      <c r="E48" s="161"/>
      <c r="F48" s="161"/>
      <c r="G48" s="161"/>
      <c r="H48" s="161"/>
      <c r="I48" s="161"/>
      <c r="J48" s="161"/>
      <c r="K48" s="161"/>
      <c r="L48" s="161"/>
      <c r="M48" s="161"/>
    </row>
    <row r="49" spans="1:13" ht="15.6">
      <c r="B49" s="81"/>
      <c r="C49" s="464" t="s">
        <v>336</v>
      </c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5.6">
      <c r="B50" s="81"/>
      <c r="C50" s="464" t="s">
        <v>57</v>
      </c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5.6">
      <c r="B51" s="81"/>
      <c r="C51" s="465" t="s">
        <v>58</v>
      </c>
      <c r="D51" s="230"/>
      <c r="E51" s="230"/>
      <c r="F51" s="230"/>
      <c r="G51" s="230"/>
      <c r="H51" s="230"/>
      <c r="I51" s="230"/>
      <c r="J51" s="230"/>
      <c r="K51" s="230"/>
      <c r="L51" s="230"/>
      <c r="M51" s="230"/>
    </row>
    <row r="52" spans="1:13" ht="15.6">
      <c r="B52" s="81"/>
      <c r="C52" s="465" t="s">
        <v>59</v>
      </c>
      <c r="D52" s="230"/>
      <c r="E52" s="230"/>
      <c r="F52" s="230"/>
      <c r="G52" s="230"/>
      <c r="H52" s="230"/>
      <c r="I52" s="230"/>
      <c r="J52" s="230"/>
      <c r="K52" s="230"/>
      <c r="L52" s="230"/>
      <c r="M52" s="230"/>
    </row>
    <row r="53" spans="1:13" ht="15.6">
      <c r="B53" s="81"/>
      <c r="C53" s="465" t="s">
        <v>337</v>
      </c>
      <c r="D53" s="230"/>
      <c r="E53" s="230"/>
      <c r="F53" s="230"/>
      <c r="G53" s="230"/>
      <c r="H53" s="230"/>
      <c r="I53" s="230"/>
      <c r="J53" s="230"/>
      <c r="K53" s="230"/>
      <c r="L53" s="230"/>
      <c r="M53" s="230"/>
    </row>
    <row r="54" spans="1:13" ht="15.6">
      <c r="B54" s="342"/>
      <c r="C54" s="466" t="s">
        <v>400</v>
      </c>
      <c r="D54" s="230"/>
      <c r="E54" s="230"/>
      <c r="F54" s="230"/>
      <c r="G54" s="230"/>
      <c r="H54" s="230"/>
      <c r="I54" s="230"/>
      <c r="J54" s="230"/>
      <c r="K54" s="230"/>
      <c r="L54" s="230"/>
      <c r="M54" s="230"/>
    </row>
    <row r="55" spans="1:13">
      <c r="B55" s="197"/>
      <c r="C55" s="467" t="s">
        <v>401</v>
      </c>
      <c r="D55" s="231"/>
      <c r="E55" s="231"/>
      <c r="F55" s="231"/>
      <c r="G55" s="231"/>
      <c r="H55" s="231"/>
      <c r="I55" s="231"/>
      <c r="J55" s="231"/>
      <c r="K55" s="231"/>
      <c r="L55" s="231"/>
      <c r="M55" s="231"/>
    </row>
    <row r="56" spans="1:13">
      <c r="A56" s="175" t="s">
        <v>60</v>
      </c>
      <c r="B56" s="175" t="s">
        <v>61</v>
      </c>
      <c r="D56" s="161"/>
      <c r="E56" s="161"/>
      <c r="F56" s="161"/>
      <c r="G56" s="161"/>
      <c r="H56" s="161"/>
      <c r="I56" s="161"/>
      <c r="J56" s="161"/>
      <c r="K56" s="161"/>
      <c r="L56" s="161"/>
      <c r="M56" s="161"/>
    </row>
    <row r="57" spans="1:13">
      <c r="B57" s="161" t="s">
        <v>334</v>
      </c>
      <c r="D57" s="161"/>
      <c r="E57" s="161"/>
      <c r="F57" s="161"/>
      <c r="G57" s="161"/>
      <c r="H57" s="161"/>
      <c r="I57" s="161"/>
      <c r="J57" s="161"/>
      <c r="K57" s="161"/>
      <c r="L57" s="161"/>
      <c r="M57" s="161"/>
    </row>
    <row r="58" spans="1:13">
      <c r="B58" s="175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</row>
    <row r="59" spans="1:13">
      <c r="A59" s="175" t="s">
        <v>62</v>
      </c>
      <c r="B59" s="175" t="s">
        <v>63</v>
      </c>
      <c r="D59" s="161"/>
      <c r="E59" s="161"/>
      <c r="F59" s="161"/>
      <c r="G59" s="161"/>
      <c r="H59" s="161"/>
      <c r="I59" s="161"/>
      <c r="J59" s="161"/>
      <c r="K59" s="161"/>
      <c r="L59" s="235"/>
      <c r="M59" s="161"/>
    </row>
    <row r="60" spans="1:13">
      <c r="B60" s="218"/>
      <c r="C60" s="232"/>
      <c r="D60" s="161"/>
      <c r="E60" s="161"/>
      <c r="F60" s="161"/>
      <c r="G60" s="161"/>
      <c r="H60" s="161"/>
      <c r="I60" s="161"/>
      <c r="J60" s="161"/>
      <c r="K60" s="161"/>
      <c r="L60" s="236"/>
      <c r="M60" s="161"/>
    </row>
    <row r="61" spans="1:13">
      <c r="L61" s="237"/>
    </row>
  </sheetData>
  <mergeCells count="18">
    <mergeCell ref="K30:L30"/>
    <mergeCell ref="E33:I33"/>
    <mergeCell ref="N35:N41"/>
    <mergeCell ref="B26:B27"/>
    <mergeCell ref="B33:B34"/>
    <mergeCell ref="C33:C34"/>
    <mergeCell ref="C35:C41"/>
    <mergeCell ref="D33:D34"/>
    <mergeCell ref="J34:J41"/>
    <mergeCell ref="K29:L29"/>
    <mergeCell ref="A1:N1"/>
    <mergeCell ref="A2:N2"/>
    <mergeCell ref="F6:L6"/>
    <mergeCell ref="F7:L7"/>
    <mergeCell ref="K28:L28"/>
    <mergeCell ref="I26:J27"/>
    <mergeCell ref="K26:L27"/>
    <mergeCell ref="C26:H27"/>
  </mergeCells>
  <printOptions horizontalCentered="1"/>
  <pageMargins left="0.5" right="0.45" top="0.5" bottom="0.5" header="0.3" footer="0.3"/>
  <pageSetup paperSize="9" scale="68" orientation="portrait" r:id="rId1"/>
  <headerFooter>
    <oddHeader xml:space="preserve">&amp;R&amp;8OA.024-18 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Q372"/>
  <sheetViews>
    <sheetView view="pageBreakPreview" topLeftCell="A352" zoomScaleNormal="100" zoomScaleSheetLayoutView="100" workbookViewId="0">
      <selection activeCell="M361" sqref="M361"/>
    </sheetView>
  </sheetViews>
  <sheetFormatPr defaultColWidth="9" defaultRowHeight="13.2"/>
  <sheetData>
    <row r="1" spans="1:16" ht="18" thickBot="1">
      <c r="A1" s="1072" t="s">
        <v>198</v>
      </c>
      <c r="B1" s="1073"/>
      <c r="C1" s="1073"/>
      <c r="D1" s="1073"/>
      <c r="E1" s="1073"/>
      <c r="F1" s="1073"/>
      <c r="G1" s="1074"/>
      <c r="H1" s="1073"/>
      <c r="I1" s="1073"/>
      <c r="J1" s="1073"/>
      <c r="K1" s="1073"/>
      <c r="L1" s="1073"/>
      <c r="M1" s="1074"/>
      <c r="N1" s="1073"/>
      <c r="O1" s="1075"/>
      <c r="P1" s="343"/>
    </row>
    <row r="2" spans="1:16">
      <c r="A2" s="1081">
        <v>1</v>
      </c>
      <c r="B2" s="1076" t="s">
        <v>199</v>
      </c>
      <c r="C2" s="1076"/>
      <c r="D2" s="1076"/>
      <c r="E2" s="1076"/>
      <c r="F2" s="1076"/>
      <c r="G2" s="344"/>
      <c r="H2" s="1076" t="str">
        <f>B2</f>
        <v>KOREKSI KIMO THERMOHYGROMETER 15062873</v>
      </c>
      <c r="I2" s="1076"/>
      <c r="J2" s="1076"/>
      <c r="K2" s="1076"/>
      <c r="L2" s="1076"/>
      <c r="M2" s="344"/>
      <c r="N2" s="1077" t="s">
        <v>94</v>
      </c>
      <c r="O2" s="1077"/>
      <c r="P2" s="343"/>
    </row>
    <row r="3" spans="1:16">
      <c r="A3" s="1082"/>
      <c r="B3" s="1078" t="s">
        <v>163</v>
      </c>
      <c r="C3" s="1078"/>
      <c r="D3" s="1078" t="s">
        <v>200</v>
      </c>
      <c r="E3" s="1078"/>
      <c r="F3" s="1078" t="s">
        <v>170</v>
      </c>
      <c r="G3" s="345"/>
      <c r="H3" s="1078" t="s">
        <v>164</v>
      </c>
      <c r="I3" s="1078"/>
      <c r="J3" s="1078" t="s">
        <v>200</v>
      </c>
      <c r="K3" s="1078"/>
      <c r="L3" s="1078" t="s">
        <v>170</v>
      </c>
      <c r="M3" s="345"/>
      <c r="N3" s="346" t="s">
        <v>163</v>
      </c>
      <c r="O3" s="347">
        <v>0.6</v>
      </c>
      <c r="P3" s="343"/>
    </row>
    <row r="4" spans="1:16" ht="14.4">
      <c r="A4" s="1082"/>
      <c r="B4" s="1079" t="s">
        <v>201</v>
      </c>
      <c r="C4" s="1079"/>
      <c r="D4" s="348">
        <v>2020</v>
      </c>
      <c r="E4" s="348">
        <v>2017</v>
      </c>
      <c r="F4" s="1078"/>
      <c r="G4" s="345"/>
      <c r="H4" s="1080" t="s">
        <v>73</v>
      </c>
      <c r="I4" s="1079"/>
      <c r="J4" s="618">
        <f>D4</f>
        <v>2020</v>
      </c>
      <c r="K4" s="618">
        <v>2021</v>
      </c>
      <c r="L4" s="1078"/>
      <c r="M4" s="345"/>
      <c r="N4" s="346" t="s">
        <v>73</v>
      </c>
      <c r="O4" s="347">
        <v>3.1</v>
      </c>
      <c r="P4" s="343"/>
    </row>
    <row r="5" spans="1:16">
      <c r="A5" s="1082"/>
      <c r="B5" s="349"/>
      <c r="C5" s="350">
        <v>15</v>
      </c>
      <c r="D5" s="350">
        <v>-0.5</v>
      </c>
      <c r="E5" s="350">
        <v>0.3</v>
      </c>
      <c r="F5" s="351">
        <f t="shared" ref="F5:F11" si="0">0.5*(MAX(D5:E5)-MIN(D5:E5))</f>
        <v>0.4</v>
      </c>
      <c r="G5" s="345"/>
      <c r="H5" s="349"/>
      <c r="I5" s="350">
        <v>35</v>
      </c>
      <c r="J5" s="350">
        <v>-6</v>
      </c>
      <c r="K5" s="350">
        <v>9.9999999999999995E-7</v>
      </c>
      <c r="L5" s="351">
        <f t="shared" ref="L5:L11" si="1">0.5*(MAX(J5:K5)-MIN(J5:K5))</f>
        <v>3.0000005000000001</v>
      </c>
      <c r="M5" s="345"/>
      <c r="N5" s="345"/>
      <c r="O5" s="352"/>
      <c r="P5" s="343"/>
    </row>
    <row r="6" spans="1:16">
      <c r="A6" s="1082"/>
      <c r="B6" s="349"/>
      <c r="C6" s="350">
        <v>20</v>
      </c>
      <c r="D6" s="350">
        <v>-0.2</v>
      </c>
      <c r="E6" s="350">
        <v>0.2</v>
      </c>
      <c r="F6" s="351">
        <f>0.5*(MAX(D6:E6)-MIN(D6:E6))</f>
        <v>0.2</v>
      </c>
      <c r="G6" s="345"/>
      <c r="H6" s="349"/>
      <c r="I6" s="350">
        <v>40</v>
      </c>
      <c r="J6" s="350">
        <v>-5.8</v>
      </c>
      <c r="K6" s="350">
        <v>9.9999999999999995E-7</v>
      </c>
      <c r="L6" s="351">
        <f t="shared" si="1"/>
        <v>2.9000005</v>
      </c>
      <c r="M6" s="345"/>
      <c r="N6" s="345"/>
      <c r="O6" s="352"/>
      <c r="P6" s="343"/>
    </row>
    <row r="7" spans="1:16">
      <c r="A7" s="1082"/>
      <c r="B7" s="349"/>
      <c r="C7" s="350">
        <v>25</v>
      </c>
      <c r="D7" s="350">
        <v>9.9999999999999995E-7</v>
      </c>
      <c r="E7" s="350">
        <v>0.1</v>
      </c>
      <c r="F7" s="351">
        <f t="shared" si="0"/>
        <v>4.9999500000000002E-2</v>
      </c>
      <c r="G7" s="345"/>
      <c r="H7" s="349"/>
      <c r="I7" s="350">
        <v>50</v>
      </c>
      <c r="J7" s="350">
        <v>-5.3</v>
      </c>
      <c r="K7" s="350">
        <v>9.9999999999999995E-7</v>
      </c>
      <c r="L7" s="351">
        <f t="shared" si="1"/>
        <v>2.6500005</v>
      </c>
      <c r="M7" s="345"/>
      <c r="N7" s="345"/>
      <c r="O7" s="352"/>
      <c r="P7" s="343"/>
    </row>
    <row r="8" spans="1:16">
      <c r="A8" s="1082"/>
      <c r="B8" s="349"/>
      <c r="C8" s="353">
        <v>30</v>
      </c>
      <c r="D8" s="350">
        <v>9.9999999999999995E-7</v>
      </c>
      <c r="E8" s="355">
        <v>-0.2</v>
      </c>
      <c r="F8" s="351">
        <f t="shared" si="0"/>
        <v>0.10000050000000001</v>
      </c>
      <c r="G8" s="345"/>
      <c r="H8" s="349"/>
      <c r="I8" s="353">
        <v>60</v>
      </c>
      <c r="J8" s="354">
        <v>-4.4000000000000004</v>
      </c>
      <c r="K8" s="350">
        <v>9.9999999999999995E-7</v>
      </c>
      <c r="L8" s="351">
        <f t="shared" si="1"/>
        <v>2.2000005000000002</v>
      </c>
      <c r="M8" s="345"/>
      <c r="N8" s="345"/>
      <c r="O8" s="352"/>
      <c r="P8" s="343"/>
    </row>
    <row r="9" spans="1:16">
      <c r="A9" s="1082"/>
      <c r="B9" s="349"/>
      <c r="C9" s="353">
        <v>35</v>
      </c>
      <c r="D9" s="354">
        <v>-0.1</v>
      </c>
      <c r="E9" s="355">
        <v>-0.5</v>
      </c>
      <c r="F9" s="351">
        <f t="shared" si="0"/>
        <v>0.2</v>
      </c>
      <c r="G9" s="345"/>
      <c r="H9" s="349"/>
      <c r="I9" s="353">
        <v>70</v>
      </c>
      <c r="J9" s="354">
        <v>-3.2</v>
      </c>
      <c r="K9" s="350">
        <v>9.9999999999999995E-7</v>
      </c>
      <c r="L9" s="351">
        <f t="shared" si="1"/>
        <v>1.6000005000000002</v>
      </c>
      <c r="M9" s="345"/>
      <c r="N9" s="345"/>
      <c r="O9" s="352"/>
      <c r="P9" s="343"/>
    </row>
    <row r="10" spans="1:16">
      <c r="A10" s="1082"/>
      <c r="B10" s="349"/>
      <c r="C10" s="353">
        <v>37</v>
      </c>
      <c r="D10" s="354">
        <v>-0.2</v>
      </c>
      <c r="E10" s="355">
        <v>-0.6</v>
      </c>
      <c r="F10" s="351">
        <f t="shared" si="0"/>
        <v>0.19999999999999998</v>
      </c>
      <c r="G10" s="345"/>
      <c r="H10" s="349"/>
      <c r="I10" s="353">
        <v>80</v>
      </c>
      <c r="J10" s="354">
        <v>-1.6</v>
      </c>
      <c r="K10" s="350">
        <v>9.9999999999999995E-7</v>
      </c>
      <c r="L10" s="351">
        <f t="shared" si="1"/>
        <v>0.8000005</v>
      </c>
      <c r="M10" s="345"/>
      <c r="N10" s="345"/>
      <c r="O10" s="352"/>
      <c r="P10" s="343"/>
    </row>
    <row r="11" spans="1:16" ht="13.8" thickBot="1">
      <c r="A11" s="1083"/>
      <c r="B11" s="349"/>
      <c r="C11" s="353">
        <v>40</v>
      </c>
      <c r="D11" s="354">
        <v>-0.3</v>
      </c>
      <c r="E11" s="355">
        <v>-0.8</v>
      </c>
      <c r="F11" s="351">
        <f t="shared" si="0"/>
        <v>0.25</v>
      </c>
      <c r="G11" s="356"/>
      <c r="H11" s="349"/>
      <c r="I11" s="353">
        <v>90</v>
      </c>
      <c r="J11" s="354">
        <v>0.3</v>
      </c>
      <c r="K11" s="350">
        <v>9.9999999999999995E-7</v>
      </c>
      <c r="L11" s="351">
        <f t="shared" si="1"/>
        <v>0.14999950000000001</v>
      </c>
      <c r="M11" s="356"/>
      <c r="N11" s="356"/>
      <c r="O11" s="357"/>
      <c r="P11" s="343"/>
    </row>
    <row r="12" spans="1:16" ht="13.8" thickBot="1">
      <c r="A12" s="358"/>
      <c r="B12" s="358"/>
      <c r="C12" s="345"/>
      <c r="D12" s="345"/>
      <c r="E12" s="345"/>
      <c r="F12" s="345"/>
      <c r="G12" s="345"/>
      <c r="H12" s="345"/>
      <c r="I12" s="345"/>
      <c r="J12" s="345"/>
      <c r="K12" s="345"/>
      <c r="L12" s="345"/>
      <c r="M12" s="345"/>
      <c r="N12" s="345"/>
      <c r="O12" s="352"/>
      <c r="P12" s="343"/>
    </row>
    <row r="13" spans="1:16">
      <c r="A13" s="1081">
        <v>2</v>
      </c>
      <c r="B13" s="1076" t="s">
        <v>202</v>
      </c>
      <c r="C13" s="1076"/>
      <c r="D13" s="1076"/>
      <c r="E13" s="1076"/>
      <c r="F13" s="1076"/>
      <c r="G13" s="344"/>
      <c r="H13" s="1076" t="str">
        <f>B13</f>
        <v>KOREKSI KIMO THERMOHYGROMETER 15062874</v>
      </c>
      <c r="I13" s="1076"/>
      <c r="J13" s="1076"/>
      <c r="K13" s="1076"/>
      <c r="L13" s="1076"/>
      <c r="M13" s="344"/>
      <c r="N13" s="1077" t="s">
        <v>94</v>
      </c>
      <c r="O13" s="1077"/>
      <c r="P13" s="343"/>
    </row>
    <row r="14" spans="1:16">
      <c r="A14" s="1082"/>
      <c r="B14" s="1078" t="s">
        <v>163</v>
      </c>
      <c r="C14" s="1078"/>
      <c r="D14" s="1078" t="s">
        <v>200</v>
      </c>
      <c r="E14" s="1078"/>
      <c r="F14" s="1078" t="s">
        <v>170</v>
      </c>
      <c r="G14" s="345"/>
      <c r="H14" s="1078" t="s">
        <v>164</v>
      </c>
      <c r="I14" s="1078"/>
      <c r="J14" s="1078" t="s">
        <v>200</v>
      </c>
      <c r="K14" s="1078"/>
      <c r="L14" s="1078" t="s">
        <v>170</v>
      </c>
      <c r="M14" s="345"/>
      <c r="N14" s="346" t="s">
        <v>163</v>
      </c>
      <c r="O14" s="359">
        <v>0.3</v>
      </c>
      <c r="P14" s="343"/>
    </row>
    <row r="15" spans="1:16" ht="14.4">
      <c r="A15" s="1082"/>
      <c r="B15" s="1079" t="s">
        <v>201</v>
      </c>
      <c r="C15" s="1079"/>
      <c r="D15" s="348">
        <v>2018</v>
      </c>
      <c r="E15" s="348">
        <v>2017</v>
      </c>
      <c r="F15" s="1078"/>
      <c r="G15" s="345"/>
      <c r="H15" s="1080" t="s">
        <v>73</v>
      </c>
      <c r="I15" s="1079"/>
      <c r="J15" s="618">
        <f>D15</f>
        <v>2018</v>
      </c>
      <c r="K15" s="618">
        <f>E15</f>
        <v>2017</v>
      </c>
      <c r="L15" s="1078"/>
      <c r="M15" s="345"/>
      <c r="N15" s="346" t="s">
        <v>73</v>
      </c>
      <c r="O15" s="359">
        <v>3.3</v>
      </c>
      <c r="P15" s="343"/>
    </row>
    <row r="16" spans="1:16">
      <c r="A16" s="1082"/>
      <c r="B16" s="349"/>
      <c r="C16" s="350">
        <v>15</v>
      </c>
      <c r="D16" s="350">
        <v>9.9999999999999995E-7</v>
      </c>
      <c r="E16" s="350">
        <v>0.5</v>
      </c>
      <c r="F16" s="351">
        <f t="shared" ref="F16:F22" si="2">0.5*(MAX(D16:E16)-MIN(D16:E16))</f>
        <v>0.24999950000000001</v>
      </c>
      <c r="G16" s="345"/>
      <c r="H16" s="349"/>
      <c r="I16" s="350">
        <v>35</v>
      </c>
      <c r="J16" s="350">
        <v>-1.6</v>
      </c>
      <c r="K16" s="350">
        <v>-0.9</v>
      </c>
      <c r="L16" s="351">
        <f t="shared" ref="L16:L22" si="3">0.5*(MAX(J16:K16)-MIN(J16:K16))</f>
        <v>0.35000000000000003</v>
      </c>
      <c r="M16" s="345"/>
      <c r="N16" s="345"/>
      <c r="O16" s="352"/>
      <c r="P16" s="343"/>
    </row>
    <row r="17" spans="1:16">
      <c r="A17" s="1082"/>
      <c r="B17" s="349"/>
      <c r="C17" s="350">
        <v>20</v>
      </c>
      <c r="D17" s="350">
        <v>-0.1</v>
      </c>
      <c r="E17" s="350">
        <v>0</v>
      </c>
      <c r="F17" s="351">
        <f t="shared" si="2"/>
        <v>0.05</v>
      </c>
      <c r="G17" s="345"/>
      <c r="H17" s="349"/>
      <c r="I17" s="350">
        <v>40</v>
      </c>
      <c r="J17" s="350">
        <v>-1.6</v>
      </c>
      <c r="K17" s="350">
        <v>-1.1000000000000001</v>
      </c>
      <c r="L17" s="351">
        <f t="shared" si="3"/>
        <v>0.25</v>
      </c>
      <c r="M17" s="345"/>
      <c r="N17" s="345"/>
      <c r="O17" s="352"/>
      <c r="P17" s="343"/>
    </row>
    <row r="18" spans="1:16">
      <c r="A18" s="1082"/>
      <c r="B18" s="349"/>
      <c r="C18" s="350">
        <v>25</v>
      </c>
      <c r="D18" s="350">
        <v>-0.2</v>
      </c>
      <c r="E18" s="350">
        <v>-0.5</v>
      </c>
      <c r="F18" s="351">
        <f t="shared" si="2"/>
        <v>0.15</v>
      </c>
      <c r="G18" s="345"/>
      <c r="H18" s="349"/>
      <c r="I18" s="350">
        <v>50</v>
      </c>
      <c r="J18" s="350">
        <v>-1.5</v>
      </c>
      <c r="K18" s="350">
        <v>-1.4</v>
      </c>
      <c r="L18" s="351">
        <f t="shared" si="3"/>
        <v>5.0000000000000044E-2</v>
      </c>
      <c r="M18" s="345"/>
      <c r="N18" s="345"/>
      <c r="O18" s="352"/>
      <c r="P18" s="343"/>
    </row>
    <row r="19" spans="1:16">
      <c r="A19" s="1082"/>
      <c r="B19" s="349"/>
      <c r="C19" s="353">
        <v>30</v>
      </c>
      <c r="D19" s="355">
        <v>-0.3</v>
      </c>
      <c r="E19" s="353">
        <v>-1</v>
      </c>
      <c r="F19" s="351">
        <f t="shared" si="2"/>
        <v>0.35</v>
      </c>
      <c r="G19" s="345"/>
      <c r="H19" s="349"/>
      <c r="I19" s="353">
        <v>60</v>
      </c>
      <c r="J19" s="355">
        <v>-1.3</v>
      </c>
      <c r="K19" s="353">
        <v>-1.3</v>
      </c>
      <c r="L19" s="351">
        <f t="shared" si="3"/>
        <v>0</v>
      </c>
      <c r="M19" s="345"/>
      <c r="N19" s="345"/>
      <c r="O19" s="352"/>
      <c r="P19" s="343"/>
    </row>
    <row r="20" spans="1:16">
      <c r="A20" s="1082"/>
      <c r="B20" s="349"/>
      <c r="C20" s="353">
        <v>35</v>
      </c>
      <c r="D20" s="355">
        <v>-0.3</v>
      </c>
      <c r="E20" s="353">
        <v>-1.6</v>
      </c>
      <c r="F20" s="351">
        <f t="shared" si="2"/>
        <v>0.65</v>
      </c>
      <c r="G20" s="345"/>
      <c r="H20" s="349"/>
      <c r="I20" s="353">
        <v>70</v>
      </c>
      <c r="J20" s="355">
        <v>-1.1000000000000001</v>
      </c>
      <c r="K20" s="353">
        <v>-1</v>
      </c>
      <c r="L20" s="351">
        <f t="shared" si="3"/>
        <v>5.0000000000000044E-2</v>
      </c>
      <c r="M20" s="345"/>
      <c r="N20" s="345"/>
      <c r="O20" s="352"/>
      <c r="P20" s="343"/>
    </row>
    <row r="21" spans="1:16">
      <c r="A21" s="1082"/>
      <c r="B21" s="349"/>
      <c r="C21" s="353">
        <v>37</v>
      </c>
      <c r="D21" s="355">
        <v>-0.3</v>
      </c>
      <c r="E21" s="353">
        <v>-1.8</v>
      </c>
      <c r="F21" s="351">
        <f t="shared" si="2"/>
        <v>0.75</v>
      </c>
      <c r="G21" s="345"/>
      <c r="H21" s="349"/>
      <c r="I21" s="353">
        <v>80</v>
      </c>
      <c r="J21" s="355">
        <v>-0.7</v>
      </c>
      <c r="K21" s="353">
        <v>-0.4</v>
      </c>
      <c r="L21" s="351">
        <f t="shared" si="3"/>
        <v>0.14999999999999997</v>
      </c>
      <c r="M21" s="345"/>
      <c r="N21" s="345"/>
      <c r="O21" s="352"/>
      <c r="P21" s="343"/>
    </row>
    <row r="22" spans="1:16" ht="13.8" thickBot="1">
      <c r="A22" s="1083"/>
      <c r="B22" s="349"/>
      <c r="C22" s="353">
        <v>40</v>
      </c>
      <c r="D22" s="355">
        <v>-0.3</v>
      </c>
      <c r="E22" s="353">
        <v>-2.1</v>
      </c>
      <c r="F22" s="351">
        <f t="shared" si="2"/>
        <v>0.9</v>
      </c>
      <c r="G22" s="356"/>
      <c r="H22" s="349"/>
      <c r="I22" s="353">
        <v>90</v>
      </c>
      <c r="J22" s="355">
        <v>-0.3</v>
      </c>
      <c r="K22" s="353">
        <v>0.6</v>
      </c>
      <c r="L22" s="351">
        <f t="shared" si="3"/>
        <v>0.44999999999999996</v>
      </c>
      <c r="M22" s="356"/>
      <c r="N22" s="356"/>
      <c r="O22" s="357"/>
      <c r="P22" s="343"/>
    </row>
    <row r="23" spans="1:16" ht="13.8" thickBot="1">
      <c r="A23" s="358"/>
      <c r="B23" s="358"/>
      <c r="C23" s="345"/>
      <c r="D23" s="345"/>
      <c r="E23" s="345"/>
      <c r="F23" s="345"/>
      <c r="G23" s="345"/>
      <c r="H23" s="345"/>
      <c r="I23" s="345"/>
      <c r="J23" s="345"/>
      <c r="K23" s="345"/>
      <c r="L23" s="345"/>
      <c r="M23" s="345"/>
      <c r="N23" s="345"/>
      <c r="O23" s="352"/>
      <c r="P23" s="343"/>
    </row>
    <row r="24" spans="1:16">
      <c r="A24" s="1081">
        <v>3</v>
      </c>
      <c r="B24" s="1076" t="s">
        <v>203</v>
      </c>
      <c r="C24" s="1076"/>
      <c r="D24" s="1076"/>
      <c r="E24" s="1076"/>
      <c r="F24" s="1076"/>
      <c r="G24" s="344"/>
      <c r="H24" s="1076" t="str">
        <f>B24</f>
        <v>KOREKSI KIMO THERMOHYGROMETER 14082463</v>
      </c>
      <c r="I24" s="1076"/>
      <c r="J24" s="1076"/>
      <c r="K24" s="1076"/>
      <c r="L24" s="1076"/>
      <c r="M24" s="344"/>
      <c r="N24" s="1077" t="s">
        <v>94</v>
      </c>
      <c r="O24" s="1077"/>
      <c r="P24" s="343"/>
    </row>
    <row r="25" spans="1:16">
      <c r="A25" s="1082"/>
      <c r="B25" s="1078" t="s">
        <v>163</v>
      </c>
      <c r="C25" s="1078"/>
      <c r="D25" s="1078" t="s">
        <v>200</v>
      </c>
      <c r="E25" s="1078"/>
      <c r="F25" s="1078" t="s">
        <v>170</v>
      </c>
      <c r="G25" s="345"/>
      <c r="H25" s="1078" t="s">
        <v>164</v>
      </c>
      <c r="I25" s="1078"/>
      <c r="J25" s="1078" t="s">
        <v>200</v>
      </c>
      <c r="K25" s="1078"/>
      <c r="L25" s="1078" t="s">
        <v>170</v>
      </c>
      <c r="M25" s="345"/>
      <c r="N25" s="346" t="s">
        <v>163</v>
      </c>
      <c r="O25" s="359">
        <v>0.3</v>
      </c>
      <c r="P25" s="343"/>
    </row>
    <row r="26" spans="1:16" ht="14.4">
      <c r="A26" s="1082"/>
      <c r="B26" s="1079" t="s">
        <v>201</v>
      </c>
      <c r="C26" s="1079"/>
      <c r="D26" s="348">
        <v>2018</v>
      </c>
      <c r="E26" s="348">
        <v>2017</v>
      </c>
      <c r="F26" s="1078"/>
      <c r="G26" s="345"/>
      <c r="H26" s="1080" t="s">
        <v>73</v>
      </c>
      <c r="I26" s="1079"/>
      <c r="J26" s="618">
        <f>D26</f>
        <v>2018</v>
      </c>
      <c r="K26" s="618">
        <f>E26</f>
        <v>2017</v>
      </c>
      <c r="L26" s="1078"/>
      <c r="M26" s="345"/>
      <c r="N26" s="346" t="s">
        <v>73</v>
      </c>
      <c r="O26" s="359">
        <v>3.1</v>
      </c>
      <c r="P26" s="343"/>
    </row>
    <row r="27" spans="1:16">
      <c r="A27" s="1082"/>
      <c r="B27" s="349"/>
      <c r="C27" s="350">
        <v>15</v>
      </c>
      <c r="D27" s="350">
        <v>9.9999999999999995E-7</v>
      </c>
      <c r="E27" s="350">
        <v>0.2</v>
      </c>
      <c r="F27" s="351">
        <f t="shared" ref="F27:F33" si="4">0.5*(MAX(D27:E27)-MIN(D27:E27))</f>
        <v>9.9999500000000005E-2</v>
      </c>
      <c r="G27" s="345"/>
      <c r="H27" s="349"/>
      <c r="I27" s="350">
        <v>30</v>
      </c>
      <c r="J27" s="350">
        <v>-5.7</v>
      </c>
      <c r="K27" s="350">
        <v>-1.1000000000000001</v>
      </c>
      <c r="L27" s="351">
        <f t="shared" ref="L27:L33" si="5">0.5*(MAX(J27:K27)-MIN(J27:K27))</f>
        <v>2.2999999999999998</v>
      </c>
      <c r="M27" s="345"/>
      <c r="N27" s="345"/>
      <c r="O27" s="352"/>
      <c r="P27" s="343"/>
    </row>
    <row r="28" spans="1:16">
      <c r="A28" s="1082"/>
      <c r="B28" s="349"/>
      <c r="C28" s="350">
        <v>20</v>
      </c>
      <c r="D28" s="350">
        <v>9.9999999999999995E-7</v>
      </c>
      <c r="E28" s="350">
        <v>9.9999999999999995E-7</v>
      </c>
      <c r="F28" s="351">
        <f t="shared" si="4"/>
        <v>0</v>
      </c>
      <c r="G28" s="345"/>
      <c r="H28" s="349"/>
      <c r="I28" s="350">
        <v>40</v>
      </c>
      <c r="J28" s="350">
        <v>-5.3</v>
      </c>
      <c r="K28" s="350">
        <v>-1.9</v>
      </c>
      <c r="L28" s="351">
        <f t="shared" si="5"/>
        <v>1.7</v>
      </c>
      <c r="M28" s="345"/>
      <c r="N28" s="345"/>
      <c r="O28" s="352"/>
      <c r="P28" s="343"/>
    </row>
    <row r="29" spans="1:16">
      <c r="A29" s="1082"/>
      <c r="B29" s="349"/>
      <c r="C29" s="350">
        <v>25</v>
      </c>
      <c r="D29" s="350">
        <v>-0.1</v>
      </c>
      <c r="E29" s="350">
        <v>-0.2</v>
      </c>
      <c r="F29" s="351">
        <f t="shared" si="4"/>
        <v>0.05</v>
      </c>
      <c r="G29" s="345"/>
      <c r="H29" s="349"/>
      <c r="I29" s="350">
        <v>50</v>
      </c>
      <c r="J29" s="350">
        <v>-4.9000000000000004</v>
      </c>
      <c r="K29" s="350">
        <v>-2.2999999999999998</v>
      </c>
      <c r="L29" s="351">
        <f t="shared" si="5"/>
        <v>1.3000000000000003</v>
      </c>
      <c r="M29" s="345"/>
      <c r="N29" s="345"/>
      <c r="O29" s="352"/>
      <c r="P29" s="343"/>
    </row>
    <row r="30" spans="1:16">
      <c r="A30" s="1082"/>
      <c r="B30" s="349"/>
      <c r="C30" s="353">
        <v>30</v>
      </c>
      <c r="D30" s="355">
        <v>-0.3</v>
      </c>
      <c r="E30" s="353">
        <v>-0.3</v>
      </c>
      <c r="F30" s="351">
        <f t="shared" si="4"/>
        <v>0</v>
      </c>
      <c r="G30" s="345"/>
      <c r="H30" s="349"/>
      <c r="I30" s="353">
        <v>60</v>
      </c>
      <c r="J30" s="355">
        <v>-4.3</v>
      </c>
      <c r="K30" s="353">
        <v>-2.2000000000000002</v>
      </c>
      <c r="L30" s="351">
        <f t="shared" si="5"/>
        <v>1.0499999999999998</v>
      </c>
      <c r="M30" s="345"/>
      <c r="N30" s="345"/>
      <c r="O30" s="352"/>
      <c r="P30" s="343"/>
    </row>
    <row r="31" spans="1:16">
      <c r="A31" s="1082"/>
      <c r="B31" s="349"/>
      <c r="C31" s="353">
        <v>35</v>
      </c>
      <c r="D31" s="355">
        <v>-0.5</v>
      </c>
      <c r="E31" s="353">
        <v>-0.4</v>
      </c>
      <c r="F31" s="351">
        <f t="shared" si="4"/>
        <v>4.9999999999999989E-2</v>
      </c>
      <c r="G31" s="345"/>
      <c r="H31" s="349"/>
      <c r="I31" s="353">
        <v>70</v>
      </c>
      <c r="J31" s="355">
        <v>-3.6</v>
      </c>
      <c r="K31" s="353">
        <v>-1.6</v>
      </c>
      <c r="L31" s="351">
        <f t="shared" si="5"/>
        <v>1</v>
      </c>
      <c r="M31" s="345"/>
      <c r="N31" s="345"/>
      <c r="O31" s="352"/>
      <c r="P31" s="343"/>
    </row>
    <row r="32" spans="1:16">
      <c r="A32" s="1082"/>
      <c r="B32" s="349"/>
      <c r="C32" s="353">
        <v>37</v>
      </c>
      <c r="D32" s="355">
        <v>-0.6</v>
      </c>
      <c r="E32" s="353">
        <v>-0.5</v>
      </c>
      <c r="F32" s="351">
        <f t="shared" si="4"/>
        <v>4.9999999999999989E-2</v>
      </c>
      <c r="G32" s="345"/>
      <c r="H32" s="349"/>
      <c r="I32" s="353">
        <v>80</v>
      </c>
      <c r="J32" s="355">
        <v>-2.9</v>
      </c>
      <c r="K32" s="353">
        <v>-0.6</v>
      </c>
      <c r="L32" s="351">
        <f t="shared" si="5"/>
        <v>1.1499999999999999</v>
      </c>
      <c r="M32" s="345"/>
      <c r="N32" s="345"/>
      <c r="O32" s="352"/>
      <c r="P32" s="343"/>
    </row>
    <row r="33" spans="1:16" ht="13.8" thickBot="1">
      <c r="A33" s="1083"/>
      <c r="B33" s="349"/>
      <c r="C33" s="353">
        <v>40</v>
      </c>
      <c r="D33" s="355">
        <v>-0.7</v>
      </c>
      <c r="E33" s="353">
        <v>-0.5</v>
      </c>
      <c r="F33" s="351">
        <f t="shared" si="4"/>
        <v>9.9999999999999978E-2</v>
      </c>
      <c r="G33" s="356"/>
      <c r="H33" s="349"/>
      <c r="I33" s="353">
        <v>90</v>
      </c>
      <c r="J33" s="355">
        <v>-2</v>
      </c>
      <c r="K33" s="353">
        <v>0.9</v>
      </c>
      <c r="L33" s="351">
        <f t="shared" si="5"/>
        <v>1.45</v>
      </c>
      <c r="M33" s="356"/>
      <c r="N33" s="356"/>
      <c r="O33" s="357"/>
      <c r="P33" s="343"/>
    </row>
    <row r="34" spans="1:16" ht="13.8" thickBot="1">
      <c r="A34" s="358"/>
      <c r="B34" s="358"/>
      <c r="C34" s="345"/>
      <c r="D34" s="345"/>
      <c r="E34" s="345"/>
      <c r="F34" s="345"/>
      <c r="G34" s="345"/>
      <c r="H34" s="360"/>
      <c r="I34" s="345"/>
      <c r="J34" s="345"/>
      <c r="K34" s="345"/>
      <c r="L34" s="345"/>
      <c r="M34" s="345"/>
      <c r="N34" s="345"/>
      <c r="O34" s="352"/>
      <c r="P34" s="343"/>
    </row>
    <row r="35" spans="1:16" ht="13.8" thickBot="1">
      <c r="A35" s="1099">
        <v>4</v>
      </c>
      <c r="B35" s="1096" t="s">
        <v>204</v>
      </c>
      <c r="C35" s="1097"/>
      <c r="D35" s="1097"/>
      <c r="E35" s="1097"/>
      <c r="F35" s="1098"/>
      <c r="G35" s="344"/>
      <c r="H35" s="1096" t="str">
        <f>B35</f>
        <v>KOREKSI KIMO THERMOHYGROMETER 15062872</v>
      </c>
      <c r="I35" s="1097"/>
      <c r="J35" s="1097"/>
      <c r="K35" s="1097"/>
      <c r="L35" s="1098"/>
      <c r="M35" s="344"/>
      <c r="N35" s="1084" t="s">
        <v>94</v>
      </c>
      <c r="O35" s="1085"/>
      <c r="P35" s="343"/>
    </row>
    <row r="36" spans="1:16" ht="13.8" thickBot="1">
      <c r="A36" s="1100"/>
      <c r="B36" s="1086" t="s">
        <v>163</v>
      </c>
      <c r="C36" s="1087"/>
      <c r="D36" s="1088" t="s">
        <v>200</v>
      </c>
      <c r="E36" s="1089"/>
      <c r="F36" s="1094" t="s">
        <v>170</v>
      </c>
      <c r="G36" s="345"/>
      <c r="H36" s="1086" t="s">
        <v>164</v>
      </c>
      <c r="I36" s="1087"/>
      <c r="J36" s="1088" t="s">
        <v>200</v>
      </c>
      <c r="K36" s="1089"/>
      <c r="L36" s="1094" t="s">
        <v>170</v>
      </c>
      <c r="M36" s="345"/>
      <c r="N36" s="361" t="s">
        <v>163</v>
      </c>
      <c r="O36" s="362">
        <v>0.6</v>
      </c>
      <c r="P36" s="343"/>
    </row>
    <row r="37" spans="1:16" ht="15" thickBot="1">
      <c r="A37" s="1100"/>
      <c r="B37" s="1090" t="s">
        <v>201</v>
      </c>
      <c r="C37" s="1091"/>
      <c r="D37" s="363">
        <v>2017</v>
      </c>
      <c r="E37" s="363">
        <v>2015</v>
      </c>
      <c r="F37" s="1095"/>
      <c r="G37" s="345"/>
      <c r="H37" s="1092" t="s">
        <v>73</v>
      </c>
      <c r="I37" s="1093"/>
      <c r="J37" s="364">
        <f>D37</f>
        <v>2017</v>
      </c>
      <c r="K37" s="364">
        <f>E37</f>
        <v>2015</v>
      </c>
      <c r="L37" s="1095"/>
      <c r="M37" s="345"/>
      <c r="N37" s="365" t="s">
        <v>73</v>
      </c>
      <c r="O37" s="366">
        <v>2.6</v>
      </c>
      <c r="P37" s="343"/>
    </row>
    <row r="38" spans="1:16">
      <c r="A38" s="1100"/>
      <c r="B38" s="345"/>
      <c r="C38" s="367">
        <v>15</v>
      </c>
      <c r="D38" s="368">
        <v>-0.1</v>
      </c>
      <c r="E38" s="368">
        <v>0.4</v>
      </c>
      <c r="F38" s="369">
        <f t="shared" ref="F38:F44" si="6">0.5*(MAX(D38:E38)-MIN(D38:E38))</f>
        <v>0.25</v>
      </c>
      <c r="G38" s="345"/>
      <c r="H38" s="358"/>
      <c r="I38" s="367">
        <v>35</v>
      </c>
      <c r="J38" s="368">
        <v>-1.7</v>
      </c>
      <c r="K38" s="368">
        <v>-0.8</v>
      </c>
      <c r="L38" s="369">
        <f t="shared" ref="L38:L44" si="7">0.5*(MAX(J38:K38)-MIN(J38:K38))</f>
        <v>0.44999999999999996</v>
      </c>
      <c r="M38" s="345"/>
      <c r="N38" s="345"/>
      <c r="O38" s="352"/>
      <c r="P38" s="343"/>
    </row>
    <row r="39" spans="1:16">
      <c r="A39" s="1100"/>
      <c r="B39" s="345"/>
      <c r="C39" s="370">
        <v>20</v>
      </c>
      <c r="D39" s="350">
        <v>-0.3</v>
      </c>
      <c r="E39" s="350">
        <v>9.9999999999999995E-7</v>
      </c>
      <c r="F39" s="371">
        <f>0.5*(MAX(D39:E39)-MIN(D39:E39))</f>
        <v>0.15000049999999998</v>
      </c>
      <c r="G39" s="345"/>
      <c r="H39" s="358"/>
      <c r="I39" s="370">
        <v>40</v>
      </c>
      <c r="J39" s="350">
        <v>-1.5</v>
      </c>
      <c r="K39" s="350">
        <v>-0.9</v>
      </c>
      <c r="L39" s="371">
        <f t="shared" si="7"/>
        <v>0.3</v>
      </c>
      <c r="M39" s="345"/>
      <c r="N39" s="345"/>
      <c r="O39" s="352"/>
      <c r="P39" s="343"/>
    </row>
    <row r="40" spans="1:16">
      <c r="A40" s="1100"/>
      <c r="B40" s="345"/>
      <c r="C40" s="370">
        <v>25</v>
      </c>
      <c r="D40" s="350">
        <v>-0.5</v>
      </c>
      <c r="E40" s="350">
        <v>-0.5</v>
      </c>
      <c r="F40" s="371">
        <f t="shared" si="6"/>
        <v>0</v>
      </c>
      <c r="G40" s="345"/>
      <c r="H40" s="358"/>
      <c r="I40" s="370">
        <v>50</v>
      </c>
      <c r="J40" s="350">
        <v>-1</v>
      </c>
      <c r="K40" s="350">
        <v>-1</v>
      </c>
      <c r="L40" s="371">
        <f t="shared" si="7"/>
        <v>0</v>
      </c>
      <c r="M40" s="345"/>
      <c r="N40" s="345"/>
      <c r="O40" s="352"/>
      <c r="P40" s="343"/>
    </row>
    <row r="41" spans="1:16">
      <c r="A41" s="1100"/>
      <c r="B41" s="345"/>
      <c r="C41" s="372">
        <v>30</v>
      </c>
      <c r="D41" s="354">
        <v>-0.6</v>
      </c>
      <c r="E41" s="353">
        <v>-1</v>
      </c>
      <c r="F41" s="371">
        <f t="shared" si="6"/>
        <v>0.2</v>
      </c>
      <c r="G41" s="345"/>
      <c r="H41" s="358"/>
      <c r="I41" s="372">
        <v>60</v>
      </c>
      <c r="J41" s="354">
        <v>-0.3</v>
      </c>
      <c r="K41" s="353">
        <v>-0.9</v>
      </c>
      <c r="L41" s="371">
        <f t="shared" si="7"/>
        <v>0.30000000000000004</v>
      </c>
      <c r="M41" s="345"/>
      <c r="N41" s="345"/>
      <c r="O41" s="352"/>
      <c r="P41" s="343"/>
    </row>
    <row r="42" spans="1:16">
      <c r="A42" s="1100"/>
      <c r="B42" s="345"/>
      <c r="C42" s="372">
        <v>35</v>
      </c>
      <c r="D42" s="354">
        <v>-0.6</v>
      </c>
      <c r="E42" s="353">
        <v>-1.5</v>
      </c>
      <c r="F42" s="371">
        <f t="shared" si="6"/>
        <v>0.45</v>
      </c>
      <c r="G42" s="345"/>
      <c r="H42" s="358"/>
      <c r="I42" s="372">
        <v>70</v>
      </c>
      <c r="J42" s="354">
        <v>0.7</v>
      </c>
      <c r="K42" s="353">
        <v>-0.7</v>
      </c>
      <c r="L42" s="371">
        <f t="shared" si="7"/>
        <v>0.7</v>
      </c>
      <c r="M42" s="345"/>
      <c r="N42" s="345"/>
      <c r="O42" s="352"/>
      <c r="P42" s="343"/>
    </row>
    <row r="43" spans="1:16">
      <c r="A43" s="1100"/>
      <c r="B43" s="345"/>
      <c r="C43" s="372">
        <v>37</v>
      </c>
      <c r="D43" s="354">
        <v>-0.6</v>
      </c>
      <c r="E43" s="353">
        <v>-1.8</v>
      </c>
      <c r="F43" s="371">
        <f t="shared" si="6"/>
        <v>0.60000000000000009</v>
      </c>
      <c r="G43" s="345"/>
      <c r="H43" s="358"/>
      <c r="I43" s="372">
        <v>80</v>
      </c>
      <c r="J43" s="354">
        <v>1.9</v>
      </c>
      <c r="K43" s="353">
        <v>-0.4</v>
      </c>
      <c r="L43" s="371">
        <f t="shared" si="7"/>
        <v>1.1499999999999999</v>
      </c>
      <c r="M43" s="345"/>
      <c r="N43" s="345"/>
      <c r="O43" s="352"/>
      <c r="P43" s="343"/>
    </row>
    <row r="44" spans="1:16" ht="13.8" thickBot="1">
      <c r="A44" s="1101"/>
      <c r="B44" s="356"/>
      <c r="C44" s="373">
        <v>40</v>
      </c>
      <c r="D44" s="354">
        <v>-0.6</v>
      </c>
      <c r="E44" s="374">
        <v>-2.1</v>
      </c>
      <c r="F44" s="375">
        <f t="shared" si="6"/>
        <v>0.75</v>
      </c>
      <c r="G44" s="356"/>
      <c r="H44" s="376"/>
      <c r="I44" s="373">
        <v>90</v>
      </c>
      <c r="J44" s="377">
        <v>3.3</v>
      </c>
      <c r="K44" s="374">
        <v>0.2</v>
      </c>
      <c r="L44" s="375">
        <f t="shared" si="7"/>
        <v>1.5499999999999998</v>
      </c>
      <c r="M44" s="356"/>
      <c r="N44" s="356"/>
      <c r="O44" s="357"/>
      <c r="P44" s="343"/>
    </row>
    <row r="45" spans="1:16" ht="13.8" thickBot="1">
      <c r="A45" s="358"/>
      <c r="B45" s="358"/>
      <c r="C45" s="345"/>
      <c r="D45" s="345"/>
      <c r="E45" s="345"/>
      <c r="F45" s="345"/>
      <c r="G45" s="345"/>
      <c r="H45" s="345"/>
      <c r="I45" s="345"/>
      <c r="J45" s="345"/>
      <c r="K45" s="345"/>
      <c r="L45" s="345"/>
      <c r="M45" s="345"/>
      <c r="N45" s="345"/>
      <c r="O45" s="352"/>
      <c r="P45" s="343"/>
    </row>
    <row r="46" spans="1:16" ht="13.8" thickBot="1">
      <c r="A46" s="1099">
        <v>5</v>
      </c>
      <c r="B46" s="1096" t="s">
        <v>205</v>
      </c>
      <c r="C46" s="1097"/>
      <c r="D46" s="1097"/>
      <c r="E46" s="1097"/>
      <c r="F46" s="1098"/>
      <c r="G46" s="344"/>
      <c r="H46" s="1096" t="str">
        <f>B46</f>
        <v>KOREKSI KIMO THERMOHYGROMETER 15062875</v>
      </c>
      <c r="I46" s="1097"/>
      <c r="J46" s="1097"/>
      <c r="K46" s="1097"/>
      <c r="L46" s="1098"/>
      <c r="M46" s="344"/>
      <c r="N46" s="1084" t="s">
        <v>94</v>
      </c>
      <c r="O46" s="1085"/>
      <c r="P46" s="343"/>
    </row>
    <row r="47" spans="1:16" ht="13.8" thickBot="1">
      <c r="A47" s="1100"/>
      <c r="B47" s="1086" t="s">
        <v>163</v>
      </c>
      <c r="C47" s="1087"/>
      <c r="D47" s="1088" t="s">
        <v>200</v>
      </c>
      <c r="E47" s="1089"/>
      <c r="F47" s="1094" t="s">
        <v>170</v>
      </c>
      <c r="G47" s="345"/>
      <c r="H47" s="1086" t="s">
        <v>164</v>
      </c>
      <c r="I47" s="1087"/>
      <c r="J47" s="1088" t="s">
        <v>200</v>
      </c>
      <c r="K47" s="1089"/>
      <c r="L47" s="1094" t="s">
        <v>170</v>
      </c>
      <c r="M47" s="345"/>
      <c r="N47" s="361" t="s">
        <v>163</v>
      </c>
      <c r="O47" s="362">
        <v>0.3</v>
      </c>
      <c r="P47" s="343"/>
    </row>
    <row r="48" spans="1:16" ht="15" thickBot="1">
      <c r="A48" s="1100"/>
      <c r="B48" s="1090" t="s">
        <v>201</v>
      </c>
      <c r="C48" s="1091"/>
      <c r="D48" s="363">
        <v>2017</v>
      </c>
      <c r="E48" s="363">
        <v>2015</v>
      </c>
      <c r="F48" s="1095"/>
      <c r="G48" s="345"/>
      <c r="H48" s="1092" t="s">
        <v>73</v>
      </c>
      <c r="I48" s="1093"/>
      <c r="J48" s="364">
        <f>D48</f>
        <v>2017</v>
      </c>
      <c r="K48" s="364">
        <f>E48</f>
        <v>2015</v>
      </c>
      <c r="L48" s="1095"/>
      <c r="M48" s="345"/>
      <c r="N48" s="365" t="s">
        <v>73</v>
      </c>
      <c r="O48" s="366">
        <v>3.2</v>
      </c>
      <c r="P48" s="343"/>
    </row>
    <row r="49" spans="1:16">
      <c r="A49" s="1100"/>
      <c r="B49" s="345"/>
      <c r="C49" s="367">
        <v>15</v>
      </c>
      <c r="D49" s="368">
        <v>0.3</v>
      </c>
      <c r="E49" s="368">
        <v>0.4</v>
      </c>
      <c r="F49" s="369">
        <f t="shared" ref="F49:F55" si="8">0.5*(MAX(D49:E49)-MIN(D49:E49))</f>
        <v>5.0000000000000017E-2</v>
      </c>
      <c r="G49" s="345"/>
      <c r="H49" s="358"/>
      <c r="I49" s="367">
        <v>35</v>
      </c>
      <c r="J49" s="368">
        <v>-9.6</v>
      </c>
      <c r="K49" s="368">
        <v>-1.6</v>
      </c>
      <c r="L49" s="369">
        <f t="shared" ref="L49:L55" si="9">0.5*(MAX(J49:K49)-MIN(J49:K49))</f>
        <v>4</v>
      </c>
      <c r="M49" s="345"/>
      <c r="N49" s="345"/>
      <c r="O49" s="352"/>
      <c r="P49" s="343"/>
    </row>
    <row r="50" spans="1:16">
      <c r="A50" s="1100"/>
      <c r="B50" s="345"/>
      <c r="C50" s="370">
        <v>20</v>
      </c>
      <c r="D50" s="350">
        <v>0.3</v>
      </c>
      <c r="E50" s="350">
        <v>9.9999999999999995E-7</v>
      </c>
      <c r="F50" s="371">
        <f t="shared" si="8"/>
        <v>0.14999950000000001</v>
      </c>
      <c r="G50" s="345"/>
      <c r="H50" s="358"/>
      <c r="I50" s="370">
        <v>40</v>
      </c>
      <c r="J50" s="350">
        <v>-8</v>
      </c>
      <c r="K50" s="350">
        <v>-1.8</v>
      </c>
      <c r="L50" s="371">
        <f t="shared" si="9"/>
        <v>3.1</v>
      </c>
      <c r="M50" s="345"/>
      <c r="N50" s="345"/>
      <c r="O50" s="352"/>
      <c r="P50" s="343"/>
    </row>
    <row r="51" spans="1:16">
      <c r="A51" s="1100"/>
      <c r="B51" s="345"/>
      <c r="C51" s="370">
        <v>25</v>
      </c>
      <c r="D51" s="350">
        <v>0.2</v>
      </c>
      <c r="E51" s="350">
        <v>-0.3</v>
      </c>
      <c r="F51" s="371">
        <f t="shared" si="8"/>
        <v>0.25</v>
      </c>
      <c r="G51" s="345"/>
      <c r="H51" s="358"/>
      <c r="I51" s="370">
        <v>50</v>
      </c>
      <c r="J51" s="350">
        <v>-6.2</v>
      </c>
      <c r="K51" s="350">
        <v>-2.1</v>
      </c>
      <c r="L51" s="371">
        <f t="shared" si="9"/>
        <v>2.0499999999999998</v>
      </c>
      <c r="M51" s="345"/>
      <c r="N51" s="345"/>
      <c r="O51" s="352"/>
      <c r="P51" s="343"/>
    </row>
    <row r="52" spans="1:16">
      <c r="A52" s="1100"/>
      <c r="B52" s="345"/>
      <c r="C52" s="372">
        <v>30</v>
      </c>
      <c r="D52" s="354">
        <v>0.1</v>
      </c>
      <c r="E52" s="353">
        <v>-0.7</v>
      </c>
      <c r="F52" s="371">
        <f t="shared" si="8"/>
        <v>0.39999999999999997</v>
      </c>
      <c r="G52" s="345"/>
      <c r="H52" s="358"/>
      <c r="I52" s="372">
        <v>60</v>
      </c>
      <c r="J52" s="354">
        <v>-4.2</v>
      </c>
      <c r="K52" s="353">
        <v>-2</v>
      </c>
      <c r="L52" s="371">
        <f t="shared" si="9"/>
        <v>1.1000000000000001</v>
      </c>
      <c r="M52" s="345"/>
      <c r="N52" s="345"/>
      <c r="O52" s="352"/>
      <c r="P52" s="343"/>
    </row>
    <row r="53" spans="1:16">
      <c r="A53" s="1100"/>
      <c r="B53" s="345"/>
      <c r="C53" s="372">
        <v>35</v>
      </c>
      <c r="D53" s="350">
        <v>9.9999999999999995E-7</v>
      </c>
      <c r="E53" s="353">
        <v>-1.1000000000000001</v>
      </c>
      <c r="F53" s="371">
        <f t="shared" si="8"/>
        <v>0.5500005</v>
      </c>
      <c r="G53" s="345"/>
      <c r="H53" s="358"/>
      <c r="I53" s="372">
        <v>70</v>
      </c>
      <c r="J53" s="354">
        <v>-2.1</v>
      </c>
      <c r="K53" s="353">
        <v>-1.6</v>
      </c>
      <c r="L53" s="371">
        <f t="shared" si="9"/>
        <v>0.25</v>
      </c>
      <c r="M53" s="345"/>
      <c r="N53" s="345"/>
      <c r="O53" s="352"/>
      <c r="P53" s="343"/>
    </row>
    <row r="54" spans="1:16">
      <c r="A54" s="1100"/>
      <c r="B54" s="345"/>
      <c r="C54" s="372">
        <v>37</v>
      </c>
      <c r="D54" s="350">
        <v>9.9999999999999995E-7</v>
      </c>
      <c r="E54" s="353">
        <v>-1.2</v>
      </c>
      <c r="F54" s="371">
        <f t="shared" si="8"/>
        <v>0.60000049999999994</v>
      </c>
      <c r="G54" s="345"/>
      <c r="H54" s="358"/>
      <c r="I54" s="372">
        <v>80</v>
      </c>
      <c r="J54" s="354">
        <v>0.2</v>
      </c>
      <c r="K54" s="353">
        <v>-0.9</v>
      </c>
      <c r="L54" s="371">
        <f t="shared" si="9"/>
        <v>0.55000000000000004</v>
      </c>
      <c r="M54" s="345"/>
      <c r="N54" s="345"/>
      <c r="O54" s="352"/>
      <c r="P54" s="343"/>
    </row>
    <row r="55" spans="1:16" ht="13.8" thickBot="1">
      <c r="A55" s="1101"/>
      <c r="B55" s="356"/>
      <c r="C55" s="373">
        <v>40</v>
      </c>
      <c r="D55" s="377">
        <v>-0.1</v>
      </c>
      <c r="E55" s="374">
        <v>-1.5</v>
      </c>
      <c r="F55" s="375">
        <f t="shared" si="8"/>
        <v>0.7</v>
      </c>
      <c r="G55" s="356"/>
      <c r="H55" s="376"/>
      <c r="I55" s="373">
        <v>90</v>
      </c>
      <c r="J55" s="377">
        <v>2.7</v>
      </c>
      <c r="K55" s="374">
        <v>0.2</v>
      </c>
      <c r="L55" s="375">
        <f t="shared" si="9"/>
        <v>1.25</v>
      </c>
      <c r="M55" s="356"/>
      <c r="N55" s="356"/>
      <c r="O55" s="357"/>
      <c r="P55" s="343"/>
    </row>
    <row r="56" spans="1:16" ht="13.8" thickBot="1">
      <c r="A56" s="378"/>
      <c r="B56" s="379"/>
      <c r="C56" s="379"/>
      <c r="D56" s="379"/>
      <c r="E56" s="380"/>
      <c r="F56" s="381"/>
      <c r="G56" s="382"/>
      <c r="H56" s="379"/>
      <c r="I56" s="379"/>
      <c r="J56" s="379"/>
      <c r="K56" s="380"/>
      <c r="L56" s="381"/>
      <c r="M56" s="345"/>
      <c r="N56" s="345"/>
      <c r="O56" s="352"/>
      <c r="P56" s="343"/>
    </row>
    <row r="57" spans="1:16" ht="13.8" thickBot="1">
      <c r="A57" s="1099">
        <v>6</v>
      </c>
      <c r="B57" s="1096" t="s">
        <v>206</v>
      </c>
      <c r="C57" s="1097"/>
      <c r="D57" s="1097"/>
      <c r="E57" s="1097"/>
      <c r="F57" s="1098"/>
      <c r="G57" s="344"/>
      <c r="H57" s="1096" t="str">
        <f>B57</f>
        <v>KOREKSI GREISINGER 34903046</v>
      </c>
      <c r="I57" s="1097"/>
      <c r="J57" s="1097"/>
      <c r="K57" s="1097"/>
      <c r="L57" s="1098"/>
      <c r="M57" s="344"/>
      <c r="N57" s="1084" t="s">
        <v>94</v>
      </c>
      <c r="O57" s="1085"/>
      <c r="P57" s="343"/>
    </row>
    <row r="58" spans="1:16" ht="13.8" thickBot="1">
      <c r="A58" s="1100"/>
      <c r="B58" s="1086" t="s">
        <v>163</v>
      </c>
      <c r="C58" s="1087"/>
      <c r="D58" s="1088" t="s">
        <v>200</v>
      </c>
      <c r="E58" s="1089"/>
      <c r="F58" s="1094" t="s">
        <v>170</v>
      </c>
      <c r="G58" s="345"/>
      <c r="H58" s="1086" t="s">
        <v>164</v>
      </c>
      <c r="I58" s="1087"/>
      <c r="J58" s="1088" t="s">
        <v>200</v>
      </c>
      <c r="K58" s="1089"/>
      <c r="L58" s="1094" t="s">
        <v>170</v>
      </c>
      <c r="M58" s="345"/>
      <c r="N58" s="361" t="s">
        <v>163</v>
      </c>
      <c r="O58" s="362">
        <v>0.5</v>
      </c>
      <c r="P58" s="343"/>
    </row>
    <row r="59" spans="1:16" ht="15" thickBot="1">
      <c r="A59" s="1100"/>
      <c r="B59" s="1090" t="s">
        <v>201</v>
      </c>
      <c r="C59" s="1091"/>
      <c r="D59" s="363">
        <v>2018</v>
      </c>
      <c r="E59" s="363">
        <v>2017</v>
      </c>
      <c r="F59" s="1095"/>
      <c r="G59" s="345"/>
      <c r="H59" s="1092" t="s">
        <v>73</v>
      </c>
      <c r="I59" s="1093"/>
      <c r="J59" s="364">
        <f>D59</f>
        <v>2018</v>
      </c>
      <c r="K59" s="364">
        <f>E59</f>
        <v>2017</v>
      </c>
      <c r="L59" s="1095"/>
      <c r="M59" s="345"/>
      <c r="N59" s="365" t="s">
        <v>73</v>
      </c>
      <c r="O59" s="383">
        <v>2</v>
      </c>
      <c r="P59" s="343"/>
    </row>
    <row r="60" spans="1:16">
      <c r="A60" s="1100"/>
      <c r="B60" s="345"/>
      <c r="C60" s="367">
        <v>15</v>
      </c>
      <c r="D60" s="368">
        <v>0.4</v>
      </c>
      <c r="E60" s="368">
        <v>-0.2</v>
      </c>
      <c r="F60" s="369">
        <f t="shared" ref="F60:F66" si="10">0.5*(MAX(D60:E60)-MIN(D60:E60))</f>
        <v>0.30000000000000004</v>
      </c>
      <c r="G60" s="345"/>
      <c r="H60" s="358"/>
      <c r="I60" s="367">
        <v>30</v>
      </c>
      <c r="J60" s="368">
        <v>1.7</v>
      </c>
      <c r="K60" s="368">
        <v>-4.9000000000000004</v>
      </c>
      <c r="L60" s="369">
        <f t="shared" ref="L60:L66" si="11">0.5*(MAX(J60:K60)-MIN(J60:K60))</f>
        <v>3.3000000000000003</v>
      </c>
      <c r="M60" s="345"/>
      <c r="N60" s="345"/>
      <c r="O60" s="352"/>
      <c r="P60" s="343"/>
    </row>
    <row r="61" spans="1:16">
      <c r="A61" s="1100"/>
      <c r="B61" s="345"/>
      <c r="C61" s="370">
        <v>20</v>
      </c>
      <c r="D61" s="350">
        <v>0.2</v>
      </c>
      <c r="E61" s="350">
        <v>9.9999999999999995E-7</v>
      </c>
      <c r="F61" s="371">
        <f t="shared" si="10"/>
        <v>9.9999500000000005E-2</v>
      </c>
      <c r="G61" s="345"/>
      <c r="H61" s="358"/>
      <c r="I61" s="370">
        <v>40</v>
      </c>
      <c r="J61" s="350">
        <v>1.5</v>
      </c>
      <c r="K61" s="350">
        <v>-3.4</v>
      </c>
      <c r="L61" s="371">
        <f t="shared" si="11"/>
        <v>2.4500000000000002</v>
      </c>
      <c r="M61" s="345"/>
      <c r="N61" s="345"/>
      <c r="O61" s="352"/>
      <c r="P61" s="343"/>
    </row>
    <row r="62" spans="1:16">
      <c r="A62" s="1100"/>
      <c r="B62" s="345"/>
      <c r="C62" s="370">
        <v>25</v>
      </c>
      <c r="D62" s="350">
        <v>-0.1</v>
      </c>
      <c r="E62" s="350">
        <v>0.1</v>
      </c>
      <c r="F62" s="371">
        <f t="shared" si="10"/>
        <v>0.1</v>
      </c>
      <c r="G62" s="345"/>
      <c r="H62" s="358"/>
      <c r="I62" s="370">
        <v>50</v>
      </c>
      <c r="J62" s="350">
        <v>1.2</v>
      </c>
      <c r="K62" s="350">
        <v>-2.5</v>
      </c>
      <c r="L62" s="371">
        <f t="shared" si="11"/>
        <v>1.85</v>
      </c>
      <c r="M62" s="345"/>
      <c r="N62" s="345"/>
      <c r="O62" s="352"/>
      <c r="P62" s="343"/>
    </row>
    <row r="63" spans="1:16">
      <c r="A63" s="1100"/>
      <c r="B63" s="345"/>
      <c r="C63" s="372">
        <v>30</v>
      </c>
      <c r="D63" s="353">
        <v>-0.5</v>
      </c>
      <c r="E63" s="353">
        <v>0.13</v>
      </c>
      <c r="F63" s="371">
        <f t="shared" si="10"/>
        <v>0.315</v>
      </c>
      <c r="G63" s="345"/>
      <c r="H63" s="358"/>
      <c r="I63" s="372">
        <v>60</v>
      </c>
      <c r="J63" s="353">
        <v>1.1000000000000001</v>
      </c>
      <c r="K63" s="353">
        <v>-2</v>
      </c>
      <c r="L63" s="371">
        <f t="shared" si="11"/>
        <v>1.55</v>
      </c>
      <c r="M63" s="345"/>
      <c r="N63" s="345"/>
      <c r="O63" s="352"/>
      <c r="P63" s="343"/>
    </row>
    <row r="64" spans="1:16">
      <c r="A64" s="1100"/>
      <c r="B64" s="345"/>
      <c r="C64" s="372">
        <v>35</v>
      </c>
      <c r="D64" s="353">
        <v>-0.9</v>
      </c>
      <c r="E64" s="353">
        <v>0.1</v>
      </c>
      <c r="F64" s="371">
        <f t="shared" si="10"/>
        <v>0.5</v>
      </c>
      <c r="G64" s="345"/>
      <c r="H64" s="358"/>
      <c r="I64" s="372">
        <v>70</v>
      </c>
      <c r="J64" s="353">
        <v>0.9</v>
      </c>
      <c r="K64" s="353">
        <v>-2.1</v>
      </c>
      <c r="L64" s="371">
        <f t="shared" si="11"/>
        <v>1.5</v>
      </c>
      <c r="M64" s="345"/>
      <c r="N64" s="345"/>
      <c r="O64" s="352"/>
      <c r="P64" s="343"/>
    </row>
    <row r="65" spans="1:16">
      <c r="A65" s="1100"/>
      <c r="B65" s="345"/>
      <c r="C65" s="372">
        <v>37</v>
      </c>
      <c r="D65" s="353">
        <v>-1.1000000000000001</v>
      </c>
      <c r="E65" s="350">
        <v>9.9999999999999995E-7</v>
      </c>
      <c r="F65" s="371">
        <f t="shared" si="10"/>
        <v>0.5500005</v>
      </c>
      <c r="G65" s="345"/>
      <c r="H65" s="358"/>
      <c r="I65" s="372">
        <v>80</v>
      </c>
      <c r="J65" s="353">
        <v>0.8</v>
      </c>
      <c r="K65" s="353">
        <v>-2.6</v>
      </c>
      <c r="L65" s="371">
        <f t="shared" si="11"/>
        <v>1.7000000000000002</v>
      </c>
      <c r="M65" s="345"/>
      <c r="N65" s="345"/>
      <c r="O65" s="352"/>
      <c r="P65" s="343"/>
    </row>
    <row r="66" spans="1:16" ht="13.8" thickBot="1">
      <c r="A66" s="1101"/>
      <c r="B66" s="356"/>
      <c r="C66" s="373">
        <v>40</v>
      </c>
      <c r="D66" s="374">
        <v>-1.4</v>
      </c>
      <c r="E66" s="374">
        <v>-0.1</v>
      </c>
      <c r="F66" s="375">
        <f t="shared" si="10"/>
        <v>0.64999999999999991</v>
      </c>
      <c r="G66" s="356"/>
      <c r="H66" s="376"/>
      <c r="I66" s="373">
        <v>90</v>
      </c>
      <c r="J66" s="374">
        <v>0.7</v>
      </c>
      <c r="K66" s="374">
        <v>-2.6</v>
      </c>
      <c r="L66" s="375">
        <f t="shared" si="11"/>
        <v>1.65</v>
      </c>
      <c r="M66" s="356"/>
      <c r="N66" s="356"/>
      <c r="O66" s="357"/>
      <c r="P66" s="343"/>
    </row>
    <row r="67" spans="1:16" ht="13.8" thickBot="1">
      <c r="A67" s="378"/>
      <c r="B67" s="379"/>
      <c r="C67" s="379"/>
      <c r="D67" s="379"/>
      <c r="E67" s="380"/>
      <c r="F67" s="381"/>
      <c r="G67" s="382"/>
      <c r="H67" s="379"/>
      <c r="I67" s="379"/>
      <c r="J67" s="379"/>
      <c r="K67" s="380"/>
      <c r="L67" s="381"/>
      <c r="M67" s="345"/>
      <c r="N67" s="345"/>
      <c r="O67" s="352"/>
      <c r="P67" s="343"/>
    </row>
    <row r="68" spans="1:16" ht="13.8" thickBot="1">
      <c r="A68" s="1099">
        <v>7</v>
      </c>
      <c r="B68" s="1096" t="s">
        <v>207</v>
      </c>
      <c r="C68" s="1097"/>
      <c r="D68" s="1097"/>
      <c r="E68" s="1097"/>
      <c r="F68" s="1098"/>
      <c r="G68" s="344"/>
      <c r="H68" s="1096" t="str">
        <f>B68</f>
        <v>KOREKSI GREISINGER 34903053</v>
      </c>
      <c r="I68" s="1097"/>
      <c r="J68" s="1097"/>
      <c r="K68" s="1097"/>
      <c r="L68" s="1098"/>
      <c r="M68" s="344"/>
      <c r="N68" s="1084" t="s">
        <v>94</v>
      </c>
      <c r="O68" s="1085"/>
      <c r="P68" s="343"/>
    </row>
    <row r="69" spans="1:16" ht="13.8" thickBot="1">
      <c r="A69" s="1100"/>
      <c r="B69" s="1086" t="s">
        <v>163</v>
      </c>
      <c r="C69" s="1087"/>
      <c r="D69" s="1088" t="s">
        <v>200</v>
      </c>
      <c r="E69" s="1089"/>
      <c r="F69" s="1094" t="s">
        <v>170</v>
      </c>
      <c r="G69" s="345"/>
      <c r="H69" s="1086" t="s">
        <v>164</v>
      </c>
      <c r="I69" s="1087"/>
      <c r="J69" s="1088" t="s">
        <v>200</v>
      </c>
      <c r="K69" s="1089"/>
      <c r="L69" s="1094" t="s">
        <v>170</v>
      </c>
      <c r="M69" s="345"/>
      <c r="N69" s="361" t="s">
        <v>163</v>
      </c>
      <c r="O69" s="362">
        <v>0.3</v>
      </c>
      <c r="P69" s="343"/>
    </row>
    <row r="70" spans="1:16" ht="15" thickBot="1">
      <c r="A70" s="1100"/>
      <c r="B70" s="1090" t="s">
        <v>201</v>
      </c>
      <c r="C70" s="1091"/>
      <c r="D70" s="363">
        <v>2018</v>
      </c>
      <c r="E70" s="363">
        <v>2017</v>
      </c>
      <c r="F70" s="1095"/>
      <c r="G70" s="345"/>
      <c r="H70" s="1092" t="s">
        <v>73</v>
      </c>
      <c r="I70" s="1093"/>
      <c r="J70" s="364">
        <f>D70</f>
        <v>2018</v>
      </c>
      <c r="K70" s="364">
        <f>E70</f>
        <v>2017</v>
      </c>
      <c r="L70" s="1095"/>
      <c r="M70" s="345"/>
      <c r="N70" s="365" t="s">
        <v>73</v>
      </c>
      <c r="O70" s="366">
        <v>2.2999999999999998</v>
      </c>
      <c r="P70" s="343"/>
    </row>
    <row r="71" spans="1:16">
      <c r="A71" s="1100"/>
      <c r="B71" s="345"/>
      <c r="C71" s="367">
        <v>15</v>
      </c>
      <c r="D71" s="368">
        <v>0.3</v>
      </c>
      <c r="E71" s="368">
        <v>0.2</v>
      </c>
      <c r="F71" s="369">
        <f t="shared" ref="F71:F77" si="12">0.5*(MAX(D71:E71)-MIN(D71:E71))</f>
        <v>4.9999999999999989E-2</v>
      </c>
      <c r="G71" s="345"/>
      <c r="H71" s="358"/>
      <c r="I71" s="367">
        <v>30</v>
      </c>
      <c r="J71" s="368">
        <v>1.8</v>
      </c>
      <c r="K71" s="368">
        <v>-0.1</v>
      </c>
      <c r="L71" s="369">
        <f t="shared" ref="L71:L77" si="13">0.5*(MAX(J71:K71)-MIN(J71:K71))</f>
        <v>0.95000000000000007</v>
      </c>
      <c r="M71" s="345"/>
      <c r="N71" s="345"/>
      <c r="O71" s="352"/>
      <c r="P71" s="343"/>
    </row>
    <row r="72" spans="1:16">
      <c r="A72" s="1100"/>
      <c r="B72" s="345"/>
      <c r="C72" s="370">
        <v>20</v>
      </c>
      <c r="D72" s="350">
        <v>0.1</v>
      </c>
      <c r="E72" s="350">
        <v>0.1</v>
      </c>
      <c r="F72" s="371">
        <f t="shared" si="12"/>
        <v>0</v>
      </c>
      <c r="G72" s="345"/>
      <c r="H72" s="358"/>
      <c r="I72" s="370">
        <v>40</v>
      </c>
      <c r="J72" s="350">
        <v>1.2</v>
      </c>
      <c r="K72" s="350">
        <v>9.9999999999999995E-7</v>
      </c>
      <c r="L72" s="371">
        <f t="shared" si="13"/>
        <v>0.59999950000000002</v>
      </c>
      <c r="M72" s="345"/>
      <c r="N72" s="345"/>
      <c r="O72" s="352"/>
      <c r="P72" s="343"/>
    </row>
    <row r="73" spans="1:16">
      <c r="A73" s="1100"/>
      <c r="B73" s="345"/>
      <c r="C73" s="370">
        <v>25</v>
      </c>
      <c r="D73" s="350">
        <v>-0.2</v>
      </c>
      <c r="E73" s="350">
        <v>9.9999999999999995E-7</v>
      </c>
      <c r="F73" s="371">
        <f t="shared" si="12"/>
        <v>0.10000050000000001</v>
      </c>
      <c r="G73" s="345"/>
      <c r="H73" s="358"/>
      <c r="I73" s="370">
        <v>50</v>
      </c>
      <c r="J73" s="350">
        <v>0.8</v>
      </c>
      <c r="K73" s="350">
        <v>0.6</v>
      </c>
      <c r="L73" s="371">
        <f t="shared" si="13"/>
        <v>0.10000000000000003</v>
      </c>
      <c r="M73" s="345"/>
      <c r="N73" s="345"/>
      <c r="O73" s="352"/>
      <c r="P73" s="343"/>
    </row>
    <row r="74" spans="1:16">
      <c r="A74" s="1100"/>
      <c r="B74" s="345"/>
      <c r="C74" s="372">
        <v>30</v>
      </c>
      <c r="D74" s="353">
        <v>-0.6</v>
      </c>
      <c r="E74" s="353">
        <v>-0.1</v>
      </c>
      <c r="F74" s="371">
        <f t="shared" si="12"/>
        <v>0.25</v>
      </c>
      <c r="G74" s="345"/>
      <c r="H74" s="358"/>
      <c r="I74" s="372">
        <v>60</v>
      </c>
      <c r="J74" s="353">
        <v>0.7</v>
      </c>
      <c r="K74" s="353">
        <v>1.5</v>
      </c>
      <c r="L74" s="371">
        <f t="shared" si="13"/>
        <v>0.4</v>
      </c>
      <c r="M74" s="345"/>
      <c r="N74" s="345"/>
      <c r="O74" s="352"/>
      <c r="P74" s="343"/>
    </row>
    <row r="75" spans="1:16">
      <c r="A75" s="1100"/>
      <c r="B75" s="345"/>
      <c r="C75" s="372">
        <v>35</v>
      </c>
      <c r="D75" s="353">
        <v>-1.1000000000000001</v>
      </c>
      <c r="E75" s="353">
        <v>-0.1</v>
      </c>
      <c r="F75" s="371">
        <f t="shared" si="12"/>
        <v>0.5</v>
      </c>
      <c r="G75" s="345"/>
      <c r="H75" s="358"/>
      <c r="I75" s="372">
        <v>70</v>
      </c>
      <c r="J75" s="353">
        <v>0.9</v>
      </c>
      <c r="K75" s="353">
        <v>2.8</v>
      </c>
      <c r="L75" s="371">
        <f t="shared" si="13"/>
        <v>0.95</v>
      </c>
      <c r="M75" s="345"/>
      <c r="N75" s="345"/>
      <c r="O75" s="352"/>
      <c r="P75" s="343"/>
    </row>
    <row r="76" spans="1:16">
      <c r="A76" s="1100"/>
      <c r="B76" s="345"/>
      <c r="C76" s="372">
        <v>37</v>
      </c>
      <c r="D76" s="353">
        <v>-1.4</v>
      </c>
      <c r="E76" s="353">
        <v>-0.1</v>
      </c>
      <c r="F76" s="371">
        <f t="shared" si="12"/>
        <v>0.64999999999999991</v>
      </c>
      <c r="G76" s="345"/>
      <c r="H76" s="358"/>
      <c r="I76" s="372">
        <v>80</v>
      </c>
      <c r="J76" s="353">
        <v>1.2</v>
      </c>
      <c r="K76" s="353">
        <v>4.4000000000000004</v>
      </c>
      <c r="L76" s="371">
        <f t="shared" si="13"/>
        <v>1.6</v>
      </c>
      <c r="M76" s="345"/>
      <c r="N76" s="345"/>
      <c r="O76" s="352"/>
      <c r="P76" s="343"/>
    </row>
    <row r="77" spans="1:16" ht="13.8" thickBot="1">
      <c r="A77" s="1101"/>
      <c r="B77" s="356"/>
      <c r="C77" s="373">
        <v>40</v>
      </c>
      <c r="D77" s="374">
        <v>-1.7</v>
      </c>
      <c r="E77" s="374">
        <v>-0.1</v>
      </c>
      <c r="F77" s="375">
        <f t="shared" si="12"/>
        <v>0.79999999999999993</v>
      </c>
      <c r="G77" s="356"/>
      <c r="H77" s="376"/>
      <c r="I77" s="373">
        <v>90</v>
      </c>
      <c r="J77" s="374">
        <v>1.8</v>
      </c>
      <c r="K77" s="374">
        <v>4.4000000000000004</v>
      </c>
      <c r="L77" s="375">
        <f t="shared" si="13"/>
        <v>1.3000000000000003</v>
      </c>
      <c r="M77" s="356"/>
      <c r="N77" s="356"/>
      <c r="O77" s="357"/>
      <c r="P77" s="343"/>
    </row>
    <row r="78" spans="1:16" ht="13.8" thickBot="1">
      <c r="A78" s="378"/>
      <c r="B78" s="379"/>
      <c r="C78" s="379"/>
      <c r="D78" s="379"/>
      <c r="E78" s="380"/>
      <c r="F78" s="381"/>
      <c r="G78" s="382"/>
      <c r="H78" s="379"/>
      <c r="I78" s="379"/>
      <c r="J78" s="379"/>
      <c r="K78" s="380"/>
      <c r="L78" s="381"/>
      <c r="M78" s="345"/>
      <c r="N78" s="345"/>
      <c r="O78" s="352"/>
      <c r="P78" s="343"/>
    </row>
    <row r="79" spans="1:16" ht="13.8" thickBot="1">
      <c r="A79" s="1099">
        <v>8</v>
      </c>
      <c r="B79" s="1096" t="s">
        <v>208</v>
      </c>
      <c r="C79" s="1097"/>
      <c r="D79" s="1097"/>
      <c r="E79" s="1097"/>
      <c r="F79" s="1098"/>
      <c r="G79" s="344"/>
      <c r="H79" s="1096" t="str">
        <f>B79</f>
        <v>KOREKSI GREISINGER 34903051</v>
      </c>
      <c r="I79" s="1097"/>
      <c r="J79" s="1097"/>
      <c r="K79" s="1097"/>
      <c r="L79" s="1098"/>
      <c r="M79" s="344"/>
      <c r="N79" s="1084" t="s">
        <v>94</v>
      </c>
      <c r="O79" s="1085"/>
      <c r="P79" s="343"/>
    </row>
    <row r="80" spans="1:16" ht="13.8" thickBot="1">
      <c r="A80" s="1100"/>
      <c r="B80" s="1086" t="s">
        <v>163</v>
      </c>
      <c r="C80" s="1087"/>
      <c r="D80" s="1088" t="s">
        <v>200</v>
      </c>
      <c r="E80" s="1089"/>
      <c r="F80" s="1094" t="s">
        <v>170</v>
      </c>
      <c r="G80" s="345"/>
      <c r="H80" s="1086" t="s">
        <v>164</v>
      </c>
      <c r="I80" s="1087"/>
      <c r="J80" s="1088" t="s">
        <v>200</v>
      </c>
      <c r="K80" s="1089"/>
      <c r="L80" s="1094" t="s">
        <v>170</v>
      </c>
      <c r="M80" s="345"/>
      <c r="N80" s="361" t="s">
        <v>163</v>
      </c>
      <c r="O80" s="384">
        <v>0.3</v>
      </c>
      <c r="P80" s="343"/>
    </row>
    <row r="81" spans="1:16" ht="15" thickBot="1">
      <c r="A81" s="1100"/>
      <c r="B81" s="1090" t="s">
        <v>201</v>
      </c>
      <c r="C81" s="1091"/>
      <c r="D81" s="363">
        <v>2019</v>
      </c>
      <c r="E81" s="363">
        <v>2017</v>
      </c>
      <c r="F81" s="1095"/>
      <c r="G81" s="345"/>
      <c r="H81" s="1092" t="s">
        <v>73</v>
      </c>
      <c r="I81" s="1093"/>
      <c r="J81" s="364">
        <f>D81</f>
        <v>2019</v>
      </c>
      <c r="K81" s="364">
        <f>E81</f>
        <v>2017</v>
      </c>
      <c r="L81" s="1095"/>
      <c r="M81" s="345"/>
      <c r="N81" s="365" t="s">
        <v>73</v>
      </c>
      <c r="O81" s="383">
        <v>2.6</v>
      </c>
      <c r="P81" s="343"/>
    </row>
    <row r="82" spans="1:16">
      <c r="A82" s="1100"/>
      <c r="B82" s="345"/>
      <c r="C82" s="385">
        <v>15</v>
      </c>
      <c r="D82" s="350">
        <v>9.9999999999999995E-7</v>
      </c>
      <c r="E82" s="368">
        <v>-0.2</v>
      </c>
      <c r="F82" s="369">
        <f t="shared" ref="F82:F88" si="14">0.5*(MAX(D82:E82)-MIN(D82:E82))</f>
        <v>0.10000050000000001</v>
      </c>
      <c r="G82" s="345"/>
      <c r="H82" s="358"/>
      <c r="I82" s="385">
        <v>30</v>
      </c>
      <c r="J82" s="368">
        <v>-1.4</v>
      </c>
      <c r="K82" s="368">
        <v>1</v>
      </c>
      <c r="L82" s="369">
        <f t="shared" ref="L82:L88" si="15">0.5*(MAX(J82:K82)-MIN(J82:K82))</f>
        <v>1.2</v>
      </c>
      <c r="M82" s="345"/>
      <c r="N82" s="345"/>
      <c r="O82" s="352"/>
      <c r="P82" s="343"/>
    </row>
    <row r="83" spans="1:16">
      <c r="A83" s="1100"/>
      <c r="B83" s="345"/>
      <c r="C83" s="386">
        <v>20</v>
      </c>
      <c r="D83" s="368">
        <v>-0.2</v>
      </c>
      <c r="E83" s="368">
        <v>-0.2</v>
      </c>
      <c r="F83" s="371">
        <f>0.5*(MAX(D83:E83)-MIN(D83:E83))</f>
        <v>0</v>
      </c>
      <c r="G83" s="345"/>
      <c r="H83" s="358"/>
      <c r="I83" s="386">
        <v>40</v>
      </c>
      <c r="J83" s="350">
        <v>-1.2</v>
      </c>
      <c r="K83" s="350">
        <v>1.1000000000000001</v>
      </c>
      <c r="L83" s="371">
        <f t="shared" si="15"/>
        <v>1.1499999999999999</v>
      </c>
      <c r="M83" s="345"/>
      <c r="N83" s="345"/>
      <c r="O83" s="352"/>
      <c r="P83" s="343"/>
    </row>
    <row r="84" spans="1:16">
      <c r="A84" s="1100"/>
      <c r="B84" s="345"/>
      <c r="C84" s="386">
        <v>25</v>
      </c>
      <c r="D84" s="368">
        <v>-0.4</v>
      </c>
      <c r="E84" s="368">
        <v>-0.2</v>
      </c>
      <c r="F84" s="371">
        <f t="shared" si="14"/>
        <v>0.1</v>
      </c>
      <c r="G84" s="345"/>
      <c r="H84" s="358"/>
      <c r="I84" s="386">
        <v>50</v>
      </c>
      <c r="J84" s="350">
        <v>-1.2</v>
      </c>
      <c r="K84" s="350">
        <v>1.3</v>
      </c>
      <c r="L84" s="371">
        <f t="shared" si="15"/>
        <v>1.25</v>
      </c>
      <c r="M84" s="345"/>
      <c r="N84" s="345"/>
      <c r="O84" s="352"/>
      <c r="P84" s="343"/>
    </row>
    <row r="85" spans="1:16">
      <c r="A85" s="1100"/>
      <c r="B85" s="345"/>
      <c r="C85" s="387">
        <v>30</v>
      </c>
      <c r="D85" s="368">
        <v>-0.4</v>
      </c>
      <c r="E85" s="368">
        <v>-0.2</v>
      </c>
      <c r="F85" s="371">
        <f t="shared" si="14"/>
        <v>0.1</v>
      </c>
      <c r="G85" s="345"/>
      <c r="H85" s="358"/>
      <c r="I85" s="387">
        <v>60</v>
      </c>
      <c r="J85" s="353">
        <v>-1.1000000000000001</v>
      </c>
      <c r="K85" s="353">
        <v>1.7</v>
      </c>
      <c r="L85" s="371">
        <f t="shared" si="15"/>
        <v>1.4</v>
      </c>
      <c r="M85" s="345"/>
      <c r="N85" s="345"/>
      <c r="O85" s="352"/>
      <c r="P85" s="343"/>
    </row>
    <row r="86" spans="1:16">
      <c r="A86" s="1100"/>
      <c r="B86" s="345"/>
      <c r="C86" s="387">
        <v>35</v>
      </c>
      <c r="D86" s="353">
        <v>-0.5</v>
      </c>
      <c r="E86" s="353">
        <v>-0.3</v>
      </c>
      <c r="F86" s="371">
        <f t="shared" si="14"/>
        <v>0.1</v>
      </c>
      <c r="G86" s="345"/>
      <c r="H86" s="358"/>
      <c r="I86" s="387">
        <v>70</v>
      </c>
      <c r="J86" s="353">
        <v>-1.2</v>
      </c>
      <c r="K86" s="353">
        <v>2.1</v>
      </c>
      <c r="L86" s="371">
        <f t="shared" si="15"/>
        <v>1.65</v>
      </c>
      <c r="M86" s="345"/>
      <c r="N86" s="345"/>
      <c r="O86" s="352"/>
      <c r="P86" s="343"/>
    </row>
    <row r="87" spans="1:16">
      <c r="A87" s="1100"/>
      <c r="B87" s="345"/>
      <c r="C87" s="387">
        <v>37</v>
      </c>
      <c r="D87" s="353">
        <v>-0.5</v>
      </c>
      <c r="E87" s="353">
        <v>-0.3</v>
      </c>
      <c r="F87" s="371">
        <f t="shared" si="14"/>
        <v>0.1</v>
      </c>
      <c r="G87" s="345"/>
      <c r="H87" s="358"/>
      <c r="I87" s="387">
        <v>80</v>
      </c>
      <c r="J87" s="353">
        <v>-1.2</v>
      </c>
      <c r="K87" s="353">
        <v>2.6</v>
      </c>
      <c r="L87" s="371">
        <f t="shared" si="15"/>
        <v>1.9</v>
      </c>
      <c r="M87" s="345"/>
      <c r="N87" s="345"/>
      <c r="O87" s="352"/>
      <c r="P87" s="343"/>
    </row>
    <row r="88" spans="1:16" ht="13.8" thickBot="1">
      <c r="A88" s="1101"/>
      <c r="B88" s="356"/>
      <c r="C88" s="388">
        <v>40</v>
      </c>
      <c r="D88" s="374">
        <v>-0.4</v>
      </c>
      <c r="E88" s="374">
        <v>-0.4</v>
      </c>
      <c r="F88" s="375">
        <f t="shared" si="14"/>
        <v>0</v>
      </c>
      <c r="G88" s="356"/>
      <c r="H88" s="376"/>
      <c r="I88" s="388">
        <v>90</v>
      </c>
      <c r="J88" s="374">
        <v>-1.3</v>
      </c>
      <c r="K88" s="374">
        <v>2.6</v>
      </c>
      <c r="L88" s="375">
        <f t="shared" si="15"/>
        <v>1.9500000000000002</v>
      </c>
      <c r="M88" s="356"/>
      <c r="N88" s="356"/>
      <c r="O88" s="357"/>
      <c r="P88" s="343"/>
    </row>
    <row r="89" spans="1:16" ht="13.8" thickBot="1">
      <c r="A89" s="378"/>
      <c r="B89" s="379"/>
      <c r="C89" s="379"/>
      <c r="D89" s="379"/>
      <c r="E89" s="380"/>
      <c r="F89" s="389"/>
      <c r="G89" s="382"/>
      <c r="H89" s="379"/>
      <c r="I89" s="379"/>
      <c r="J89" s="379"/>
      <c r="K89" s="380"/>
      <c r="L89" s="389"/>
      <c r="M89" s="345"/>
      <c r="N89" s="345"/>
      <c r="O89" s="352"/>
      <c r="P89" s="343"/>
    </row>
    <row r="90" spans="1:16" ht="13.8" thickBot="1">
      <c r="A90" s="1099">
        <v>9</v>
      </c>
      <c r="B90" s="1096" t="s">
        <v>209</v>
      </c>
      <c r="C90" s="1097"/>
      <c r="D90" s="1097"/>
      <c r="E90" s="1097"/>
      <c r="F90" s="1098"/>
      <c r="G90" s="344"/>
      <c r="H90" s="1096" t="str">
        <f>B90</f>
        <v>KOREKSI GREISINGER 34904091</v>
      </c>
      <c r="I90" s="1097"/>
      <c r="J90" s="1097"/>
      <c r="K90" s="1097"/>
      <c r="L90" s="1098"/>
      <c r="M90" s="344"/>
      <c r="N90" s="1084" t="s">
        <v>94</v>
      </c>
      <c r="O90" s="1085"/>
      <c r="P90" s="343"/>
    </row>
    <row r="91" spans="1:16" ht="13.8" thickBot="1">
      <c r="A91" s="1100"/>
      <c r="B91" s="1086" t="s">
        <v>163</v>
      </c>
      <c r="C91" s="1087"/>
      <c r="D91" s="1088" t="s">
        <v>200</v>
      </c>
      <c r="E91" s="1089"/>
      <c r="F91" s="1094" t="s">
        <v>170</v>
      </c>
      <c r="G91" s="345"/>
      <c r="H91" s="1086" t="s">
        <v>164</v>
      </c>
      <c r="I91" s="1087"/>
      <c r="J91" s="1088" t="s">
        <v>200</v>
      </c>
      <c r="K91" s="1089"/>
      <c r="L91" s="1094" t="s">
        <v>170</v>
      </c>
      <c r="M91" s="345"/>
      <c r="N91" s="361" t="s">
        <v>163</v>
      </c>
      <c r="O91" s="384">
        <v>0.3</v>
      </c>
      <c r="P91" s="343"/>
    </row>
    <row r="92" spans="1:16" ht="15" thickBot="1">
      <c r="A92" s="1100"/>
      <c r="B92" s="1090" t="s">
        <v>201</v>
      </c>
      <c r="C92" s="1091"/>
      <c r="D92" s="363">
        <v>2019</v>
      </c>
      <c r="E92" s="390" t="s">
        <v>171</v>
      </c>
      <c r="F92" s="1095"/>
      <c r="G92" s="345"/>
      <c r="H92" s="1092" t="s">
        <v>73</v>
      </c>
      <c r="I92" s="1093"/>
      <c r="J92" s="364">
        <f>D92</f>
        <v>2019</v>
      </c>
      <c r="K92" s="364" t="str">
        <f>E92</f>
        <v>-</v>
      </c>
      <c r="L92" s="1095"/>
      <c r="M92" s="345"/>
      <c r="N92" s="365" t="s">
        <v>73</v>
      </c>
      <c r="O92" s="383">
        <v>2.4</v>
      </c>
      <c r="P92" s="343"/>
    </row>
    <row r="93" spans="1:16">
      <c r="A93" s="1100"/>
      <c r="B93" s="358"/>
      <c r="C93" s="385">
        <v>15</v>
      </c>
      <c r="D93" s="350">
        <v>9.9999999999999995E-7</v>
      </c>
      <c r="E93" s="391" t="s">
        <v>171</v>
      </c>
      <c r="F93" s="369">
        <f t="shared" ref="F93" si="16">0.5*(MAX(D93:E93)-MIN(D93:E93))</f>
        <v>0</v>
      </c>
      <c r="G93" s="345"/>
      <c r="H93" s="358"/>
      <c r="I93" s="385">
        <v>30</v>
      </c>
      <c r="J93" s="368">
        <v>-1.2</v>
      </c>
      <c r="K93" s="391" t="s">
        <v>171</v>
      </c>
      <c r="L93" s="369">
        <f t="shared" ref="L93:L99" si="17">0.5*(MAX(J93:K93)-MIN(J93:K93))</f>
        <v>0</v>
      </c>
      <c r="M93" s="345"/>
      <c r="N93" s="345"/>
      <c r="O93" s="352"/>
      <c r="P93" s="343"/>
    </row>
    <row r="94" spans="1:16">
      <c r="A94" s="1100"/>
      <c r="B94" s="358"/>
      <c r="C94" s="386">
        <v>20</v>
      </c>
      <c r="D94" s="368">
        <v>-0.2</v>
      </c>
      <c r="E94" s="392" t="s">
        <v>171</v>
      </c>
      <c r="F94" s="371">
        <f>0.5*(MAX(D94:E94)-MIN(D94:E94))</f>
        <v>0</v>
      </c>
      <c r="G94" s="345"/>
      <c r="H94" s="358"/>
      <c r="I94" s="386">
        <v>40</v>
      </c>
      <c r="J94" s="368">
        <v>-1</v>
      </c>
      <c r="K94" s="392" t="s">
        <v>171</v>
      </c>
      <c r="L94" s="371">
        <f t="shared" si="17"/>
        <v>0</v>
      </c>
      <c r="M94" s="345"/>
      <c r="N94" s="345"/>
      <c r="O94" s="352"/>
      <c r="P94" s="343"/>
    </row>
    <row r="95" spans="1:16">
      <c r="A95" s="1100"/>
      <c r="B95" s="358"/>
      <c r="C95" s="386">
        <v>25</v>
      </c>
      <c r="D95" s="368">
        <v>-0.4</v>
      </c>
      <c r="E95" s="392" t="s">
        <v>171</v>
      </c>
      <c r="F95" s="371">
        <f t="shared" ref="F95:F99" si="18">0.5*(MAX(D95:E95)-MIN(D95:E95))</f>
        <v>0</v>
      </c>
      <c r="G95" s="345"/>
      <c r="H95" s="358"/>
      <c r="I95" s="386">
        <v>50</v>
      </c>
      <c r="J95" s="368">
        <v>-0.9</v>
      </c>
      <c r="K95" s="392" t="s">
        <v>171</v>
      </c>
      <c r="L95" s="371">
        <f t="shared" si="17"/>
        <v>0</v>
      </c>
      <c r="M95" s="345"/>
      <c r="N95" s="345"/>
      <c r="O95" s="352"/>
      <c r="P95" s="343"/>
    </row>
    <row r="96" spans="1:16">
      <c r="A96" s="1100"/>
      <c r="B96" s="358"/>
      <c r="C96" s="387">
        <v>30</v>
      </c>
      <c r="D96" s="368">
        <v>-0.5</v>
      </c>
      <c r="E96" s="354" t="s">
        <v>171</v>
      </c>
      <c r="F96" s="371">
        <f t="shared" si="18"/>
        <v>0</v>
      </c>
      <c r="G96" s="345"/>
      <c r="H96" s="358"/>
      <c r="I96" s="387">
        <v>60</v>
      </c>
      <c r="J96" s="368">
        <v>-0.8</v>
      </c>
      <c r="K96" s="354" t="s">
        <v>171</v>
      </c>
      <c r="L96" s="371">
        <f t="shared" si="17"/>
        <v>0</v>
      </c>
      <c r="M96" s="345"/>
      <c r="N96" s="345"/>
      <c r="O96" s="352"/>
      <c r="P96" s="343"/>
    </row>
    <row r="97" spans="1:16">
      <c r="A97" s="1100"/>
      <c r="B97" s="358"/>
      <c r="C97" s="387">
        <v>35</v>
      </c>
      <c r="D97" s="368">
        <v>-0.5</v>
      </c>
      <c r="E97" s="354" t="s">
        <v>171</v>
      </c>
      <c r="F97" s="371">
        <f t="shared" si="18"/>
        <v>0</v>
      </c>
      <c r="G97" s="345"/>
      <c r="H97" s="358"/>
      <c r="I97" s="387">
        <v>70</v>
      </c>
      <c r="J97" s="368">
        <v>-0.6</v>
      </c>
      <c r="K97" s="354" t="s">
        <v>171</v>
      </c>
      <c r="L97" s="371">
        <f t="shared" si="17"/>
        <v>0</v>
      </c>
      <c r="M97" s="345"/>
      <c r="N97" s="345"/>
      <c r="O97" s="352"/>
      <c r="P97" s="343"/>
    </row>
    <row r="98" spans="1:16">
      <c r="A98" s="1100"/>
      <c r="B98" s="358"/>
      <c r="C98" s="387">
        <v>37</v>
      </c>
      <c r="D98" s="368">
        <v>-0.5</v>
      </c>
      <c r="E98" s="354" t="s">
        <v>171</v>
      </c>
      <c r="F98" s="371">
        <f t="shared" si="18"/>
        <v>0</v>
      </c>
      <c r="G98" s="345"/>
      <c r="H98" s="358"/>
      <c r="I98" s="387">
        <v>80</v>
      </c>
      <c r="J98" s="368">
        <v>-0.5</v>
      </c>
      <c r="K98" s="354" t="s">
        <v>171</v>
      </c>
      <c r="L98" s="371">
        <f t="shared" si="17"/>
        <v>0</v>
      </c>
      <c r="M98" s="345"/>
      <c r="N98" s="345"/>
      <c r="O98" s="352"/>
      <c r="P98" s="343"/>
    </row>
    <row r="99" spans="1:16" ht="13.8" thickBot="1">
      <c r="A99" s="1101"/>
      <c r="B99" s="376"/>
      <c r="C99" s="388">
        <v>40</v>
      </c>
      <c r="D99" s="393">
        <v>-0.4</v>
      </c>
      <c r="E99" s="377" t="s">
        <v>171</v>
      </c>
      <c r="F99" s="375">
        <f t="shared" si="18"/>
        <v>0</v>
      </c>
      <c r="G99" s="356"/>
      <c r="H99" s="376"/>
      <c r="I99" s="388">
        <v>90</v>
      </c>
      <c r="J99" s="393">
        <v>-0.2</v>
      </c>
      <c r="K99" s="377" t="s">
        <v>171</v>
      </c>
      <c r="L99" s="375">
        <f t="shared" si="17"/>
        <v>0</v>
      </c>
      <c r="M99" s="356"/>
      <c r="N99" s="356"/>
      <c r="O99" s="357"/>
      <c r="P99" s="343"/>
    </row>
    <row r="100" spans="1:16" ht="13.8" thickBot="1">
      <c r="A100" s="378"/>
      <c r="B100" s="379"/>
      <c r="C100" s="379"/>
      <c r="D100" s="379"/>
      <c r="E100" s="380"/>
      <c r="F100" s="389"/>
      <c r="G100" s="382"/>
      <c r="H100" s="379"/>
      <c r="I100" s="379"/>
      <c r="J100" s="379"/>
      <c r="K100" s="380"/>
      <c r="L100" s="389"/>
      <c r="M100" s="382"/>
      <c r="N100" s="345"/>
      <c r="O100" s="352"/>
      <c r="P100" s="343"/>
    </row>
    <row r="101" spans="1:16" ht="13.8" thickBot="1">
      <c r="A101" s="1099">
        <v>10</v>
      </c>
      <c r="B101" s="1096" t="s">
        <v>210</v>
      </c>
      <c r="C101" s="1097"/>
      <c r="D101" s="1097"/>
      <c r="E101" s="1097"/>
      <c r="F101" s="1098"/>
      <c r="G101" s="344"/>
      <c r="H101" s="1102" t="str">
        <f>B101</f>
        <v>KOREKSI Sekonic HE-21.000669</v>
      </c>
      <c r="I101" s="1103"/>
      <c r="J101" s="1103"/>
      <c r="K101" s="1103"/>
      <c r="L101" s="1104"/>
      <c r="M101" s="344"/>
      <c r="N101" s="1084" t="s">
        <v>94</v>
      </c>
      <c r="O101" s="1085"/>
      <c r="P101" s="343"/>
    </row>
    <row r="102" spans="1:16" ht="13.8" thickBot="1">
      <c r="A102" s="1100"/>
      <c r="B102" s="1086" t="s">
        <v>163</v>
      </c>
      <c r="C102" s="1087"/>
      <c r="D102" s="1088" t="s">
        <v>200</v>
      </c>
      <c r="E102" s="1089"/>
      <c r="F102" s="1094" t="s">
        <v>170</v>
      </c>
      <c r="G102" s="345"/>
      <c r="H102" s="1086" t="s">
        <v>164</v>
      </c>
      <c r="I102" s="1087"/>
      <c r="J102" s="1088" t="s">
        <v>200</v>
      </c>
      <c r="K102" s="1089"/>
      <c r="L102" s="1094" t="s">
        <v>170</v>
      </c>
      <c r="M102" s="345"/>
      <c r="N102" s="361" t="s">
        <v>163</v>
      </c>
      <c r="O102" s="384">
        <v>0.3</v>
      </c>
      <c r="P102" s="343"/>
    </row>
    <row r="103" spans="1:16" ht="15" thickBot="1">
      <c r="A103" s="1100"/>
      <c r="B103" s="1090" t="s">
        <v>201</v>
      </c>
      <c r="C103" s="1091"/>
      <c r="D103" s="363">
        <v>2019</v>
      </c>
      <c r="E103" s="363">
        <v>2016</v>
      </c>
      <c r="F103" s="1095"/>
      <c r="G103" s="345"/>
      <c r="H103" s="1092" t="s">
        <v>73</v>
      </c>
      <c r="I103" s="1093"/>
      <c r="J103" s="364">
        <f>D103</f>
        <v>2019</v>
      </c>
      <c r="K103" s="364">
        <f>E103</f>
        <v>2016</v>
      </c>
      <c r="L103" s="1095"/>
      <c r="M103" s="345"/>
      <c r="N103" s="365" t="s">
        <v>73</v>
      </c>
      <c r="O103" s="383">
        <v>1.5</v>
      </c>
      <c r="P103" s="343"/>
    </row>
    <row r="104" spans="1:16">
      <c r="A104" s="1100"/>
      <c r="B104" s="345"/>
      <c r="C104" s="385">
        <v>15</v>
      </c>
      <c r="D104" s="368">
        <v>0.2</v>
      </c>
      <c r="E104" s="368">
        <v>0.2</v>
      </c>
      <c r="F104" s="369">
        <f t="shared" ref="F104:F110" si="19">0.5*(MAX(D104:E104)-MIN(D104:E104))</f>
        <v>0</v>
      </c>
      <c r="G104" s="345"/>
      <c r="H104" s="358"/>
      <c r="I104" s="385">
        <v>30</v>
      </c>
      <c r="J104" s="368">
        <v>-2.9</v>
      </c>
      <c r="K104" s="368">
        <v>-5.8</v>
      </c>
      <c r="L104" s="369">
        <f t="shared" ref="L104:L107" si="20">0.5*(MAX(J104:K104)-MIN(J104:K104))</f>
        <v>1.45</v>
      </c>
      <c r="M104" s="345"/>
      <c r="N104" s="345"/>
      <c r="O104" s="352"/>
      <c r="P104" s="343"/>
    </row>
    <row r="105" spans="1:16">
      <c r="A105" s="1100"/>
      <c r="B105" s="345"/>
      <c r="C105" s="386">
        <v>20</v>
      </c>
      <c r="D105" s="350">
        <v>0.2</v>
      </c>
      <c r="E105" s="350">
        <v>-0.7</v>
      </c>
      <c r="F105" s="371">
        <f t="shared" si="19"/>
        <v>0.44999999999999996</v>
      </c>
      <c r="G105" s="345"/>
      <c r="H105" s="358"/>
      <c r="I105" s="386">
        <v>40</v>
      </c>
      <c r="J105" s="350">
        <v>-3.3</v>
      </c>
      <c r="K105" s="350">
        <v>-6.4</v>
      </c>
      <c r="L105" s="371">
        <f t="shared" si="20"/>
        <v>1.5500000000000003</v>
      </c>
      <c r="M105" s="345"/>
      <c r="N105" s="345"/>
      <c r="O105" s="352"/>
      <c r="P105" s="343"/>
    </row>
    <row r="106" spans="1:16">
      <c r="A106" s="1100"/>
      <c r="B106" s="345"/>
      <c r="C106" s="386">
        <v>25</v>
      </c>
      <c r="D106" s="350">
        <v>0.1</v>
      </c>
      <c r="E106" s="350">
        <v>-0.5</v>
      </c>
      <c r="F106" s="371">
        <f t="shared" si="19"/>
        <v>0.3</v>
      </c>
      <c r="G106" s="345"/>
      <c r="H106" s="358"/>
      <c r="I106" s="386">
        <v>50</v>
      </c>
      <c r="J106" s="350">
        <v>-3.1</v>
      </c>
      <c r="K106" s="350">
        <v>-6.1</v>
      </c>
      <c r="L106" s="371">
        <f t="shared" si="20"/>
        <v>1.4999999999999998</v>
      </c>
      <c r="M106" s="345"/>
      <c r="N106" s="345"/>
      <c r="O106" s="352"/>
      <c r="P106" s="343"/>
    </row>
    <row r="107" spans="1:16">
      <c r="A107" s="1100"/>
      <c r="B107" s="345"/>
      <c r="C107" s="387">
        <v>30</v>
      </c>
      <c r="D107" s="353">
        <v>0.1</v>
      </c>
      <c r="E107" s="353">
        <v>0.2</v>
      </c>
      <c r="F107" s="371">
        <f t="shared" si="19"/>
        <v>0.05</v>
      </c>
      <c r="G107" s="345"/>
      <c r="H107" s="358"/>
      <c r="I107" s="387">
        <v>60</v>
      </c>
      <c r="J107" s="353">
        <v>-2.1</v>
      </c>
      <c r="K107" s="353">
        <v>-5.6</v>
      </c>
      <c r="L107" s="371">
        <f t="shared" si="20"/>
        <v>1.7499999999999998</v>
      </c>
      <c r="M107" s="345"/>
      <c r="N107" s="345"/>
      <c r="O107" s="352"/>
      <c r="P107" s="343"/>
    </row>
    <row r="108" spans="1:16">
      <c r="A108" s="1100"/>
      <c r="B108" s="345"/>
      <c r="C108" s="387">
        <v>35</v>
      </c>
      <c r="D108" s="353">
        <v>0.2</v>
      </c>
      <c r="E108" s="353">
        <v>0.8</v>
      </c>
      <c r="F108" s="371">
        <f t="shared" si="19"/>
        <v>0.30000000000000004</v>
      </c>
      <c r="G108" s="345"/>
      <c r="H108" s="358"/>
      <c r="I108" s="387">
        <v>70</v>
      </c>
      <c r="J108" s="353">
        <v>-0.3</v>
      </c>
      <c r="K108" s="353">
        <v>-5.0999999999999996</v>
      </c>
      <c r="L108" s="371">
        <f>0.5*(MAX(J108:K108)-MIN(J108:K108))</f>
        <v>2.4</v>
      </c>
      <c r="M108" s="345"/>
      <c r="N108" s="345"/>
      <c r="O108" s="352"/>
      <c r="P108" s="343"/>
    </row>
    <row r="109" spans="1:16">
      <c r="A109" s="1100"/>
      <c r="B109" s="345"/>
      <c r="C109" s="387">
        <v>37</v>
      </c>
      <c r="D109" s="353">
        <v>0.2</v>
      </c>
      <c r="E109" s="353">
        <v>0.4</v>
      </c>
      <c r="F109" s="371">
        <f t="shared" si="19"/>
        <v>0.1</v>
      </c>
      <c r="G109" s="345"/>
      <c r="H109" s="358"/>
      <c r="I109" s="387">
        <v>80</v>
      </c>
      <c r="J109" s="353">
        <v>2.2000000000000002</v>
      </c>
      <c r="K109" s="353">
        <v>-4.7</v>
      </c>
      <c r="L109" s="371">
        <f t="shared" ref="L109:L110" si="21">0.5*(MAX(J109:K109)-MIN(J109:K109))</f>
        <v>3.45</v>
      </c>
      <c r="M109" s="345"/>
      <c r="N109" s="345"/>
      <c r="O109" s="352"/>
      <c r="P109" s="343"/>
    </row>
    <row r="110" spans="1:16" ht="13.8" thickBot="1">
      <c r="A110" s="1101"/>
      <c r="B110" s="356"/>
      <c r="C110" s="388">
        <v>40</v>
      </c>
      <c r="D110" s="394">
        <v>0.2</v>
      </c>
      <c r="E110" s="394">
        <v>0</v>
      </c>
      <c r="F110" s="375">
        <f t="shared" si="19"/>
        <v>0.1</v>
      </c>
      <c r="G110" s="356"/>
      <c r="H110" s="376"/>
      <c r="I110" s="388">
        <v>90</v>
      </c>
      <c r="J110" s="373">
        <v>5.4</v>
      </c>
      <c r="K110" s="373">
        <v>0</v>
      </c>
      <c r="L110" s="375">
        <f t="shared" si="21"/>
        <v>2.7</v>
      </c>
      <c r="M110" s="356"/>
      <c r="N110" s="356"/>
      <c r="O110" s="357"/>
      <c r="P110" s="343"/>
    </row>
    <row r="111" spans="1:16" ht="13.8" thickBot="1">
      <c r="A111" s="378"/>
      <c r="B111" s="379"/>
      <c r="C111" s="379"/>
      <c r="D111" s="379"/>
      <c r="E111" s="380"/>
      <c r="F111" s="389"/>
      <c r="G111" s="382"/>
      <c r="H111" s="379"/>
      <c r="I111" s="379"/>
      <c r="J111" s="379"/>
      <c r="K111" s="380"/>
      <c r="L111" s="389"/>
      <c r="M111" s="382"/>
      <c r="N111" s="345"/>
      <c r="O111" s="352"/>
      <c r="P111" s="343"/>
    </row>
    <row r="112" spans="1:16" ht="13.8" thickBot="1">
      <c r="A112" s="1099">
        <v>11</v>
      </c>
      <c r="B112" s="1096" t="s">
        <v>211</v>
      </c>
      <c r="C112" s="1097"/>
      <c r="D112" s="1097"/>
      <c r="E112" s="1097"/>
      <c r="F112" s="1098"/>
      <c r="G112" s="344"/>
      <c r="H112" s="1102" t="str">
        <f>B112</f>
        <v>KOREKSI Sekonic HE-21.000670</v>
      </c>
      <c r="I112" s="1103"/>
      <c r="J112" s="1103"/>
      <c r="K112" s="1103"/>
      <c r="L112" s="1104"/>
      <c r="M112" s="344"/>
      <c r="N112" s="1084" t="s">
        <v>94</v>
      </c>
      <c r="O112" s="1085"/>
      <c r="P112" s="343"/>
    </row>
    <row r="113" spans="1:16" ht="13.8" thickBot="1">
      <c r="A113" s="1100"/>
      <c r="B113" s="1086" t="s">
        <v>163</v>
      </c>
      <c r="C113" s="1087"/>
      <c r="D113" s="1088" t="s">
        <v>200</v>
      </c>
      <c r="E113" s="1089"/>
      <c r="F113" s="1094" t="s">
        <v>170</v>
      </c>
      <c r="G113" s="345"/>
      <c r="H113" s="1086" t="s">
        <v>164</v>
      </c>
      <c r="I113" s="1087"/>
      <c r="J113" s="1088" t="s">
        <v>200</v>
      </c>
      <c r="K113" s="1089"/>
      <c r="L113" s="1094" t="s">
        <v>170</v>
      </c>
      <c r="M113" s="345"/>
      <c r="N113" s="361" t="s">
        <v>163</v>
      </c>
      <c r="O113" s="384">
        <v>0.3</v>
      </c>
      <c r="P113" s="343"/>
    </row>
    <row r="114" spans="1:16" ht="15" thickBot="1">
      <c r="A114" s="1100"/>
      <c r="B114" s="1090" t="s">
        <v>201</v>
      </c>
      <c r="C114" s="1091"/>
      <c r="D114" s="363">
        <v>2020</v>
      </c>
      <c r="E114" s="390" t="s">
        <v>171</v>
      </c>
      <c r="F114" s="1095"/>
      <c r="G114" s="345"/>
      <c r="H114" s="1092" t="s">
        <v>73</v>
      </c>
      <c r="I114" s="1093"/>
      <c r="J114" s="364">
        <f>D114</f>
        <v>2020</v>
      </c>
      <c r="K114" s="364" t="str">
        <f>E114</f>
        <v>-</v>
      </c>
      <c r="L114" s="1095"/>
      <c r="M114" s="345"/>
      <c r="N114" s="365" t="s">
        <v>73</v>
      </c>
      <c r="O114" s="383">
        <v>1.8</v>
      </c>
      <c r="P114" s="343"/>
    </row>
    <row r="115" spans="1:16">
      <c r="A115" s="1100"/>
      <c r="B115" s="345"/>
      <c r="C115" s="385">
        <v>15</v>
      </c>
      <c r="D115" s="368">
        <v>0.3</v>
      </c>
      <c r="E115" s="391" t="s">
        <v>171</v>
      </c>
      <c r="F115" s="369">
        <f t="shared" ref="F115:F121" si="22">0.5*(MAX(D115:E115)-MIN(D115:E115))</f>
        <v>0</v>
      </c>
      <c r="G115" s="345"/>
      <c r="H115" s="358"/>
      <c r="I115" s="385">
        <v>30</v>
      </c>
      <c r="J115" s="368">
        <v>-5.2</v>
      </c>
      <c r="K115" s="391" t="s">
        <v>171</v>
      </c>
      <c r="L115" s="369">
        <f t="shared" ref="L115:L121" si="23">0.5*(MAX(J115:K115)-MIN(J115:K115))</f>
        <v>0</v>
      </c>
      <c r="M115" s="345"/>
      <c r="N115" s="345"/>
      <c r="O115" s="352"/>
      <c r="P115" s="343"/>
    </row>
    <row r="116" spans="1:16">
      <c r="A116" s="1100"/>
      <c r="B116" s="345"/>
      <c r="C116" s="386">
        <v>20</v>
      </c>
      <c r="D116" s="350">
        <v>0.4</v>
      </c>
      <c r="E116" s="392" t="s">
        <v>171</v>
      </c>
      <c r="F116" s="371">
        <f t="shared" si="22"/>
        <v>0</v>
      </c>
      <c r="G116" s="345"/>
      <c r="H116" s="358"/>
      <c r="I116" s="386">
        <v>40</v>
      </c>
      <c r="J116" s="350">
        <v>-5.5</v>
      </c>
      <c r="K116" s="392" t="s">
        <v>171</v>
      </c>
      <c r="L116" s="371">
        <f t="shared" si="23"/>
        <v>0</v>
      </c>
      <c r="M116" s="345"/>
      <c r="N116" s="345"/>
      <c r="O116" s="352"/>
      <c r="P116" s="343"/>
    </row>
    <row r="117" spans="1:16">
      <c r="A117" s="1100"/>
      <c r="B117" s="345"/>
      <c r="C117" s="386">
        <v>25</v>
      </c>
      <c r="D117" s="350">
        <v>0.4</v>
      </c>
      <c r="E117" s="392" t="s">
        <v>171</v>
      </c>
      <c r="F117" s="371">
        <f t="shared" si="22"/>
        <v>0</v>
      </c>
      <c r="G117" s="345"/>
      <c r="H117" s="358"/>
      <c r="I117" s="386">
        <v>50</v>
      </c>
      <c r="J117" s="350">
        <v>-5.5</v>
      </c>
      <c r="K117" s="392" t="s">
        <v>171</v>
      </c>
      <c r="L117" s="371">
        <f t="shared" si="23"/>
        <v>0</v>
      </c>
      <c r="M117" s="345"/>
      <c r="N117" s="345"/>
      <c r="O117" s="352"/>
      <c r="P117" s="343"/>
    </row>
    <row r="118" spans="1:16">
      <c r="A118" s="1100"/>
      <c r="B118" s="345"/>
      <c r="C118" s="387">
        <v>30</v>
      </c>
      <c r="D118" s="353">
        <v>0.5</v>
      </c>
      <c r="E118" s="354" t="s">
        <v>171</v>
      </c>
      <c r="F118" s="371">
        <f t="shared" si="22"/>
        <v>0</v>
      </c>
      <c r="G118" s="345"/>
      <c r="H118" s="358"/>
      <c r="I118" s="387">
        <v>60</v>
      </c>
      <c r="J118" s="353">
        <v>-4.8</v>
      </c>
      <c r="K118" s="354" t="s">
        <v>171</v>
      </c>
      <c r="L118" s="371">
        <f t="shared" si="23"/>
        <v>0</v>
      </c>
      <c r="M118" s="345"/>
      <c r="N118" s="345"/>
      <c r="O118" s="352"/>
      <c r="P118" s="343"/>
    </row>
    <row r="119" spans="1:16">
      <c r="A119" s="1100"/>
      <c r="B119" s="345"/>
      <c r="C119" s="387">
        <v>35</v>
      </c>
      <c r="D119" s="353">
        <v>0.5</v>
      </c>
      <c r="E119" s="354" t="s">
        <v>171</v>
      </c>
      <c r="F119" s="371">
        <f t="shared" si="22"/>
        <v>0</v>
      </c>
      <c r="G119" s="345"/>
      <c r="H119" s="358"/>
      <c r="I119" s="387">
        <v>70</v>
      </c>
      <c r="J119" s="353">
        <v>-3.4</v>
      </c>
      <c r="K119" s="354" t="s">
        <v>171</v>
      </c>
      <c r="L119" s="371">
        <f t="shared" si="23"/>
        <v>0</v>
      </c>
      <c r="M119" s="345"/>
      <c r="N119" s="345"/>
      <c r="O119" s="352"/>
      <c r="P119" s="343"/>
    </row>
    <row r="120" spans="1:16">
      <c r="A120" s="1100"/>
      <c r="B120" s="345"/>
      <c r="C120" s="387">
        <v>37</v>
      </c>
      <c r="D120" s="353">
        <v>0.5</v>
      </c>
      <c r="E120" s="354" t="s">
        <v>171</v>
      </c>
      <c r="F120" s="371">
        <f t="shared" si="22"/>
        <v>0</v>
      </c>
      <c r="G120" s="345"/>
      <c r="H120" s="358"/>
      <c r="I120" s="387">
        <v>80</v>
      </c>
      <c r="J120" s="353">
        <v>-1.4</v>
      </c>
      <c r="K120" s="354" t="s">
        <v>171</v>
      </c>
      <c r="L120" s="371">
        <f t="shared" si="23"/>
        <v>0</v>
      </c>
      <c r="M120" s="345"/>
      <c r="N120" s="345"/>
      <c r="O120" s="352"/>
      <c r="P120" s="343"/>
    </row>
    <row r="121" spans="1:16" ht="13.8" thickBot="1">
      <c r="A121" s="1101"/>
      <c r="B121" s="356"/>
      <c r="C121" s="388">
        <v>40</v>
      </c>
      <c r="D121" s="374">
        <v>0.5</v>
      </c>
      <c r="E121" s="377" t="s">
        <v>171</v>
      </c>
      <c r="F121" s="375">
        <f t="shared" si="22"/>
        <v>0</v>
      </c>
      <c r="G121" s="356"/>
      <c r="H121" s="376"/>
      <c r="I121" s="388">
        <v>90</v>
      </c>
      <c r="J121" s="374">
        <v>1.3</v>
      </c>
      <c r="K121" s="377" t="s">
        <v>171</v>
      </c>
      <c r="L121" s="375">
        <f t="shared" si="23"/>
        <v>0</v>
      </c>
      <c r="M121" s="356"/>
      <c r="N121" s="356"/>
      <c r="O121" s="357"/>
      <c r="P121" s="343"/>
    </row>
    <row r="122" spans="1:16" ht="13.8" thickBot="1">
      <c r="A122" s="378"/>
      <c r="B122" s="379"/>
      <c r="C122" s="379"/>
      <c r="D122" s="379"/>
      <c r="E122" s="380"/>
      <c r="F122" s="389"/>
      <c r="G122" s="382"/>
      <c r="H122" s="379"/>
      <c r="I122" s="379"/>
      <c r="J122" s="379"/>
      <c r="K122" s="380"/>
      <c r="L122" s="389"/>
      <c r="M122" s="345"/>
      <c r="N122" s="345"/>
      <c r="O122" s="352"/>
      <c r="P122" s="343"/>
    </row>
    <row r="123" spans="1:16" ht="13.8" thickBot="1">
      <c r="A123" s="1099">
        <v>12</v>
      </c>
      <c r="B123" s="1096" t="s">
        <v>385</v>
      </c>
      <c r="C123" s="1097"/>
      <c r="D123" s="1097"/>
      <c r="E123" s="1097"/>
      <c r="F123" s="1098"/>
      <c r="G123" s="344"/>
      <c r="H123" s="1096" t="str">
        <f>B123</f>
        <v>KOREKSI Extech SD700/A.100609</v>
      </c>
      <c r="I123" s="1097"/>
      <c r="J123" s="1097"/>
      <c r="K123" s="1097"/>
      <c r="L123" s="1098"/>
      <c r="M123" s="344"/>
      <c r="N123" s="1084" t="s">
        <v>94</v>
      </c>
      <c r="O123" s="1085"/>
      <c r="P123" s="343"/>
    </row>
    <row r="124" spans="1:16" ht="13.8" thickBot="1">
      <c r="A124" s="1100"/>
      <c r="B124" s="1086" t="s">
        <v>163</v>
      </c>
      <c r="C124" s="1087"/>
      <c r="D124" s="1088" t="s">
        <v>200</v>
      </c>
      <c r="E124" s="1089"/>
      <c r="F124" s="1094" t="s">
        <v>170</v>
      </c>
      <c r="G124" s="345"/>
      <c r="H124" s="1086" t="s">
        <v>164</v>
      </c>
      <c r="I124" s="1087"/>
      <c r="J124" s="1088" t="s">
        <v>200</v>
      </c>
      <c r="K124" s="1089"/>
      <c r="L124" s="1094" t="s">
        <v>170</v>
      </c>
      <c r="M124" s="345"/>
      <c r="N124" s="361" t="s">
        <v>163</v>
      </c>
      <c r="O124" s="384">
        <v>0.5</v>
      </c>
      <c r="P124" s="343"/>
    </row>
    <row r="125" spans="1:16" ht="15" thickBot="1">
      <c r="A125" s="1100"/>
      <c r="B125" s="1090" t="s">
        <v>201</v>
      </c>
      <c r="C125" s="1091"/>
      <c r="D125" s="363">
        <v>2022</v>
      </c>
      <c r="E125" s="390">
        <v>2020</v>
      </c>
      <c r="F125" s="1095"/>
      <c r="G125" s="345"/>
      <c r="H125" s="1092" t="s">
        <v>73</v>
      </c>
      <c r="I125" s="1093"/>
      <c r="J125" s="364">
        <f>D125</f>
        <v>2022</v>
      </c>
      <c r="K125" s="364">
        <f>E125</f>
        <v>2020</v>
      </c>
      <c r="L125" s="1095"/>
      <c r="M125" s="345"/>
      <c r="N125" s="365" t="s">
        <v>73</v>
      </c>
      <c r="O125" s="383">
        <v>2.7</v>
      </c>
      <c r="P125" s="343"/>
    </row>
    <row r="126" spans="1:16">
      <c r="A126" s="1100"/>
      <c r="B126" s="345"/>
      <c r="C126" s="385">
        <v>15</v>
      </c>
      <c r="D126" s="368">
        <v>0.5</v>
      </c>
      <c r="E126" s="368">
        <v>-2</v>
      </c>
      <c r="F126" s="369">
        <f t="shared" ref="F126:F132" si="24">0.5*(MAX(D126:E126)-MIN(D126:E126))</f>
        <v>1.25</v>
      </c>
      <c r="G126" s="345"/>
      <c r="H126" s="358"/>
      <c r="I126" s="385">
        <v>30</v>
      </c>
      <c r="J126" s="368">
        <v>-0.8</v>
      </c>
      <c r="K126" s="368">
        <v>1</v>
      </c>
      <c r="L126" s="369">
        <f t="shared" ref="L126:L132" si="25">0.5*(MAX(J126:K126)-MIN(J126:K126))</f>
        <v>0.9</v>
      </c>
      <c r="M126" s="345"/>
      <c r="N126" s="345"/>
      <c r="O126" s="352"/>
      <c r="P126" s="343"/>
    </row>
    <row r="127" spans="1:16">
      <c r="A127" s="1100"/>
      <c r="B127" s="345"/>
      <c r="C127" s="386">
        <v>20</v>
      </c>
      <c r="D127" s="350">
        <v>0.2</v>
      </c>
      <c r="E127" s="350">
        <v>-0.1</v>
      </c>
      <c r="F127" s="371">
        <f t="shared" si="24"/>
        <v>0.15000000000000002</v>
      </c>
      <c r="G127" s="345"/>
      <c r="H127" s="358"/>
      <c r="I127" s="386">
        <v>40</v>
      </c>
      <c r="J127" s="350">
        <v>-0.4</v>
      </c>
      <c r="K127" s="350">
        <v>0.3</v>
      </c>
      <c r="L127" s="371">
        <f t="shared" si="25"/>
        <v>0.35</v>
      </c>
      <c r="M127" s="345"/>
      <c r="N127" s="345"/>
      <c r="O127" s="352"/>
      <c r="P127" s="343"/>
    </row>
    <row r="128" spans="1:16">
      <c r="A128" s="1100"/>
      <c r="B128" s="345"/>
      <c r="C128" s="386">
        <v>25</v>
      </c>
      <c r="D128" s="350">
        <v>-0.1</v>
      </c>
      <c r="E128" s="350">
        <v>-0.1</v>
      </c>
      <c r="F128" s="371">
        <f t="shared" si="24"/>
        <v>0</v>
      </c>
      <c r="G128" s="345"/>
      <c r="H128" s="358"/>
      <c r="I128" s="386">
        <v>50</v>
      </c>
      <c r="J128" s="350">
        <v>0</v>
      </c>
      <c r="K128" s="350">
        <v>-0.2</v>
      </c>
      <c r="L128" s="371">
        <f t="shared" si="25"/>
        <v>0.1</v>
      </c>
      <c r="M128" s="345"/>
      <c r="N128" s="345"/>
      <c r="O128" s="352"/>
      <c r="P128" s="343"/>
    </row>
    <row r="129" spans="1:16">
      <c r="A129" s="1100"/>
      <c r="B129" s="345"/>
      <c r="C129" s="387">
        <v>30</v>
      </c>
      <c r="D129" s="353">
        <v>-0.4</v>
      </c>
      <c r="E129" s="353">
        <v>-0.3</v>
      </c>
      <c r="F129" s="371">
        <f t="shared" si="24"/>
        <v>5.0000000000000017E-2</v>
      </c>
      <c r="G129" s="345"/>
      <c r="H129" s="358"/>
      <c r="I129" s="387">
        <v>60</v>
      </c>
      <c r="J129" s="353">
        <v>0.3</v>
      </c>
      <c r="K129" s="353">
        <v>-0.6</v>
      </c>
      <c r="L129" s="371">
        <f t="shared" si="25"/>
        <v>0.44999999999999996</v>
      </c>
      <c r="M129" s="345"/>
      <c r="N129" s="345"/>
      <c r="O129" s="352"/>
      <c r="P129" s="343"/>
    </row>
    <row r="130" spans="1:16">
      <c r="A130" s="1100"/>
      <c r="B130" s="345"/>
      <c r="C130" s="387">
        <v>35</v>
      </c>
      <c r="D130" s="353">
        <v>-0.6</v>
      </c>
      <c r="E130" s="353">
        <v>-0.6</v>
      </c>
      <c r="F130" s="371">
        <f t="shared" si="24"/>
        <v>0</v>
      </c>
      <c r="G130" s="345"/>
      <c r="H130" s="358"/>
      <c r="I130" s="387">
        <v>70</v>
      </c>
      <c r="J130" s="353">
        <v>0.7</v>
      </c>
      <c r="K130" s="353">
        <v>-0.8</v>
      </c>
      <c r="L130" s="371">
        <f t="shared" si="25"/>
        <v>0.75</v>
      </c>
      <c r="M130" s="345"/>
      <c r="N130" s="345"/>
      <c r="O130" s="352"/>
      <c r="P130" s="343"/>
    </row>
    <row r="131" spans="1:16">
      <c r="A131" s="1100"/>
      <c r="B131" s="345"/>
      <c r="C131" s="387">
        <v>37</v>
      </c>
      <c r="D131" s="353">
        <v>-0.7</v>
      </c>
      <c r="E131" s="353">
        <v>-0.8</v>
      </c>
      <c r="F131" s="371">
        <f t="shared" si="24"/>
        <v>5.0000000000000044E-2</v>
      </c>
      <c r="G131" s="345"/>
      <c r="H131" s="358"/>
      <c r="I131" s="387">
        <v>80</v>
      </c>
      <c r="J131" s="353">
        <v>1.1000000000000001</v>
      </c>
      <c r="K131" s="353">
        <v>-0.9</v>
      </c>
      <c r="L131" s="371">
        <f t="shared" si="25"/>
        <v>1</v>
      </c>
      <c r="M131" s="345"/>
      <c r="N131" s="345"/>
      <c r="O131" s="352"/>
      <c r="P131" s="343"/>
    </row>
    <row r="132" spans="1:16" ht="13.8" thickBot="1">
      <c r="A132" s="1101"/>
      <c r="B132" s="356"/>
      <c r="C132" s="388">
        <v>40</v>
      </c>
      <c r="D132" s="374">
        <v>-0.8</v>
      </c>
      <c r="E132" s="374">
        <v>-1.1000000000000001</v>
      </c>
      <c r="F132" s="375">
        <f t="shared" si="24"/>
        <v>0.15000000000000002</v>
      </c>
      <c r="G132" s="356"/>
      <c r="H132" s="376"/>
      <c r="I132" s="388">
        <v>90</v>
      </c>
      <c r="J132" s="374">
        <v>1.5</v>
      </c>
      <c r="K132" s="374">
        <v>-0.8</v>
      </c>
      <c r="L132" s="375">
        <f t="shared" si="25"/>
        <v>1.1499999999999999</v>
      </c>
      <c r="M132" s="356"/>
      <c r="N132" s="356"/>
      <c r="O132" s="395"/>
      <c r="P132" s="343"/>
    </row>
    <row r="133" spans="1:16" ht="13.8" thickBot="1">
      <c r="A133" s="617"/>
      <c r="B133" s="345"/>
      <c r="C133" s="396"/>
      <c r="D133" s="396"/>
      <c r="E133" s="397"/>
      <c r="F133" s="398"/>
      <c r="G133" s="345"/>
      <c r="H133" s="345"/>
      <c r="I133" s="396"/>
      <c r="J133" s="396"/>
      <c r="K133" s="397"/>
      <c r="L133" s="398"/>
      <c r="M133" s="345"/>
      <c r="N133" s="345"/>
      <c r="O133" s="345"/>
      <c r="P133" s="343"/>
    </row>
    <row r="134" spans="1:16" ht="13.8" thickBot="1">
      <c r="A134" s="1099">
        <v>13</v>
      </c>
      <c r="B134" s="1096" t="s">
        <v>386</v>
      </c>
      <c r="C134" s="1097"/>
      <c r="D134" s="1097"/>
      <c r="E134" s="1097"/>
      <c r="F134" s="1098"/>
      <c r="G134" s="344"/>
      <c r="H134" s="1096" t="str">
        <f>B134</f>
        <v>KOREKSI Extech SD700/A.100605</v>
      </c>
      <c r="I134" s="1097"/>
      <c r="J134" s="1097"/>
      <c r="K134" s="1097"/>
      <c r="L134" s="1098"/>
      <c r="M134" s="344"/>
      <c r="N134" s="1084" t="s">
        <v>94</v>
      </c>
      <c r="O134" s="1085"/>
      <c r="P134" s="343"/>
    </row>
    <row r="135" spans="1:16" ht="12.75" customHeight="1" thickBot="1">
      <c r="A135" s="1100"/>
      <c r="B135" s="1086" t="s">
        <v>163</v>
      </c>
      <c r="C135" s="1087"/>
      <c r="D135" s="1088" t="s">
        <v>200</v>
      </c>
      <c r="E135" s="1089"/>
      <c r="F135" s="1094" t="s">
        <v>170</v>
      </c>
      <c r="G135" s="345"/>
      <c r="H135" s="1086" t="s">
        <v>164</v>
      </c>
      <c r="I135" s="1087"/>
      <c r="J135" s="1088" t="s">
        <v>200</v>
      </c>
      <c r="K135" s="1089"/>
      <c r="L135" s="1094" t="s">
        <v>170</v>
      </c>
      <c r="M135" s="345"/>
      <c r="N135" s="361" t="s">
        <v>163</v>
      </c>
      <c r="O135" s="384">
        <v>0.5</v>
      </c>
      <c r="P135" s="343"/>
    </row>
    <row r="136" spans="1:16" ht="15" thickBot="1">
      <c r="A136" s="1100"/>
      <c r="B136" s="1090" t="s">
        <v>201</v>
      </c>
      <c r="C136" s="1091"/>
      <c r="D136" s="363">
        <v>2022</v>
      </c>
      <c r="E136" s="390">
        <v>2020</v>
      </c>
      <c r="F136" s="1095"/>
      <c r="G136" s="345"/>
      <c r="H136" s="1092" t="s">
        <v>73</v>
      </c>
      <c r="I136" s="1093"/>
      <c r="J136" s="364">
        <f>D136</f>
        <v>2022</v>
      </c>
      <c r="K136" s="364">
        <f>E136</f>
        <v>2020</v>
      </c>
      <c r="L136" s="1095"/>
      <c r="M136" s="345"/>
      <c r="N136" s="365" t="s">
        <v>73</v>
      </c>
      <c r="O136" s="383">
        <v>2.2999999999999998</v>
      </c>
      <c r="P136" s="343"/>
    </row>
    <row r="137" spans="1:16">
      <c r="A137" s="1100"/>
      <c r="B137" s="345"/>
      <c r="C137" s="385">
        <v>15</v>
      </c>
      <c r="D137" s="368">
        <v>0.5</v>
      </c>
      <c r="E137" s="368">
        <v>-0.7</v>
      </c>
      <c r="F137" s="369">
        <f t="shared" ref="F137:F143" si="26">0.5*(MAX(D137:E137)-MIN(D137:E137))</f>
        <v>0.6</v>
      </c>
      <c r="G137" s="345"/>
      <c r="H137" s="358"/>
      <c r="I137" s="385">
        <v>30</v>
      </c>
      <c r="J137" s="368">
        <v>-2.2000000000000002</v>
      </c>
      <c r="K137" s="368">
        <v>-1.5</v>
      </c>
      <c r="L137" s="369">
        <f t="shared" ref="L137:L143" si="27">0.5*(MAX(J137:K137)-MIN(J137:K137))</f>
        <v>0.35000000000000009</v>
      </c>
      <c r="M137" s="345"/>
      <c r="N137" s="345"/>
      <c r="O137" s="352"/>
      <c r="P137" s="343"/>
    </row>
    <row r="138" spans="1:16">
      <c r="A138" s="1100"/>
      <c r="B138" s="345"/>
      <c r="C138" s="386">
        <v>20</v>
      </c>
      <c r="D138" s="350">
        <v>0.2</v>
      </c>
      <c r="E138" s="350">
        <v>-0.4</v>
      </c>
      <c r="F138" s="371">
        <f t="shared" si="26"/>
        <v>0.30000000000000004</v>
      </c>
      <c r="G138" s="345"/>
      <c r="H138" s="358"/>
      <c r="I138" s="386">
        <v>40</v>
      </c>
      <c r="J138" s="350">
        <v>-2</v>
      </c>
      <c r="K138" s="350">
        <v>-1.3</v>
      </c>
      <c r="L138" s="371">
        <f t="shared" si="27"/>
        <v>0.35</v>
      </c>
      <c r="M138" s="345"/>
      <c r="N138" s="345"/>
      <c r="O138" s="352"/>
      <c r="P138" s="343"/>
    </row>
    <row r="139" spans="1:16">
      <c r="A139" s="1100"/>
      <c r="B139" s="345"/>
      <c r="C139" s="386">
        <v>25</v>
      </c>
      <c r="D139" s="350">
        <v>0.1</v>
      </c>
      <c r="E139" s="350">
        <v>-0.2</v>
      </c>
      <c r="F139" s="371">
        <f t="shared" si="26"/>
        <v>0.15000000000000002</v>
      </c>
      <c r="G139" s="345"/>
      <c r="H139" s="358"/>
      <c r="I139" s="386">
        <v>50</v>
      </c>
      <c r="J139" s="350">
        <v>-1.8</v>
      </c>
      <c r="K139" s="350">
        <v>-1.3</v>
      </c>
      <c r="L139" s="371">
        <f t="shared" si="27"/>
        <v>0.25</v>
      </c>
      <c r="M139" s="345"/>
      <c r="N139" s="345"/>
      <c r="O139" s="352"/>
      <c r="P139" s="343"/>
    </row>
    <row r="140" spans="1:16">
      <c r="A140" s="1100"/>
      <c r="B140" s="345"/>
      <c r="C140" s="387">
        <v>30</v>
      </c>
      <c r="D140" s="353">
        <v>-0.1</v>
      </c>
      <c r="E140" s="353">
        <v>0.1</v>
      </c>
      <c r="F140" s="371">
        <f t="shared" si="26"/>
        <v>0.1</v>
      </c>
      <c r="G140" s="345"/>
      <c r="H140" s="358"/>
      <c r="I140" s="387">
        <v>60</v>
      </c>
      <c r="J140" s="353">
        <v>-1.6</v>
      </c>
      <c r="K140" s="353">
        <v>-1.5</v>
      </c>
      <c r="L140" s="371">
        <f t="shared" si="27"/>
        <v>5.0000000000000044E-2</v>
      </c>
      <c r="M140" s="345"/>
      <c r="N140" s="345"/>
      <c r="O140" s="352"/>
      <c r="P140" s="343"/>
    </row>
    <row r="141" spans="1:16">
      <c r="A141" s="1100"/>
      <c r="B141" s="345"/>
      <c r="C141" s="387">
        <v>35</v>
      </c>
      <c r="D141" s="353">
        <v>-0.2</v>
      </c>
      <c r="E141" s="353">
        <v>0.3</v>
      </c>
      <c r="F141" s="371">
        <f t="shared" si="26"/>
        <v>0.25</v>
      </c>
      <c r="G141" s="345"/>
      <c r="H141" s="358"/>
      <c r="I141" s="387">
        <v>70</v>
      </c>
      <c r="J141" s="353">
        <v>-1.4</v>
      </c>
      <c r="K141" s="353">
        <v>-1.9</v>
      </c>
      <c r="L141" s="371">
        <f t="shared" si="27"/>
        <v>0.25</v>
      </c>
      <c r="M141" s="345"/>
      <c r="N141" s="345"/>
      <c r="O141" s="352"/>
      <c r="P141" s="343"/>
    </row>
    <row r="142" spans="1:16">
      <c r="A142" s="1100"/>
      <c r="B142" s="345"/>
      <c r="C142" s="387">
        <v>37</v>
      </c>
      <c r="D142" s="353">
        <v>-0.2</v>
      </c>
      <c r="E142" s="353">
        <v>0.4</v>
      </c>
      <c r="F142" s="371">
        <f t="shared" si="26"/>
        <v>0.30000000000000004</v>
      </c>
      <c r="G142" s="345"/>
      <c r="H142" s="358"/>
      <c r="I142" s="387">
        <v>80</v>
      </c>
      <c r="J142" s="353">
        <v>-1.2</v>
      </c>
      <c r="K142" s="353">
        <v>-2.5</v>
      </c>
      <c r="L142" s="371">
        <f t="shared" si="27"/>
        <v>0.65</v>
      </c>
      <c r="M142" s="345"/>
      <c r="N142" s="345"/>
      <c r="O142" s="352"/>
      <c r="P142" s="343"/>
    </row>
    <row r="143" spans="1:16" ht="13.8" thickBot="1">
      <c r="A143" s="1101"/>
      <c r="B143" s="356"/>
      <c r="C143" s="388">
        <v>40</v>
      </c>
      <c r="D143" s="374">
        <v>-0.2</v>
      </c>
      <c r="E143" s="374">
        <v>0.5</v>
      </c>
      <c r="F143" s="375">
        <f t="shared" si="26"/>
        <v>0.35</v>
      </c>
      <c r="G143" s="356"/>
      <c r="H143" s="376"/>
      <c r="I143" s="388">
        <v>90</v>
      </c>
      <c r="J143" s="374">
        <v>-1</v>
      </c>
      <c r="K143" s="374">
        <v>-3.2</v>
      </c>
      <c r="L143" s="375">
        <f t="shared" si="27"/>
        <v>1.1000000000000001</v>
      </c>
      <c r="M143" s="356"/>
      <c r="N143" s="356"/>
      <c r="O143" s="395"/>
      <c r="P143" s="343"/>
    </row>
    <row r="144" spans="1:16" ht="13.8" thickBot="1">
      <c r="A144" s="617"/>
      <c r="B144" s="345"/>
      <c r="C144" s="396"/>
      <c r="D144" s="396"/>
      <c r="E144" s="397"/>
      <c r="F144" s="398"/>
      <c r="G144" s="345"/>
      <c r="H144" s="345"/>
      <c r="I144" s="396"/>
      <c r="J144" s="396"/>
      <c r="K144" s="397"/>
      <c r="L144" s="398"/>
      <c r="M144" s="345"/>
      <c r="N144" s="345"/>
      <c r="O144" s="345"/>
      <c r="P144" s="343"/>
    </row>
    <row r="145" spans="1:16" ht="13.8" thickBot="1">
      <c r="A145" s="1099">
        <v>14</v>
      </c>
      <c r="B145" s="1096" t="s">
        <v>387</v>
      </c>
      <c r="C145" s="1097"/>
      <c r="D145" s="1097"/>
      <c r="E145" s="1097"/>
      <c r="F145" s="1098"/>
      <c r="G145" s="344"/>
      <c r="H145" s="1096" t="str">
        <f>B145</f>
        <v>KOREKSI Extech SD700/A.100611</v>
      </c>
      <c r="I145" s="1097"/>
      <c r="J145" s="1097"/>
      <c r="K145" s="1097"/>
      <c r="L145" s="1098"/>
      <c r="M145" s="344"/>
      <c r="N145" s="1084" t="s">
        <v>94</v>
      </c>
      <c r="O145" s="1085"/>
      <c r="P145" s="343"/>
    </row>
    <row r="146" spans="1:16" ht="13.8" thickBot="1">
      <c r="A146" s="1100"/>
      <c r="B146" s="1086" t="s">
        <v>163</v>
      </c>
      <c r="C146" s="1087"/>
      <c r="D146" s="1088" t="s">
        <v>200</v>
      </c>
      <c r="E146" s="1089"/>
      <c r="F146" s="1094" t="s">
        <v>170</v>
      </c>
      <c r="G146" s="345"/>
      <c r="H146" s="1086" t="s">
        <v>164</v>
      </c>
      <c r="I146" s="1087"/>
      <c r="J146" s="1088" t="s">
        <v>200</v>
      </c>
      <c r="K146" s="1089"/>
      <c r="L146" s="1094" t="s">
        <v>170</v>
      </c>
      <c r="M146" s="345"/>
      <c r="N146" s="361" t="s">
        <v>163</v>
      </c>
      <c r="O146" s="384">
        <v>0.3</v>
      </c>
      <c r="P146" s="343"/>
    </row>
    <row r="147" spans="1:16" ht="15" thickBot="1">
      <c r="A147" s="1100"/>
      <c r="B147" s="1090" t="s">
        <v>201</v>
      </c>
      <c r="C147" s="1091"/>
      <c r="D147" s="363">
        <v>2022</v>
      </c>
      <c r="E147" s="390">
        <v>2017</v>
      </c>
      <c r="F147" s="1095"/>
      <c r="G147" s="345"/>
      <c r="H147" s="1092" t="s">
        <v>73</v>
      </c>
      <c r="I147" s="1093"/>
      <c r="J147" s="364">
        <f>D147</f>
        <v>2022</v>
      </c>
      <c r="K147" s="364">
        <f>E147</f>
        <v>2017</v>
      </c>
      <c r="L147" s="1095"/>
      <c r="M147" s="345"/>
      <c r="N147" s="365" t="s">
        <v>73</v>
      </c>
      <c r="O147" s="383">
        <v>2.7</v>
      </c>
      <c r="P147" s="343"/>
    </row>
    <row r="148" spans="1:16">
      <c r="A148" s="1100"/>
      <c r="B148" s="345"/>
      <c r="C148" s="385">
        <v>15</v>
      </c>
      <c r="D148" s="368">
        <v>0.6</v>
      </c>
      <c r="E148" s="368">
        <v>-0.6</v>
      </c>
      <c r="F148" s="369">
        <f t="shared" ref="F148:F154" si="28">0.5*(MAX(D148:E148)-MIN(D148:E148))</f>
        <v>0.6</v>
      </c>
      <c r="G148" s="345"/>
      <c r="H148" s="358"/>
      <c r="I148" s="385">
        <v>30</v>
      </c>
      <c r="J148" s="368">
        <v>-2</v>
      </c>
      <c r="K148" s="368">
        <v>-0.5</v>
      </c>
      <c r="L148" s="369">
        <f t="shared" ref="L148:L154" si="29">0.5*(MAX(J148:K148)-MIN(J148:K148))</f>
        <v>0.75</v>
      </c>
      <c r="M148" s="345"/>
      <c r="N148" s="345"/>
      <c r="O148" s="352"/>
      <c r="P148" s="343"/>
    </row>
    <row r="149" spans="1:16">
      <c r="A149" s="1100"/>
      <c r="B149" s="345"/>
      <c r="C149" s="386">
        <v>20</v>
      </c>
      <c r="D149" s="350">
        <v>0.3</v>
      </c>
      <c r="E149" s="350">
        <v>-0.5</v>
      </c>
      <c r="F149" s="371">
        <f t="shared" si="28"/>
        <v>0.4</v>
      </c>
      <c r="G149" s="345"/>
      <c r="H149" s="358"/>
      <c r="I149" s="386">
        <v>40</v>
      </c>
      <c r="J149" s="350">
        <v>-1.7</v>
      </c>
      <c r="K149" s="350">
        <v>-0.3</v>
      </c>
      <c r="L149" s="371">
        <f t="shared" si="29"/>
        <v>0.7</v>
      </c>
      <c r="M149" s="345"/>
      <c r="N149" s="345"/>
      <c r="O149" s="352"/>
      <c r="P149" s="343"/>
    </row>
    <row r="150" spans="1:16">
      <c r="A150" s="1100"/>
      <c r="B150" s="345"/>
      <c r="C150" s="386">
        <v>25</v>
      </c>
      <c r="D150" s="350">
        <v>0.2</v>
      </c>
      <c r="E150" s="350">
        <v>-0.4</v>
      </c>
      <c r="F150" s="371">
        <f t="shared" si="28"/>
        <v>0.30000000000000004</v>
      </c>
      <c r="G150" s="345"/>
      <c r="H150" s="358"/>
      <c r="I150" s="386">
        <v>50</v>
      </c>
      <c r="J150" s="350">
        <v>-1.4</v>
      </c>
      <c r="K150" s="350">
        <v>-0.3</v>
      </c>
      <c r="L150" s="371">
        <f t="shared" si="29"/>
        <v>0.54999999999999993</v>
      </c>
      <c r="M150" s="345"/>
      <c r="N150" s="345"/>
      <c r="O150" s="352"/>
      <c r="P150" s="343"/>
    </row>
    <row r="151" spans="1:16">
      <c r="A151" s="1100"/>
      <c r="B151" s="345"/>
      <c r="C151" s="387">
        <v>30</v>
      </c>
      <c r="D151" s="353">
        <v>0.4</v>
      </c>
      <c r="E151" s="353">
        <v>-0.2</v>
      </c>
      <c r="F151" s="371">
        <f t="shared" si="28"/>
        <v>0.30000000000000004</v>
      </c>
      <c r="G151" s="345"/>
      <c r="H151" s="358"/>
      <c r="I151" s="387">
        <v>60</v>
      </c>
      <c r="J151" s="353">
        <v>-1.1000000000000001</v>
      </c>
      <c r="K151" s="353">
        <v>-0.5</v>
      </c>
      <c r="L151" s="371">
        <f t="shared" si="29"/>
        <v>0.30000000000000004</v>
      </c>
      <c r="M151" s="345"/>
      <c r="N151" s="345"/>
      <c r="O151" s="352"/>
      <c r="P151" s="343"/>
    </row>
    <row r="152" spans="1:16">
      <c r="A152" s="1100"/>
      <c r="B152" s="345"/>
      <c r="C152" s="387">
        <v>35</v>
      </c>
      <c r="D152" s="353">
        <v>0.8</v>
      </c>
      <c r="E152" s="353">
        <v>-0.1</v>
      </c>
      <c r="F152" s="371">
        <f t="shared" si="28"/>
        <v>0.45</v>
      </c>
      <c r="G152" s="345"/>
      <c r="H152" s="358"/>
      <c r="I152" s="387">
        <v>70</v>
      </c>
      <c r="J152" s="353">
        <v>-0.7</v>
      </c>
      <c r="K152" s="353">
        <v>-0.8</v>
      </c>
      <c r="L152" s="371">
        <f t="shared" si="29"/>
        <v>5.0000000000000044E-2</v>
      </c>
      <c r="M152" s="345"/>
      <c r="N152" s="345"/>
      <c r="O152" s="352"/>
      <c r="P152" s="343"/>
    </row>
    <row r="153" spans="1:16">
      <c r="A153" s="1100"/>
      <c r="B153" s="345"/>
      <c r="C153" s="387">
        <v>37</v>
      </c>
      <c r="D153" s="353">
        <v>1</v>
      </c>
      <c r="E153" s="353">
        <v>-0.1</v>
      </c>
      <c r="F153" s="371">
        <f t="shared" si="28"/>
        <v>0.55000000000000004</v>
      </c>
      <c r="G153" s="345"/>
      <c r="H153" s="358"/>
      <c r="I153" s="387">
        <v>80</v>
      </c>
      <c r="J153" s="353">
        <v>-0.4</v>
      </c>
      <c r="K153" s="353">
        <v>-1.3</v>
      </c>
      <c r="L153" s="371">
        <f t="shared" si="29"/>
        <v>0.45</v>
      </c>
      <c r="M153" s="345"/>
      <c r="N153" s="345"/>
      <c r="O153" s="352"/>
      <c r="P153" s="343"/>
    </row>
    <row r="154" spans="1:16" ht="13.8" thickBot="1">
      <c r="A154" s="1101"/>
      <c r="B154" s="356"/>
      <c r="C154" s="388">
        <v>40</v>
      </c>
      <c r="D154" s="374">
        <v>1.4</v>
      </c>
      <c r="E154" s="374">
        <v>0</v>
      </c>
      <c r="F154" s="375">
        <f t="shared" si="28"/>
        <v>0.7</v>
      </c>
      <c r="G154" s="356"/>
      <c r="H154" s="376"/>
      <c r="I154" s="388">
        <v>90</v>
      </c>
      <c r="J154" s="374">
        <v>-0.1</v>
      </c>
      <c r="K154" s="374">
        <v>-2</v>
      </c>
      <c r="L154" s="375">
        <f t="shared" si="29"/>
        <v>0.95</v>
      </c>
      <c r="M154" s="356"/>
      <c r="N154" s="356"/>
      <c r="O154" s="395"/>
      <c r="P154" s="343"/>
    </row>
    <row r="155" spans="1:16" ht="13.8" thickBot="1">
      <c r="A155" s="617"/>
      <c r="B155" s="345"/>
      <c r="C155" s="396"/>
      <c r="D155" s="396"/>
      <c r="E155" s="397"/>
      <c r="F155" s="398"/>
      <c r="G155" s="345"/>
      <c r="H155" s="345"/>
      <c r="I155" s="396"/>
      <c r="J155" s="396"/>
      <c r="K155" s="397"/>
      <c r="L155" s="398"/>
      <c r="M155" s="345"/>
      <c r="N155" s="345"/>
      <c r="O155" s="345"/>
      <c r="P155" s="343"/>
    </row>
    <row r="156" spans="1:16" ht="13.8" thickBot="1">
      <c r="A156" s="1099">
        <v>15</v>
      </c>
      <c r="B156" s="1096" t="s">
        <v>388</v>
      </c>
      <c r="C156" s="1097"/>
      <c r="D156" s="1097"/>
      <c r="E156" s="1097"/>
      <c r="F156" s="1098"/>
      <c r="G156" s="344"/>
      <c r="H156" s="1096" t="str">
        <f>B156</f>
        <v>KOREKSI Extech SD700/A.100616</v>
      </c>
      <c r="I156" s="1097"/>
      <c r="J156" s="1097"/>
      <c r="K156" s="1097"/>
      <c r="L156" s="1098"/>
      <c r="M156" s="344"/>
      <c r="N156" s="1084" t="s">
        <v>94</v>
      </c>
      <c r="O156" s="1085"/>
      <c r="P156" s="343"/>
    </row>
    <row r="157" spans="1:16" ht="13.8" thickBot="1">
      <c r="A157" s="1100"/>
      <c r="B157" s="1086" t="s">
        <v>163</v>
      </c>
      <c r="C157" s="1087"/>
      <c r="D157" s="1088" t="s">
        <v>200</v>
      </c>
      <c r="E157" s="1089"/>
      <c r="F157" s="1094" t="s">
        <v>170</v>
      </c>
      <c r="G157" s="345"/>
      <c r="H157" s="1086" t="s">
        <v>164</v>
      </c>
      <c r="I157" s="1087"/>
      <c r="J157" s="1088" t="s">
        <v>200</v>
      </c>
      <c r="K157" s="1089"/>
      <c r="L157" s="1094" t="s">
        <v>170</v>
      </c>
      <c r="M157" s="345"/>
      <c r="N157" s="361" t="s">
        <v>163</v>
      </c>
      <c r="O157" s="384">
        <v>0.4</v>
      </c>
      <c r="P157" s="343"/>
    </row>
    <row r="158" spans="1:16" ht="15" thickBot="1">
      <c r="A158" s="1100"/>
      <c r="B158" s="1090" t="s">
        <v>201</v>
      </c>
      <c r="C158" s="1091"/>
      <c r="D158" s="363">
        <v>2020</v>
      </c>
      <c r="E158" s="390" t="s">
        <v>171</v>
      </c>
      <c r="F158" s="1095"/>
      <c r="G158" s="345"/>
      <c r="H158" s="1092" t="s">
        <v>73</v>
      </c>
      <c r="I158" s="1093"/>
      <c r="J158" s="364">
        <f>D158</f>
        <v>2020</v>
      </c>
      <c r="K158" s="364" t="str">
        <f>E158</f>
        <v>-</v>
      </c>
      <c r="L158" s="1095"/>
      <c r="M158" s="345"/>
      <c r="N158" s="365" t="s">
        <v>73</v>
      </c>
      <c r="O158" s="383">
        <v>2.2000000000000002</v>
      </c>
      <c r="P158" s="343"/>
    </row>
    <row r="159" spans="1:16">
      <c r="A159" s="1100"/>
      <c r="B159" s="345"/>
      <c r="C159" s="385">
        <v>15</v>
      </c>
      <c r="D159" s="368">
        <v>0.1</v>
      </c>
      <c r="E159" s="391" t="s">
        <v>171</v>
      </c>
      <c r="F159" s="369">
        <f t="shared" ref="F159:F165" si="30">0.5*(MAX(D159:E159)-MIN(D159:E159))</f>
        <v>0</v>
      </c>
      <c r="G159" s="345"/>
      <c r="H159" s="358"/>
      <c r="I159" s="385">
        <v>30</v>
      </c>
      <c r="J159" s="368">
        <v>-1.6</v>
      </c>
      <c r="K159" s="391" t="s">
        <v>171</v>
      </c>
      <c r="L159" s="369">
        <f t="shared" ref="L159:L165" si="31">0.5*(MAX(J159:K159)-MIN(J159:K159))</f>
        <v>0</v>
      </c>
      <c r="M159" s="345"/>
      <c r="N159" s="345"/>
      <c r="O159" s="352"/>
      <c r="P159" s="343"/>
    </row>
    <row r="160" spans="1:16">
      <c r="A160" s="1100"/>
      <c r="B160" s="345"/>
      <c r="C160" s="386">
        <v>20</v>
      </c>
      <c r="D160" s="350">
        <v>0.2</v>
      </c>
      <c r="E160" s="392" t="s">
        <v>171</v>
      </c>
      <c r="F160" s="371">
        <f t="shared" si="30"/>
        <v>0</v>
      </c>
      <c r="G160" s="345"/>
      <c r="H160" s="358"/>
      <c r="I160" s="386">
        <v>40</v>
      </c>
      <c r="J160" s="350">
        <v>-1.4</v>
      </c>
      <c r="K160" s="392" t="s">
        <v>171</v>
      </c>
      <c r="L160" s="371">
        <f t="shared" si="31"/>
        <v>0</v>
      </c>
      <c r="M160" s="345"/>
      <c r="N160" s="345"/>
      <c r="O160" s="352"/>
      <c r="P160" s="343"/>
    </row>
    <row r="161" spans="1:16">
      <c r="A161" s="1100"/>
      <c r="B161" s="345"/>
      <c r="C161" s="386">
        <v>25</v>
      </c>
      <c r="D161" s="350">
        <v>0.2</v>
      </c>
      <c r="E161" s="392" t="s">
        <v>171</v>
      </c>
      <c r="F161" s="371">
        <f t="shared" si="30"/>
        <v>0</v>
      </c>
      <c r="G161" s="345"/>
      <c r="H161" s="358"/>
      <c r="I161" s="386">
        <v>50</v>
      </c>
      <c r="J161" s="350">
        <v>-1.4</v>
      </c>
      <c r="K161" s="392" t="s">
        <v>171</v>
      </c>
      <c r="L161" s="371">
        <f t="shared" si="31"/>
        <v>0</v>
      </c>
      <c r="M161" s="345"/>
      <c r="N161" s="345"/>
      <c r="O161" s="352"/>
      <c r="P161" s="343"/>
    </row>
    <row r="162" spans="1:16">
      <c r="A162" s="1100"/>
      <c r="B162" s="345"/>
      <c r="C162" s="387">
        <v>30</v>
      </c>
      <c r="D162" s="353">
        <v>0.2</v>
      </c>
      <c r="E162" s="354" t="s">
        <v>171</v>
      </c>
      <c r="F162" s="371">
        <f t="shared" si="30"/>
        <v>0</v>
      </c>
      <c r="G162" s="345"/>
      <c r="H162" s="358"/>
      <c r="I162" s="387">
        <v>60</v>
      </c>
      <c r="J162" s="353">
        <v>-1.5</v>
      </c>
      <c r="K162" s="354" t="s">
        <v>171</v>
      </c>
      <c r="L162" s="371">
        <f t="shared" si="31"/>
        <v>0</v>
      </c>
      <c r="M162" s="345"/>
      <c r="N162" s="345"/>
      <c r="O162" s="352"/>
      <c r="P162" s="343"/>
    </row>
    <row r="163" spans="1:16">
      <c r="A163" s="1100"/>
      <c r="B163" s="345"/>
      <c r="C163" s="387">
        <v>35</v>
      </c>
      <c r="D163" s="353">
        <v>0.1</v>
      </c>
      <c r="E163" s="354" t="s">
        <v>171</v>
      </c>
      <c r="F163" s="371">
        <f t="shared" si="30"/>
        <v>0</v>
      </c>
      <c r="G163" s="345"/>
      <c r="H163" s="358"/>
      <c r="I163" s="387">
        <v>70</v>
      </c>
      <c r="J163" s="353">
        <v>-1.8</v>
      </c>
      <c r="K163" s="354" t="s">
        <v>171</v>
      </c>
      <c r="L163" s="371">
        <f t="shared" si="31"/>
        <v>0</v>
      </c>
      <c r="M163" s="345"/>
      <c r="N163" s="345"/>
      <c r="O163" s="352"/>
      <c r="P163" s="343"/>
    </row>
    <row r="164" spans="1:16">
      <c r="A164" s="1100"/>
      <c r="B164" s="345"/>
      <c r="C164" s="387">
        <v>37</v>
      </c>
      <c r="D164" s="350">
        <v>9.9999999999999995E-7</v>
      </c>
      <c r="E164" s="354" t="s">
        <v>171</v>
      </c>
      <c r="F164" s="371">
        <f t="shared" si="30"/>
        <v>0</v>
      </c>
      <c r="G164" s="345"/>
      <c r="H164" s="358"/>
      <c r="I164" s="387">
        <v>80</v>
      </c>
      <c r="J164" s="353">
        <v>-2.2999999999999998</v>
      </c>
      <c r="K164" s="354" t="s">
        <v>171</v>
      </c>
      <c r="L164" s="371">
        <f t="shared" si="31"/>
        <v>0</v>
      </c>
      <c r="M164" s="345"/>
      <c r="N164" s="345"/>
      <c r="O164" s="352"/>
      <c r="P164" s="343"/>
    </row>
    <row r="165" spans="1:16" ht="13.8" thickBot="1">
      <c r="A165" s="1101"/>
      <c r="B165" s="356"/>
      <c r="C165" s="388">
        <v>40</v>
      </c>
      <c r="D165" s="350">
        <v>9.9999999999999995E-7</v>
      </c>
      <c r="E165" s="377" t="s">
        <v>171</v>
      </c>
      <c r="F165" s="375">
        <f t="shared" si="30"/>
        <v>0</v>
      </c>
      <c r="G165" s="356"/>
      <c r="H165" s="376"/>
      <c r="I165" s="388">
        <v>90</v>
      </c>
      <c r="J165" s="374">
        <v>-3</v>
      </c>
      <c r="K165" s="377" t="s">
        <v>171</v>
      </c>
      <c r="L165" s="375">
        <f t="shared" si="31"/>
        <v>0</v>
      </c>
      <c r="M165" s="356"/>
      <c r="N165" s="356"/>
      <c r="O165" s="395"/>
      <c r="P165" s="343"/>
    </row>
    <row r="166" spans="1:16" ht="13.8" thickBot="1">
      <c r="A166" s="617"/>
      <c r="B166" s="345"/>
      <c r="C166" s="396"/>
      <c r="D166" s="396"/>
      <c r="E166" s="397"/>
      <c r="F166" s="398"/>
      <c r="G166" s="345"/>
      <c r="H166" s="345"/>
      <c r="I166" s="396"/>
      <c r="J166" s="396"/>
      <c r="K166" s="397"/>
      <c r="L166" s="398"/>
      <c r="M166" s="345"/>
      <c r="N166" s="345"/>
      <c r="O166" s="345"/>
      <c r="P166" s="343"/>
    </row>
    <row r="167" spans="1:16" ht="13.8" thickBot="1">
      <c r="A167" s="1099">
        <v>16</v>
      </c>
      <c r="B167" s="1096" t="s">
        <v>389</v>
      </c>
      <c r="C167" s="1097"/>
      <c r="D167" s="1097"/>
      <c r="E167" s="1097"/>
      <c r="F167" s="1098"/>
      <c r="G167" s="344"/>
      <c r="H167" s="1096" t="str">
        <f>B167</f>
        <v>KOREKSI Extech SD700/A.100617</v>
      </c>
      <c r="I167" s="1097"/>
      <c r="J167" s="1097"/>
      <c r="K167" s="1097"/>
      <c r="L167" s="1098"/>
      <c r="M167" s="344"/>
      <c r="N167" s="1084" t="s">
        <v>94</v>
      </c>
      <c r="O167" s="1085"/>
      <c r="P167" s="343"/>
    </row>
    <row r="168" spans="1:16" ht="13.8" thickBot="1">
      <c r="A168" s="1100"/>
      <c r="B168" s="1086" t="s">
        <v>163</v>
      </c>
      <c r="C168" s="1087"/>
      <c r="D168" s="1088" t="s">
        <v>200</v>
      </c>
      <c r="E168" s="1089"/>
      <c r="F168" s="1094" t="s">
        <v>170</v>
      </c>
      <c r="G168" s="345"/>
      <c r="H168" s="1086" t="s">
        <v>164</v>
      </c>
      <c r="I168" s="1087"/>
      <c r="J168" s="1088" t="s">
        <v>200</v>
      </c>
      <c r="K168" s="1089"/>
      <c r="L168" s="1094" t="s">
        <v>170</v>
      </c>
      <c r="M168" s="345"/>
      <c r="N168" s="361" t="s">
        <v>163</v>
      </c>
      <c r="O168" s="384">
        <v>0.3</v>
      </c>
      <c r="P168" s="343"/>
    </row>
    <row r="169" spans="1:16" ht="15" thickBot="1">
      <c r="A169" s="1100"/>
      <c r="B169" s="1090" t="s">
        <v>201</v>
      </c>
      <c r="C169" s="1091"/>
      <c r="D169" s="363">
        <v>2020</v>
      </c>
      <c r="E169" s="390" t="s">
        <v>171</v>
      </c>
      <c r="F169" s="1095"/>
      <c r="G169" s="345"/>
      <c r="H169" s="1092" t="s">
        <v>73</v>
      </c>
      <c r="I169" s="1093"/>
      <c r="J169" s="364">
        <f>D169</f>
        <v>2020</v>
      </c>
      <c r="K169" s="364" t="str">
        <f>E169</f>
        <v>-</v>
      </c>
      <c r="L169" s="1095"/>
      <c r="M169" s="345"/>
      <c r="N169" s="365" t="s">
        <v>73</v>
      </c>
      <c r="O169" s="383">
        <v>2.8</v>
      </c>
      <c r="P169" s="343"/>
    </row>
    <row r="170" spans="1:16">
      <c r="A170" s="1100"/>
      <c r="B170" s="345"/>
      <c r="C170" s="385">
        <v>15</v>
      </c>
      <c r="D170" s="368">
        <v>0.1</v>
      </c>
      <c r="E170" s="391" t="s">
        <v>171</v>
      </c>
      <c r="F170" s="369">
        <f t="shared" ref="F170:F176" si="32">0.5*(MAX(D170:E170)-MIN(D170:E170))</f>
        <v>0</v>
      </c>
      <c r="G170" s="345"/>
      <c r="H170" s="358"/>
      <c r="I170" s="385">
        <v>30</v>
      </c>
      <c r="J170" s="368">
        <v>0.1</v>
      </c>
      <c r="K170" s="391" t="s">
        <v>171</v>
      </c>
      <c r="L170" s="369">
        <f t="shared" ref="L170:L176" si="33">0.5*(MAX(J170:K170)-MIN(J170:K170))</f>
        <v>0</v>
      </c>
      <c r="M170" s="345"/>
      <c r="N170" s="345"/>
      <c r="O170" s="352"/>
      <c r="P170" s="343"/>
    </row>
    <row r="171" spans="1:16">
      <c r="A171" s="1100"/>
      <c r="B171" s="345"/>
      <c r="C171" s="386">
        <v>20</v>
      </c>
      <c r="D171" s="350">
        <v>0.1</v>
      </c>
      <c r="E171" s="392" t="s">
        <v>171</v>
      </c>
      <c r="F171" s="371">
        <f t="shared" si="32"/>
        <v>0</v>
      </c>
      <c r="G171" s="345"/>
      <c r="H171" s="358"/>
      <c r="I171" s="386">
        <v>40</v>
      </c>
      <c r="J171" s="350">
        <v>0.2</v>
      </c>
      <c r="K171" s="392" t="s">
        <v>171</v>
      </c>
      <c r="L171" s="371">
        <f t="shared" si="33"/>
        <v>0</v>
      </c>
      <c r="M171" s="345"/>
      <c r="N171" s="345"/>
      <c r="O171" s="352"/>
      <c r="P171" s="343"/>
    </row>
    <row r="172" spans="1:16">
      <c r="A172" s="1100"/>
      <c r="B172" s="345"/>
      <c r="C172" s="386">
        <v>25</v>
      </c>
      <c r="D172" s="350">
        <v>9.9999999999999995E-7</v>
      </c>
      <c r="E172" s="392" t="s">
        <v>171</v>
      </c>
      <c r="F172" s="371">
        <f t="shared" si="32"/>
        <v>0</v>
      </c>
      <c r="G172" s="345"/>
      <c r="H172" s="358"/>
      <c r="I172" s="386">
        <v>50</v>
      </c>
      <c r="J172" s="350">
        <v>0.2</v>
      </c>
      <c r="K172" s="392" t="s">
        <v>171</v>
      </c>
      <c r="L172" s="371">
        <f t="shared" si="33"/>
        <v>0</v>
      </c>
      <c r="M172" s="345"/>
      <c r="N172" s="345"/>
      <c r="O172" s="352"/>
      <c r="P172" s="343"/>
    </row>
    <row r="173" spans="1:16">
      <c r="A173" s="1100"/>
      <c r="B173" s="345"/>
      <c r="C173" s="387">
        <v>30</v>
      </c>
      <c r="D173" s="353">
        <v>-0.2</v>
      </c>
      <c r="E173" s="354" t="s">
        <v>171</v>
      </c>
      <c r="F173" s="371">
        <f t="shared" si="32"/>
        <v>0</v>
      </c>
      <c r="G173" s="345"/>
      <c r="H173" s="358"/>
      <c r="I173" s="387">
        <v>60</v>
      </c>
      <c r="J173" s="350">
        <v>9.9999999999999995E-7</v>
      </c>
      <c r="K173" s="354" t="s">
        <v>171</v>
      </c>
      <c r="L173" s="371">
        <f t="shared" si="33"/>
        <v>0</v>
      </c>
      <c r="M173" s="345"/>
      <c r="N173" s="345"/>
      <c r="O173" s="352"/>
      <c r="P173" s="343"/>
    </row>
    <row r="174" spans="1:16">
      <c r="A174" s="1100"/>
      <c r="B174" s="345"/>
      <c r="C174" s="387">
        <v>35</v>
      </c>
      <c r="D174" s="353">
        <v>-0.5</v>
      </c>
      <c r="E174" s="354" t="s">
        <v>171</v>
      </c>
      <c r="F174" s="371">
        <f t="shared" si="32"/>
        <v>0</v>
      </c>
      <c r="G174" s="345"/>
      <c r="H174" s="358"/>
      <c r="I174" s="387">
        <v>70</v>
      </c>
      <c r="J174" s="353">
        <v>-0.3</v>
      </c>
      <c r="K174" s="354" t="s">
        <v>171</v>
      </c>
      <c r="L174" s="371">
        <f t="shared" si="33"/>
        <v>0</v>
      </c>
      <c r="M174" s="345"/>
      <c r="N174" s="345"/>
      <c r="O174" s="352"/>
      <c r="P174" s="343"/>
    </row>
    <row r="175" spans="1:16">
      <c r="A175" s="1100"/>
      <c r="B175" s="345"/>
      <c r="C175" s="387">
        <v>37</v>
      </c>
      <c r="D175" s="353">
        <v>-0.6</v>
      </c>
      <c r="E175" s="354" t="s">
        <v>171</v>
      </c>
      <c r="F175" s="371">
        <f t="shared" si="32"/>
        <v>0</v>
      </c>
      <c r="G175" s="345"/>
      <c r="H175" s="358"/>
      <c r="I175" s="387">
        <v>80</v>
      </c>
      <c r="J175" s="353">
        <v>-0.8</v>
      </c>
      <c r="K175" s="354" t="s">
        <v>171</v>
      </c>
      <c r="L175" s="371">
        <f t="shared" si="33"/>
        <v>0</v>
      </c>
      <c r="M175" s="345"/>
      <c r="N175" s="345"/>
      <c r="O175" s="352"/>
      <c r="P175" s="343"/>
    </row>
    <row r="176" spans="1:16" ht="13.8" thickBot="1">
      <c r="A176" s="1101"/>
      <c r="B176" s="356"/>
      <c r="C176" s="388">
        <v>40</v>
      </c>
      <c r="D176" s="374">
        <v>-0.8</v>
      </c>
      <c r="E176" s="377" t="s">
        <v>171</v>
      </c>
      <c r="F176" s="375">
        <f t="shared" si="32"/>
        <v>0</v>
      </c>
      <c r="G176" s="356"/>
      <c r="H176" s="376"/>
      <c r="I176" s="388">
        <v>90</v>
      </c>
      <c r="J176" s="374">
        <v>-1.4</v>
      </c>
      <c r="K176" s="377" t="s">
        <v>171</v>
      </c>
      <c r="L176" s="375">
        <f t="shared" si="33"/>
        <v>0</v>
      </c>
      <c r="M176" s="356"/>
      <c r="N176" s="356"/>
      <c r="O176" s="395"/>
      <c r="P176" s="343"/>
    </row>
    <row r="177" spans="1:16" ht="13.8" thickBot="1">
      <c r="A177" s="1099">
        <v>17</v>
      </c>
      <c r="B177" s="1096" t="s">
        <v>390</v>
      </c>
      <c r="C177" s="1097"/>
      <c r="D177" s="1097"/>
      <c r="E177" s="1097"/>
      <c r="F177" s="1098"/>
      <c r="G177" s="344"/>
      <c r="H177" s="1096">
        <v>13</v>
      </c>
      <c r="I177" s="1097"/>
      <c r="J177" s="1097"/>
      <c r="K177" s="1097"/>
      <c r="L177" s="1098"/>
      <c r="M177" s="344"/>
      <c r="N177" s="1084" t="s">
        <v>94</v>
      </c>
      <c r="O177" s="1085"/>
      <c r="P177" s="343"/>
    </row>
    <row r="178" spans="1:16" ht="13.8" thickBot="1">
      <c r="A178" s="1100"/>
      <c r="B178" s="1086" t="s">
        <v>163</v>
      </c>
      <c r="C178" s="1087"/>
      <c r="D178" s="1088" t="s">
        <v>200</v>
      </c>
      <c r="E178" s="1089"/>
      <c r="F178" s="1094" t="s">
        <v>170</v>
      </c>
      <c r="G178" s="345"/>
      <c r="H178" s="1086" t="s">
        <v>164</v>
      </c>
      <c r="I178" s="1087"/>
      <c r="J178" s="1088" t="s">
        <v>200</v>
      </c>
      <c r="K178" s="1089"/>
      <c r="L178" s="1094" t="s">
        <v>170</v>
      </c>
      <c r="M178" s="345"/>
      <c r="N178" s="361" t="s">
        <v>163</v>
      </c>
      <c r="O178" s="384">
        <v>0.3</v>
      </c>
      <c r="P178" s="343"/>
    </row>
    <row r="179" spans="1:16" ht="15" thickBot="1">
      <c r="A179" s="1100"/>
      <c r="B179" s="1090" t="s">
        <v>201</v>
      </c>
      <c r="C179" s="1091"/>
      <c r="D179" s="363">
        <v>2020</v>
      </c>
      <c r="E179" s="390" t="s">
        <v>171</v>
      </c>
      <c r="F179" s="1095"/>
      <c r="G179" s="345"/>
      <c r="H179" s="1092" t="s">
        <v>73</v>
      </c>
      <c r="I179" s="1093"/>
      <c r="J179" s="364">
        <f>D179</f>
        <v>2020</v>
      </c>
      <c r="K179" s="364" t="str">
        <f>E179</f>
        <v>-</v>
      </c>
      <c r="L179" s="1095"/>
      <c r="M179" s="345"/>
      <c r="N179" s="365" t="s">
        <v>73</v>
      </c>
      <c r="O179" s="383">
        <v>1.6</v>
      </c>
      <c r="P179" s="343"/>
    </row>
    <row r="180" spans="1:16">
      <c r="A180" s="1100"/>
      <c r="B180" s="345"/>
      <c r="C180" s="385">
        <v>15</v>
      </c>
      <c r="D180" s="350">
        <v>9.9999999999999995E-7</v>
      </c>
      <c r="E180" s="391" t="s">
        <v>171</v>
      </c>
      <c r="F180" s="369">
        <f t="shared" ref="F180:F186" si="34">0.5*(MAX(D180:E180)-MIN(D180:E180))</f>
        <v>0</v>
      </c>
      <c r="G180" s="345"/>
      <c r="H180" s="358"/>
      <c r="I180" s="385">
        <v>30</v>
      </c>
      <c r="J180" s="368">
        <v>-0.4</v>
      </c>
      <c r="K180" s="391" t="s">
        <v>171</v>
      </c>
      <c r="L180" s="369">
        <f t="shared" ref="L180:L186" si="35">0.5*(MAX(J180:K180)-MIN(J180:K180))</f>
        <v>0</v>
      </c>
      <c r="M180" s="345"/>
      <c r="N180" s="345"/>
      <c r="O180" s="352"/>
      <c r="P180" s="343"/>
    </row>
    <row r="181" spans="1:16">
      <c r="A181" s="1100"/>
      <c r="B181" s="345"/>
      <c r="C181" s="386">
        <v>20</v>
      </c>
      <c r="D181" s="350">
        <v>-0.1</v>
      </c>
      <c r="E181" s="392" t="s">
        <v>171</v>
      </c>
      <c r="F181" s="371">
        <f t="shared" si="34"/>
        <v>0</v>
      </c>
      <c r="G181" s="345"/>
      <c r="H181" s="358"/>
      <c r="I181" s="386">
        <v>40</v>
      </c>
      <c r="J181" s="350">
        <v>-0.2</v>
      </c>
      <c r="K181" s="392" t="s">
        <v>171</v>
      </c>
      <c r="L181" s="371">
        <f t="shared" si="35"/>
        <v>0</v>
      </c>
      <c r="M181" s="345"/>
      <c r="N181" s="345"/>
      <c r="O181" s="352"/>
      <c r="P181" s="343"/>
    </row>
    <row r="182" spans="1:16">
      <c r="A182" s="1100"/>
      <c r="B182" s="345"/>
      <c r="C182" s="386">
        <v>25</v>
      </c>
      <c r="D182" s="350">
        <v>-0.2</v>
      </c>
      <c r="E182" s="392" t="s">
        <v>171</v>
      </c>
      <c r="F182" s="371">
        <f t="shared" si="34"/>
        <v>0</v>
      </c>
      <c r="G182" s="345"/>
      <c r="H182" s="358"/>
      <c r="I182" s="386">
        <v>50</v>
      </c>
      <c r="J182" s="350">
        <v>-0.2</v>
      </c>
      <c r="K182" s="392" t="s">
        <v>171</v>
      </c>
      <c r="L182" s="371">
        <f t="shared" si="35"/>
        <v>0</v>
      </c>
      <c r="M182" s="345"/>
      <c r="N182" s="345"/>
      <c r="O182" s="352"/>
      <c r="P182" s="343"/>
    </row>
    <row r="183" spans="1:16">
      <c r="A183" s="1100"/>
      <c r="B183" s="345"/>
      <c r="C183" s="387">
        <v>30</v>
      </c>
      <c r="D183" s="353">
        <v>-0.2</v>
      </c>
      <c r="E183" s="354" t="s">
        <v>171</v>
      </c>
      <c r="F183" s="371">
        <f t="shared" si="34"/>
        <v>0</v>
      </c>
      <c r="G183" s="345"/>
      <c r="H183" s="358"/>
      <c r="I183" s="387">
        <v>60</v>
      </c>
      <c r="J183" s="353">
        <v>-0.2</v>
      </c>
      <c r="K183" s="354" t="s">
        <v>171</v>
      </c>
      <c r="L183" s="371">
        <f t="shared" si="35"/>
        <v>0</v>
      </c>
      <c r="M183" s="345"/>
      <c r="N183" s="345"/>
      <c r="O183" s="352"/>
      <c r="P183" s="343"/>
    </row>
    <row r="184" spans="1:16">
      <c r="A184" s="1100"/>
      <c r="B184" s="345"/>
      <c r="C184" s="387">
        <v>35</v>
      </c>
      <c r="D184" s="353">
        <v>-0.3</v>
      </c>
      <c r="E184" s="354" t="s">
        <v>171</v>
      </c>
      <c r="F184" s="371">
        <f t="shared" si="34"/>
        <v>0</v>
      </c>
      <c r="G184" s="345"/>
      <c r="H184" s="358"/>
      <c r="I184" s="387">
        <v>70</v>
      </c>
      <c r="J184" s="353">
        <v>-0.3</v>
      </c>
      <c r="K184" s="354" t="s">
        <v>171</v>
      </c>
      <c r="L184" s="371">
        <f t="shared" si="35"/>
        <v>0</v>
      </c>
      <c r="M184" s="345"/>
      <c r="N184" s="345"/>
      <c r="O184" s="352"/>
      <c r="P184" s="343"/>
    </row>
    <row r="185" spans="1:16">
      <c r="A185" s="1100"/>
      <c r="B185" s="345"/>
      <c r="C185" s="387">
        <v>37</v>
      </c>
      <c r="D185" s="353">
        <v>-0.3</v>
      </c>
      <c r="E185" s="354" t="s">
        <v>171</v>
      </c>
      <c r="F185" s="371">
        <f t="shared" si="34"/>
        <v>0</v>
      </c>
      <c r="G185" s="345"/>
      <c r="H185" s="358"/>
      <c r="I185" s="387">
        <v>80</v>
      </c>
      <c r="J185" s="353">
        <v>-0.5</v>
      </c>
      <c r="K185" s="354" t="s">
        <v>171</v>
      </c>
      <c r="L185" s="371">
        <f t="shared" si="35"/>
        <v>0</v>
      </c>
      <c r="M185" s="345"/>
      <c r="N185" s="345"/>
      <c r="O185" s="352"/>
      <c r="P185" s="343"/>
    </row>
    <row r="186" spans="1:16" ht="13.8" thickBot="1">
      <c r="A186" s="1101"/>
      <c r="B186" s="356"/>
      <c r="C186" s="388">
        <v>40</v>
      </c>
      <c r="D186" s="374">
        <v>-0.4</v>
      </c>
      <c r="E186" s="377" t="s">
        <v>171</v>
      </c>
      <c r="F186" s="375">
        <f t="shared" si="34"/>
        <v>0</v>
      </c>
      <c r="G186" s="356"/>
      <c r="H186" s="376"/>
      <c r="I186" s="388">
        <v>90</v>
      </c>
      <c r="J186" s="374">
        <v>-0.8</v>
      </c>
      <c r="K186" s="377" t="s">
        <v>171</v>
      </c>
      <c r="L186" s="375">
        <f t="shared" si="35"/>
        <v>0</v>
      </c>
      <c r="M186" s="356"/>
      <c r="N186" s="356"/>
      <c r="O186" s="395"/>
      <c r="P186" s="343"/>
    </row>
    <row r="187" spans="1:16" ht="13.8" thickBot="1">
      <c r="A187" s="1099">
        <v>18</v>
      </c>
      <c r="B187" s="1096" t="s">
        <v>391</v>
      </c>
      <c r="C187" s="1097"/>
      <c r="D187" s="1097"/>
      <c r="E187" s="1097"/>
      <c r="F187" s="1098"/>
      <c r="G187" s="344"/>
      <c r="H187" s="1096" t="str">
        <f>B187</f>
        <v>KOREKSI Extech SD700/A.100586</v>
      </c>
      <c r="I187" s="1097"/>
      <c r="J187" s="1097"/>
      <c r="K187" s="1097"/>
      <c r="L187" s="1098"/>
      <c r="M187" s="344"/>
      <c r="N187" s="1084" t="s">
        <v>94</v>
      </c>
      <c r="O187" s="1085"/>
      <c r="P187" s="343"/>
    </row>
    <row r="188" spans="1:16" ht="13.8" thickBot="1">
      <c r="A188" s="1100"/>
      <c r="B188" s="1086" t="s">
        <v>163</v>
      </c>
      <c r="C188" s="1087"/>
      <c r="D188" s="1088" t="s">
        <v>200</v>
      </c>
      <c r="E188" s="1089"/>
      <c r="F188" s="1094" t="s">
        <v>170</v>
      </c>
      <c r="G188" s="345"/>
      <c r="H188" s="1086" t="s">
        <v>164</v>
      </c>
      <c r="I188" s="1087"/>
      <c r="J188" s="1088" t="s">
        <v>200</v>
      </c>
      <c r="K188" s="1089"/>
      <c r="L188" s="1094" t="s">
        <v>170</v>
      </c>
      <c r="M188" s="345"/>
      <c r="N188" s="361" t="s">
        <v>163</v>
      </c>
      <c r="O188" s="384">
        <v>0.3</v>
      </c>
      <c r="P188" s="343"/>
    </row>
    <row r="189" spans="1:16" ht="15" thickBot="1">
      <c r="A189" s="1100"/>
      <c r="B189" s="1090" t="s">
        <v>201</v>
      </c>
      <c r="C189" s="1091"/>
      <c r="D189" s="363">
        <v>2020</v>
      </c>
      <c r="E189" s="390" t="s">
        <v>171</v>
      </c>
      <c r="F189" s="1095"/>
      <c r="G189" s="345"/>
      <c r="H189" s="1092" t="s">
        <v>73</v>
      </c>
      <c r="I189" s="1093"/>
      <c r="J189" s="364">
        <f>D189</f>
        <v>2020</v>
      </c>
      <c r="K189" s="364" t="str">
        <f>E189</f>
        <v>-</v>
      </c>
      <c r="L189" s="1095"/>
      <c r="M189" s="345"/>
      <c r="N189" s="365" t="s">
        <v>73</v>
      </c>
      <c r="O189" s="383">
        <v>2</v>
      </c>
      <c r="P189" s="343"/>
    </row>
    <row r="190" spans="1:16">
      <c r="A190" s="1100"/>
      <c r="B190" s="345"/>
      <c r="C190" s="385">
        <v>15</v>
      </c>
      <c r="D190" s="350">
        <v>9.9999999999999995E-7</v>
      </c>
      <c r="E190" s="391" t="s">
        <v>171</v>
      </c>
      <c r="F190" s="369">
        <f t="shared" ref="F190:F196" si="36">0.5*(MAX(D190:E190)-MIN(D190:E190))</f>
        <v>0</v>
      </c>
      <c r="G190" s="345"/>
      <c r="H190" s="358"/>
      <c r="I190" s="385">
        <v>30</v>
      </c>
      <c r="J190" s="368">
        <v>-0.4</v>
      </c>
      <c r="K190" s="391" t="s">
        <v>171</v>
      </c>
      <c r="L190" s="369">
        <f t="shared" ref="L190:L196" si="37">0.5*(MAX(J190:K190)-MIN(J190:K190))</f>
        <v>0</v>
      </c>
      <c r="M190" s="345"/>
      <c r="N190" s="345"/>
      <c r="O190" s="352"/>
      <c r="P190" s="343"/>
    </row>
    <row r="191" spans="1:16">
      <c r="A191" s="1100"/>
      <c r="B191" s="345"/>
      <c r="C191" s="386">
        <v>20</v>
      </c>
      <c r="D191" s="350">
        <v>9.9999999999999995E-7</v>
      </c>
      <c r="E191" s="392" t="s">
        <v>171</v>
      </c>
      <c r="F191" s="371">
        <f t="shared" si="36"/>
        <v>0</v>
      </c>
      <c r="G191" s="345"/>
      <c r="H191" s="358"/>
      <c r="I191" s="386">
        <v>40</v>
      </c>
      <c r="J191" s="350">
        <v>-0.1</v>
      </c>
      <c r="K191" s="392" t="s">
        <v>171</v>
      </c>
      <c r="L191" s="371">
        <f t="shared" si="37"/>
        <v>0</v>
      </c>
      <c r="M191" s="345"/>
      <c r="N191" s="345"/>
      <c r="O191" s="352"/>
      <c r="P191" s="343"/>
    </row>
    <row r="192" spans="1:16">
      <c r="A192" s="1100"/>
      <c r="B192" s="345"/>
      <c r="C192" s="386">
        <v>25</v>
      </c>
      <c r="D192" s="350">
        <v>9.9999999999999995E-7</v>
      </c>
      <c r="E192" s="392" t="s">
        <v>171</v>
      </c>
      <c r="F192" s="371">
        <f t="shared" si="36"/>
        <v>0</v>
      </c>
      <c r="G192" s="345"/>
      <c r="H192" s="358"/>
      <c r="I192" s="386">
        <v>50</v>
      </c>
      <c r="J192" s="350">
        <v>9.9999999999999995E-7</v>
      </c>
      <c r="K192" s="392" t="s">
        <v>171</v>
      </c>
      <c r="L192" s="371">
        <f t="shared" si="37"/>
        <v>0</v>
      </c>
      <c r="M192" s="345"/>
      <c r="N192" s="345"/>
      <c r="O192" s="352"/>
      <c r="P192" s="343"/>
    </row>
    <row r="193" spans="1:16">
      <c r="A193" s="1100"/>
      <c r="B193" s="345"/>
      <c r="C193" s="387">
        <v>30</v>
      </c>
      <c r="D193" s="353">
        <v>-0.1</v>
      </c>
      <c r="E193" s="354" t="s">
        <v>171</v>
      </c>
      <c r="F193" s="371">
        <f t="shared" si="36"/>
        <v>0</v>
      </c>
      <c r="G193" s="345"/>
      <c r="H193" s="358"/>
      <c r="I193" s="387">
        <v>60</v>
      </c>
      <c r="J193" s="350">
        <v>9.9999999999999995E-7</v>
      </c>
      <c r="K193" s="354" t="s">
        <v>171</v>
      </c>
      <c r="L193" s="371">
        <f t="shared" si="37"/>
        <v>0</v>
      </c>
      <c r="M193" s="345"/>
      <c r="N193" s="345"/>
      <c r="O193" s="352"/>
      <c r="P193" s="343"/>
    </row>
    <row r="194" spans="1:16">
      <c r="A194" s="1100"/>
      <c r="B194" s="345"/>
      <c r="C194" s="387">
        <v>35</v>
      </c>
      <c r="D194" s="353">
        <v>-0.2</v>
      </c>
      <c r="E194" s="354" t="s">
        <v>171</v>
      </c>
      <c r="F194" s="371">
        <f t="shared" si="36"/>
        <v>0</v>
      </c>
      <c r="G194" s="345"/>
      <c r="H194" s="358"/>
      <c r="I194" s="387">
        <v>70</v>
      </c>
      <c r="J194" s="353">
        <v>-0.1</v>
      </c>
      <c r="K194" s="354" t="s">
        <v>171</v>
      </c>
      <c r="L194" s="371">
        <f t="shared" si="37"/>
        <v>0</v>
      </c>
      <c r="M194" s="345"/>
      <c r="N194" s="345"/>
      <c r="O194" s="352"/>
      <c r="P194" s="343"/>
    </row>
    <row r="195" spans="1:16">
      <c r="A195" s="1100"/>
      <c r="B195" s="345"/>
      <c r="C195" s="387">
        <v>37</v>
      </c>
      <c r="D195" s="353">
        <v>-0.3</v>
      </c>
      <c r="E195" s="354" t="s">
        <v>171</v>
      </c>
      <c r="F195" s="371">
        <f t="shared" si="36"/>
        <v>0</v>
      </c>
      <c r="G195" s="345"/>
      <c r="H195" s="358"/>
      <c r="I195" s="387">
        <v>80</v>
      </c>
      <c r="J195" s="353">
        <v>-0.5</v>
      </c>
      <c r="K195" s="354" t="s">
        <v>171</v>
      </c>
      <c r="L195" s="371">
        <f t="shared" si="37"/>
        <v>0</v>
      </c>
      <c r="M195" s="345"/>
      <c r="N195" s="345"/>
      <c r="O195" s="352"/>
      <c r="P195" s="343"/>
    </row>
    <row r="196" spans="1:16" ht="13.8" thickBot="1">
      <c r="A196" s="1101"/>
      <c r="B196" s="356"/>
      <c r="C196" s="388">
        <v>40</v>
      </c>
      <c r="D196" s="374">
        <v>-0.4</v>
      </c>
      <c r="E196" s="377" t="s">
        <v>171</v>
      </c>
      <c r="F196" s="375">
        <f t="shared" si="36"/>
        <v>0</v>
      </c>
      <c r="G196" s="356"/>
      <c r="H196" s="376"/>
      <c r="I196" s="388">
        <v>90</v>
      </c>
      <c r="J196" s="374">
        <v>-0.9</v>
      </c>
      <c r="K196" s="377" t="s">
        <v>171</v>
      </c>
      <c r="L196" s="375">
        <f t="shared" si="37"/>
        <v>0</v>
      </c>
      <c r="M196" s="356"/>
      <c r="N196" s="356"/>
      <c r="O196" s="395"/>
      <c r="P196" s="343"/>
    </row>
    <row r="197" spans="1:16" ht="13.8" thickBot="1">
      <c r="A197" s="343"/>
      <c r="B197" s="343"/>
      <c r="C197" s="343"/>
      <c r="D197" s="343"/>
      <c r="E197" s="343"/>
      <c r="F197" s="343"/>
      <c r="G197" s="343"/>
      <c r="H197" s="343"/>
      <c r="I197" s="343"/>
      <c r="J197" s="343"/>
      <c r="K197" s="343"/>
      <c r="L197" s="343"/>
      <c r="M197" s="343"/>
      <c r="N197" s="343"/>
      <c r="O197" s="343"/>
      <c r="P197" s="343"/>
    </row>
    <row r="198" spans="1:16">
      <c r="A198" s="1105" t="s">
        <v>24</v>
      </c>
      <c r="B198" s="1107" t="s">
        <v>212</v>
      </c>
      <c r="C198" s="1109" t="s">
        <v>213</v>
      </c>
      <c r="D198" s="1109"/>
      <c r="E198" s="1109"/>
      <c r="F198" s="1109"/>
      <c r="G198" s="25"/>
      <c r="H198" s="1110" t="s">
        <v>24</v>
      </c>
      <c r="I198" s="1107" t="s">
        <v>212</v>
      </c>
      <c r="J198" s="1109" t="s">
        <v>213</v>
      </c>
      <c r="K198" s="1109"/>
      <c r="L198" s="1109"/>
      <c r="M198" s="1109"/>
      <c r="N198" s="27"/>
      <c r="O198" s="1112" t="s">
        <v>94</v>
      </c>
      <c r="P198" s="1113"/>
    </row>
    <row r="199" spans="1:16" ht="13.8">
      <c r="A199" s="1106"/>
      <c r="B199" s="1108"/>
      <c r="C199" s="399" t="s">
        <v>163</v>
      </c>
      <c r="D199" s="1114" t="s">
        <v>200</v>
      </c>
      <c r="E199" s="1114"/>
      <c r="F199" s="1114" t="s">
        <v>170</v>
      </c>
      <c r="G199" s="343"/>
      <c r="H199" s="1111"/>
      <c r="I199" s="1108"/>
      <c r="J199" s="399" t="s">
        <v>164</v>
      </c>
      <c r="K199" s="1114" t="s">
        <v>200</v>
      </c>
      <c r="L199" s="1114"/>
      <c r="M199" s="1114" t="s">
        <v>170</v>
      </c>
      <c r="N199" s="343"/>
      <c r="O199" s="1115" t="s">
        <v>163</v>
      </c>
      <c r="P199" s="1116"/>
    </row>
    <row r="200" spans="1:16" ht="14.4">
      <c r="A200" s="1106"/>
      <c r="B200" s="1108"/>
      <c r="C200" s="26" t="s">
        <v>214</v>
      </c>
      <c r="D200" s="399"/>
      <c r="E200" s="399"/>
      <c r="F200" s="1114"/>
      <c r="G200" s="343"/>
      <c r="H200" s="1111"/>
      <c r="I200" s="1108"/>
      <c r="J200" s="26" t="s">
        <v>73</v>
      </c>
      <c r="K200" s="399"/>
      <c r="L200" s="399"/>
      <c r="M200" s="1114"/>
      <c r="N200" s="343"/>
      <c r="O200" s="400">
        <v>1</v>
      </c>
      <c r="P200" s="401">
        <f>O3</f>
        <v>0.6</v>
      </c>
    </row>
    <row r="201" spans="1:16">
      <c r="A201" s="1117" t="s">
        <v>215</v>
      </c>
      <c r="B201" s="402">
        <v>1</v>
      </c>
      <c r="C201" s="403">
        <f>C5</f>
        <v>15</v>
      </c>
      <c r="D201" s="403">
        <f t="shared" ref="D201:F201" si="38">D5</f>
        <v>-0.5</v>
      </c>
      <c r="E201" s="403">
        <f t="shared" si="38"/>
        <v>0.3</v>
      </c>
      <c r="F201" s="403">
        <f t="shared" si="38"/>
        <v>0.4</v>
      </c>
      <c r="G201" s="343"/>
      <c r="H201" s="1118" t="s">
        <v>215</v>
      </c>
      <c r="I201" s="402">
        <v>1</v>
      </c>
      <c r="J201" s="403">
        <f>I5</f>
        <v>35</v>
      </c>
      <c r="K201" s="403">
        <f t="shared" ref="K201:M201" si="39">J5</f>
        <v>-6</v>
      </c>
      <c r="L201" s="403">
        <f t="shared" si="39"/>
        <v>9.9999999999999995E-7</v>
      </c>
      <c r="M201" s="403">
        <f t="shared" si="39"/>
        <v>3.0000005000000001</v>
      </c>
      <c r="N201" s="343"/>
      <c r="O201" s="404">
        <v>2</v>
      </c>
      <c r="P201" s="405">
        <f>O14</f>
        <v>0.3</v>
      </c>
    </row>
    <row r="202" spans="1:16">
      <c r="A202" s="1117"/>
      <c r="B202" s="402">
        <v>2</v>
      </c>
      <c r="C202" s="403">
        <f>C16</f>
        <v>15</v>
      </c>
      <c r="D202" s="403">
        <f t="shared" ref="D202:F202" si="40">D16</f>
        <v>9.9999999999999995E-7</v>
      </c>
      <c r="E202" s="403">
        <f t="shared" si="40"/>
        <v>0.5</v>
      </c>
      <c r="F202" s="403">
        <f t="shared" si="40"/>
        <v>0.24999950000000001</v>
      </c>
      <c r="G202" s="343"/>
      <c r="H202" s="1118"/>
      <c r="I202" s="402">
        <v>2</v>
      </c>
      <c r="J202" s="403">
        <f>I16</f>
        <v>35</v>
      </c>
      <c r="K202" s="403">
        <f t="shared" ref="K202:M202" si="41">J16</f>
        <v>-1.6</v>
      </c>
      <c r="L202" s="403">
        <f t="shared" si="41"/>
        <v>-0.9</v>
      </c>
      <c r="M202" s="403">
        <f t="shared" si="41"/>
        <v>0.35000000000000003</v>
      </c>
      <c r="N202" s="343"/>
      <c r="O202" s="404">
        <v>3</v>
      </c>
      <c r="P202" s="406">
        <f>O25</f>
        <v>0.3</v>
      </c>
    </row>
    <row r="203" spans="1:16">
      <c r="A203" s="1117"/>
      <c r="B203" s="402">
        <v>3</v>
      </c>
      <c r="C203" s="403">
        <f>C27</f>
        <v>15</v>
      </c>
      <c r="D203" s="403">
        <f t="shared" ref="D203:F203" si="42">D27</f>
        <v>9.9999999999999995E-7</v>
      </c>
      <c r="E203" s="403">
        <f t="shared" si="42"/>
        <v>0.2</v>
      </c>
      <c r="F203" s="403">
        <f t="shared" si="42"/>
        <v>9.9999500000000005E-2</v>
      </c>
      <c r="G203" s="343"/>
      <c r="H203" s="1118"/>
      <c r="I203" s="402">
        <v>3</v>
      </c>
      <c r="J203" s="403">
        <f>I27</f>
        <v>30</v>
      </c>
      <c r="K203" s="403">
        <f t="shared" ref="K203:M203" si="43">J27</f>
        <v>-5.7</v>
      </c>
      <c r="L203" s="403">
        <f t="shared" si="43"/>
        <v>-1.1000000000000001</v>
      </c>
      <c r="M203" s="403">
        <f t="shared" si="43"/>
        <v>2.2999999999999998</v>
      </c>
      <c r="N203" s="343"/>
      <c r="O203" s="404">
        <v>4</v>
      </c>
      <c r="P203" s="406">
        <f>O36</f>
        <v>0.6</v>
      </c>
    </row>
    <row r="204" spans="1:16">
      <c r="A204" s="1117"/>
      <c r="B204" s="402">
        <v>4</v>
      </c>
      <c r="C204" s="407">
        <f>C38</f>
        <v>15</v>
      </c>
      <c r="D204" s="407">
        <f t="shared" ref="D204:F204" si="44">D38</f>
        <v>-0.1</v>
      </c>
      <c r="E204" s="407">
        <f t="shared" si="44"/>
        <v>0.4</v>
      </c>
      <c r="F204" s="407">
        <f t="shared" si="44"/>
        <v>0.25</v>
      </c>
      <c r="G204" s="343"/>
      <c r="H204" s="1118"/>
      <c r="I204" s="402">
        <v>4</v>
      </c>
      <c r="J204" s="407">
        <f>I38</f>
        <v>35</v>
      </c>
      <c r="K204" s="407">
        <f t="shared" ref="K204:M204" si="45">J38</f>
        <v>-1.7</v>
      </c>
      <c r="L204" s="407">
        <f t="shared" si="45"/>
        <v>-0.8</v>
      </c>
      <c r="M204" s="407">
        <f t="shared" si="45"/>
        <v>0.44999999999999996</v>
      </c>
      <c r="N204" s="343"/>
      <c r="O204" s="404">
        <v>5</v>
      </c>
      <c r="P204" s="406">
        <f>O47</f>
        <v>0.3</v>
      </c>
    </row>
    <row r="205" spans="1:16">
      <c r="A205" s="1117"/>
      <c r="B205" s="402">
        <v>5</v>
      </c>
      <c r="C205" s="407">
        <f>C49</f>
        <v>15</v>
      </c>
      <c r="D205" s="407">
        <f t="shared" ref="D205:F205" si="46">D49</f>
        <v>0.3</v>
      </c>
      <c r="E205" s="407">
        <f t="shared" si="46"/>
        <v>0.4</v>
      </c>
      <c r="F205" s="407">
        <f t="shared" si="46"/>
        <v>5.0000000000000017E-2</v>
      </c>
      <c r="G205" s="343"/>
      <c r="H205" s="1118"/>
      <c r="I205" s="402">
        <v>5</v>
      </c>
      <c r="J205" s="407">
        <f>I49</f>
        <v>35</v>
      </c>
      <c r="K205" s="407">
        <f t="shared" ref="K205:M205" si="47">J49</f>
        <v>-9.6</v>
      </c>
      <c r="L205" s="407">
        <f t="shared" si="47"/>
        <v>-1.6</v>
      </c>
      <c r="M205" s="407">
        <f t="shared" si="47"/>
        <v>4</v>
      </c>
      <c r="N205" s="343"/>
      <c r="O205" s="400">
        <v>6</v>
      </c>
      <c r="P205" s="401">
        <f>O58</f>
        <v>0.5</v>
      </c>
    </row>
    <row r="206" spans="1:16">
      <c r="A206" s="1117"/>
      <c r="B206" s="402">
        <v>6</v>
      </c>
      <c r="C206" s="407">
        <f>C60</f>
        <v>15</v>
      </c>
      <c r="D206" s="407">
        <f t="shared" ref="D206:F206" si="48">D60</f>
        <v>0.4</v>
      </c>
      <c r="E206" s="407">
        <f t="shared" si="48"/>
        <v>-0.2</v>
      </c>
      <c r="F206" s="407">
        <f t="shared" si="48"/>
        <v>0.30000000000000004</v>
      </c>
      <c r="G206" s="343"/>
      <c r="H206" s="1118"/>
      <c r="I206" s="402">
        <v>6</v>
      </c>
      <c r="J206" s="407">
        <f>I60</f>
        <v>30</v>
      </c>
      <c r="K206" s="407">
        <f t="shared" ref="K206:M206" si="49">J60</f>
        <v>1.7</v>
      </c>
      <c r="L206" s="407">
        <f t="shared" si="49"/>
        <v>-4.9000000000000004</v>
      </c>
      <c r="M206" s="407">
        <f t="shared" si="49"/>
        <v>3.3000000000000003</v>
      </c>
      <c r="N206" s="343"/>
      <c r="O206" s="400">
        <v>7</v>
      </c>
      <c r="P206" s="401">
        <f>O69</f>
        <v>0.3</v>
      </c>
    </row>
    <row r="207" spans="1:16">
      <c r="A207" s="1117"/>
      <c r="B207" s="402">
        <v>7</v>
      </c>
      <c r="C207" s="407">
        <f>C71</f>
        <v>15</v>
      </c>
      <c r="D207" s="407">
        <f t="shared" ref="D207:F207" si="50">D71</f>
        <v>0.3</v>
      </c>
      <c r="E207" s="407">
        <f t="shared" si="50"/>
        <v>0.2</v>
      </c>
      <c r="F207" s="407">
        <f t="shared" si="50"/>
        <v>4.9999999999999989E-2</v>
      </c>
      <c r="G207" s="343"/>
      <c r="H207" s="1118"/>
      <c r="I207" s="402">
        <v>7</v>
      </c>
      <c r="J207" s="407">
        <f>I71</f>
        <v>30</v>
      </c>
      <c r="K207" s="407">
        <f t="shared" ref="K207:M207" si="51">J71</f>
        <v>1.8</v>
      </c>
      <c r="L207" s="407">
        <f t="shared" si="51"/>
        <v>-0.1</v>
      </c>
      <c r="M207" s="407">
        <f t="shared" si="51"/>
        <v>0.95000000000000007</v>
      </c>
      <c r="N207" s="343"/>
      <c r="O207" s="400">
        <v>8</v>
      </c>
      <c r="P207" s="401">
        <f>O80</f>
        <v>0.3</v>
      </c>
    </row>
    <row r="208" spans="1:16">
      <c r="A208" s="1117"/>
      <c r="B208" s="402">
        <v>8</v>
      </c>
      <c r="C208" s="407">
        <f>C82</f>
        <v>15</v>
      </c>
      <c r="D208" s="407">
        <f t="shared" ref="D208:F208" si="52">D82</f>
        <v>9.9999999999999995E-7</v>
      </c>
      <c r="E208" s="407">
        <f t="shared" si="52"/>
        <v>-0.2</v>
      </c>
      <c r="F208" s="407">
        <f t="shared" si="52"/>
        <v>0.10000050000000001</v>
      </c>
      <c r="G208" s="343"/>
      <c r="H208" s="1118"/>
      <c r="I208" s="402">
        <v>8</v>
      </c>
      <c r="J208" s="407">
        <f>I82</f>
        <v>30</v>
      </c>
      <c r="K208" s="407">
        <f t="shared" ref="K208:M208" si="53">J82</f>
        <v>-1.4</v>
      </c>
      <c r="L208" s="407">
        <f t="shared" si="53"/>
        <v>1</v>
      </c>
      <c r="M208" s="407">
        <f t="shared" si="53"/>
        <v>1.2</v>
      </c>
      <c r="N208" s="343"/>
      <c r="O208" s="400">
        <v>9</v>
      </c>
      <c r="P208" s="401">
        <f>O91</f>
        <v>0.3</v>
      </c>
    </row>
    <row r="209" spans="1:16">
      <c r="A209" s="1117"/>
      <c r="B209" s="402">
        <v>9</v>
      </c>
      <c r="C209" s="407">
        <f>C93</f>
        <v>15</v>
      </c>
      <c r="D209" s="407">
        <f t="shared" ref="D209:F209" si="54">D93</f>
        <v>9.9999999999999995E-7</v>
      </c>
      <c r="E209" s="407" t="str">
        <f t="shared" si="54"/>
        <v>-</v>
      </c>
      <c r="F209" s="407">
        <f t="shared" si="54"/>
        <v>0</v>
      </c>
      <c r="G209" s="343"/>
      <c r="H209" s="1118"/>
      <c r="I209" s="402">
        <v>9</v>
      </c>
      <c r="J209" s="407">
        <f>I93</f>
        <v>30</v>
      </c>
      <c r="K209" s="407">
        <f t="shared" ref="K209:M209" si="55">J93</f>
        <v>-1.2</v>
      </c>
      <c r="L209" s="407" t="str">
        <f t="shared" si="55"/>
        <v>-</v>
      </c>
      <c r="M209" s="407">
        <f t="shared" si="55"/>
        <v>0</v>
      </c>
      <c r="N209" s="343"/>
      <c r="O209" s="400">
        <v>10</v>
      </c>
      <c r="P209" s="401">
        <f>O102</f>
        <v>0.3</v>
      </c>
    </row>
    <row r="210" spans="1:16">
      <c r="A210" s="1117"/>
      <c r="B210" s="402">
        <v>10</v>
      </c>
      <c r="C210" s="407">
        <f>C104</f>
        <v>15</v>
      </c>
      <c r="D210" s="407">
        <f t="shared" ref="D210:F210" si="56">D104</f>
        <v>0.2</v>
      </c>
      <c r="E210" s="407">
        <f t="shared" si="56"/>
        <v>0.2</v>
      </c>
      <c r="F210" s="407">
        <f t="shared" si="56"/>
        <v>0</v>
      </c>
      <c r="G210" s="343"/>
      <c r="H210" s="1118"/>
      <c r="I210" s="402">
        <v>10</v>
      </c>
      <c r="J210" s="407">
        <f>I104</f>
        <v>30</v>
      </c>
      <c r="K210" s="407">
        <f t="shared" ref="K210:M210" si="57">J104</f>
        <v>-2.9</v>
      </c>
      <c r="L210" s="407">
        <f t="shared" si="57"/>
        <v>-5.8</v>
      </c>
      <c r="M210" s="407">
        <f t="shared" si="57"/>
        <v>1.45</v>
      </c>
      <c r="N210" s="343"/>
      <c r="O210" s="400">
        <v>11</v>
      </c>
      <c r="P210" s="401">
        <f>O113</f>
        <v>0.3</v>
      </c>
    </row>
    <row r="211" spans="1:16">
      <c r="A211" s="1117"/>
      <c r="B211" s="402">
        <v>11</v>
      </c>
      <c r="C211" s="407">
        <f>C115</f>
        <v>15</v>
      </c>
      <c r="D211" s="407">
        <f t="shared" ref="D211:F211" si="58">D115</f>
        <v>0.3</v>
      </c>
      <c r="E211" s="407" t="str">
        <f t="shared" si="58"/>
        <v>-</v>
      </c>
      <c r="F211" s="407">
        <f t="shared" si="58"/>
        <v>0</v>
      </c>
      <c r="G211" s="343"/>
      <c r="H211" s="1118"/>
      <c r="I211" s="402">
        <v>11</v>
      </c>
      <c r="J211" s="407">
        <f>I115</f>
        <v>30</v>
      </c>
      <c r="K211" s="407">
        <f t="shared" ref="K211:M211" si="59">J115</f>
        <v>-5.2</v>
      </c>
      <c r="L211" s="407" t="str">
        <f t="shared" si="59"/>
        <v>-</v>
      </c>
      <c r="M211" s="407">
        <f t="shared" si="59"/>
        <v>0</v>
      </c>
      <c r="N211" s="343"/>
      <c r="O211" s="400">
        <v>12</v>
      </c>
      <c r="P211" s="401">
        <f>O124</f>
        <v>0.5</v>
      </c>
    </row>
    <row r="212" spans="1:16">
      <c r="A212" s="1117"/>
      <c r="B212" s="402">
        <v>12</v>
      </c>
      <c r="C212" s="407">
        <f>C126</f>
        <v>15</v>
      </c>
      <c r="D212" s="407">
        <f t="shared" ref="D212:F212" si="60">D126</f>
        <v>0.5</v>
      </c>
      <c r="E212" s="407">
        <f t="shared" si="60"/>
        <v>-2</v>
      </c>
      <c r="F212" s="407">
        <f t="shared" si="60"/>
        <v>1.25</v>
      </c>
      <c r="G212" s="343"/>
      <c r="H212" s="1118"/>
      <c r="I212" s="402">
        <v>12</v>
      </c>
      <c r="J212" s="407">
        <f>I126</f>
        <v>30</v>
      </c>
      <c r="K212" s="407">
        <f t="shared" ref="K212:M212" si="61">J126</f>
        <v>-0.8</v>
      </c>
      <c r="L212" s="407">
        <f t="shared" si="61"/>
        <v>1</v>
      </c>
      <c r="M212" s="407">
        <f t="shared" si="61"/>
        <v>0.9</v>
      </c>
      <c r="N212" s="343"/>
      <c r="O212" s="400">
        <v>13</v>
      </c>
      <c r="P212" s="401">
        <f>O135</f>
        <v>0.5</v>
      </c>
    </row>
    <row r="213" spans="1:16">
      <c r="A213" s="1117"/>
      <c r="B213" s="402">
        <v>13</v>
      </c>
      <c r="C213" s="407">
        <f>C137</f>
        <v>15</v>
      </c>
      <c r="D213" s="407">
        <f t="shared" ref="D213:F213" si="62">D137</f>
        <v>0.5</v>
      </c>
      <c r="E213" s="407">
        <f t="shared" si="62"/>
        <v>-0.7</v>
      </c>
      <c r="F213" s="407">
        <f t="shared" si="62"/>
        <v>0.6</v>
      </c>
      <c r="G213" s="343"/>
      <c r="H213" s="1118"/>
      <c r="I213" s="402">
        <v>13</v>
      </c>
      <c r="J213" s="407">
        <f>I137</f>
        <v>30</v>
      </c>
      <c r="K213" s="407">
        <f t="shared" ref="K213:M213" si="63">J137</f>
        <v>-2.2000000000000002</v>
      </c>
      <c r="L213" s="407">
        <f t="shared" si="63"/>
        <v>-1.5</v>
      </c>
      <c r="M213" s="407">
        <f t="shared" si="63"/>
        <v>0.35000000000000009</v>
      </c>
      <c r="N213" s="343"/>
      <c r="O213" s="400">
        <v>14</v>
      </c>
      <c r="P213" s="401">
        <f>O146</f>
        <v>0.3</v>
      </c>
    </row>
    <row r="214" spans="1:16">
      <c r="A214" s="1117"/>
      <c r="B214" s="402">
        <v>14</v>
      </c>
      <c r="C214" s="407">
        <f>C148</f>
        <v>15</v>
      </c>
      <c r="D214" s="407">
        <f t="shared" ref="D214:F214" si="64">D148</f>
        <v>0.6</v>
      </c>
      <c r="E214" s="407">
        <f t="shared" si="64"/>
        <v>-0.6</v>
      </c>
      <c r="F214" s="407">
        <f t="shared" si="64"/>
        <v>0.6</v>
      </c>
      <c r="G214" s="343"/>
      <c r="H214" s="1118"/>
      <c r="I214" s="402">
        <v>14</v>
      </c>
      <c r="J214" s="407">
        <f>I148</f>
        <v>30</v>
      </c>
      <c r="K214" s="407">
        <f t="shared" ref="K214:M214" si="65">J148</f>
        <v>-2</v>
      </c>
      <c r="L214" s="407">
        <f t="shared" si="65"/>
        <v>-0.5</v>
      </c>
      <c r="M214" s="407">
        <f t="shared" si="65"/>
        <v>0.75</v>
      </c>
      <c r="N214" s="343"/>
      <c r="O214" s="400">
        <v>15</v>
      </c>
      <c r="P214" s="401">
        <f>O157</f>
        <v>0.4</v>
      </c>
    </row>
    <row r="215" spans="1:16">
      <c r="A215" s="1117"/>
      <c r="B215" s="402">
        <v>15</v>
      </c>
      <c r="C215" s="407">
        <f>C159</f>
        <v>15</v>
      </c>
      <c r="D215" s="407">
        <f t="shared" ref="D215:F215" si="66">D159</f>
        <v>0.1</v>
      </c>
      <c r="E215" s="407" t="str">
        <f t="shared" si="66"/>
        <v>-</v>
      </c>
      <c r="F215" s="407">
        <f t="shared" si="66"/>
        <v>0</v>
      </c>
      <c r="G215" s="343"/>
      <c r="H215" s="1118"/>
      <c r="I215" s="402">
        <v>15</v>
      </c>
      <c r="J215" s="407">
        <f>I159</f>
        <v>30</v>
      </c>
      <c r="K215" s="407">
        <f t="shared" ref="K215:M215" si="67">J159</f>
        <v>-1.6</v>
      </c>
      <c r="L215" s="407" t="str">
        <f t="shared" si="67"/>
        <v>-</v>
      </c>
      <c r="M215" s="407">
        <f t="shared" si="67"/>
        <v>0</v>
      </c>
      <c r="N215" s="343"/>
      <c r="O215" s="400">
        <v>16</v>
      </c>
      <c r="P215" s="401">
        <f>O168</f>
        <v>0.3</v>
      </c>
    </row>
    <row r="216" spans="1:16">
      <c r="A216" s="1117"/>
      <c r="B216" s="402">
        <v>16</v>
      </c>
      <c r="C216" s="407">
        <f>C170</f>
        <v>15</v>
      </c>
      <c r="D216" s="407">
        <f t="shared" ref="D216:F216" si="68">D170</f>
        <v>0.1</v>
      </c>
      <c r="E216" s="407" t="str">
        <f t="shared" si="68"/>
        <v>-</v>
      </c>
      <c r="F216" s="407">
        <f t="shared" si="68"/>
        <v>0</v>
      </c>
      <c r="G216" s="343"/>
      <c r="H216" s="1118"/>
      <c r="I216" s="402">
        <v>16</v>
      </c>
      <c r="J216" s="407">
        <f>I170</f>
        <v>30</v>
      </c>
      <c r="K216" s="407">
        <f t="shared" ref="K216:M216" si="69">J170</f>
        <v>0.1</v>
      </c>
      <c r="L216" s="407" t="str">
        <f t="shared" si="69"/>
        <v>-</v>
      </c>
      <c r="M216" s="407">
        <f t="shared" si="69"/>
        <v>0</v>
      </c>
      <c r="N216" s="343"/>
      <c r="O216" s="400">
        <v>17</v>
      </c>
      <c r="P216" s="401">
        <f>O178</f>
        <v>0.3</v>
      </c>
    </row>
    <row r="217" spans="1:16">
      <c r="A217" s="1117"/>
      <c r="B217" s="402">
        <v>17</v>
      </c>
      <c r="C217" s="407">
        <f>C180</f>
        <v>15</v>
      </c>
      <c r="D217" s="407">
        <f t="shared" ref="D217:F217" si="70">D180</f>
        <v>9.9999999999999995E-7</v>
      </c>
      <c r="E217" s="407" t="str">
        <f t="shared" si="70"/>
        <v>-</v>
      </c>
      <c r="F217" s="407">
        <f t="shared" si="70"/>
        <v>0</v>
      </c>
      <c r="G217" s="343"/>
      <c r="H217" s="1118"/>
      <c r="I217" s="402">
        <v>17</v>
      </c>
      <c r="J217" s="407">
        <f>I180</f>
        <v>30</v>
      </c>
      <c r="K217" s="407">
        <f t="shared" ref="K217:M217" si="71">J180</f>
        <v>-0.4</v>
      </c>
      <c r="L217" s="407" t="str">
        <f t="shared" si="71"/>
        <v>-</v>
      </c>
      <c r="M217" s="407">
        <f t="shared" si="71"/>
        <v>0</v>
      </c>
      <c r="N217" s="343"/>
      <c r="O217" s="400">
        <v>18</v>
      </c>
      <c r="P217" s="401">
        <f>O188</f>
        <v>0.3</v>
      </c>
    </row>
    <row r="218" spans="1:16">
      <c r="A218" s="1117"/>
      <c r="B218" s="402">
        <v>18</v>
      </c>
      <c r="C218" s="407">
        <f>C190</f>
        <v>15</v>
      </c>
      <c r="D218" s="407">
        <f t="shared" ref="D218:F218" si="72">D190</f>
        <v>9.9999999999999995E-7</v>
      </c>
      <c r="E218" s="407" t="str">
        <f t="shared" si="72"/>
        <v>-</v>
      </c>
      <c r="F218" s="407">
        <f t="shared" si="72"/>
        <v>0</v>
      </c>
      <c r="G218" s="343"/>
      <c r="H218" s="1118"/>
      <c r="I218" s="402">
        <v>18</v>
      </c>
      <c r="J218" s="407">
        <f>I190</f>
        <v>30</v>
      </c>
      <c r="K218" s="407">
        <f t="shared" ref="K218:M218" si="73">J190</f>
        <v>-0.4</v>
      </c>
      <c r="L218" s="407" t="str">
        <f t="shared" si="73"/>
        <v>-</v>
      </c>
      <c r="M218" s="407">
        <f t="shared" si="73"/>
        <v>0</v>
      </c>
      <c r="N218" s="343"/>
      <c r="O218" s="408"/>
      <c r="P218" s="408"/>
    </row>
    <row r="219" spans="1:16">
      <c r="A219" s="409"/>
      <c r="B219" s="410"/>
      <c r="C219" s="411"/>
      <c r="D219" s="411"/>
      <c r="E219" s="411"/>
      <c r="F219" s="412"/>
      <c r="G219" s="413"/>
      <c r="H219" s="414"/>
      <c r="I219" s="414"/>
      <c r="J219" s="415"/>
      <c r="K219" s="415"/>
      <c r="L219" s="415"/>
      <c r="M219" s="415"/>
      <c r="N219" s="413"/>
      <c r="O219" s="408"/>
      <c r="P219" s="408"/>
    </row>
    <row r="220" spans="1:16">
      <c r="A220" s="1117" t="s">
        <v>216</v>
      </c>
      <c r="B220" s="402">
        <v>1</v>
      </c>
      <c r="C220" s="407">
        <f>C6</f>
        <v>20</v>
      </c>
      <c r="D220" s="407">
        <f t="shared" ref="D220:F220" si="74">D6</f>
        <v>-0.2</v>
      </c>
      <c r="E220" s="407">
        <f t="shared" si="74"/>
        <v>0.2</v>
      </c>
      <c r="F220" s="407">
        <f t="shared" si="74"/>
        <v>0.2</v>
      </c>
      <c r="G220" s="343"/>
      <c r="H220" s="1118" t="s">
        <v>216</v>
      </c>
      <c r="I220" s="402">
        <v>1</v>
      </c>
      <c r="J220" s="407">
        <f>I6</f>
        <v>40</v>
      </c>
      <c r="K220" s="407">
        <f t="shared" ref="K220:M220" si="75">J50</f>
        <v>-8</v>
      </c>
      <c r="L220" s="407">
        <f t="shared" si="75"/>
        <v>-1.8</v>
      </c>
      <c r="M220" s="407">
        <f t="shared" si="75"/>
        <v>3.1</v>
      </c>
      <c r="N220" s="343"/>
      <c r="O220" s="1119" t="s">
        <v>94</v>
      </c>
      <c r="P220" s="1120"/>
    </row>
    <row r="221" spans="1:16">
      <c r="A221" s="1117"/>
      <c r="B221" s="402">
        <v>2</v>
      </c>
      <c r="C221" s="407">
        <f>C17</f>
        <v>20</v>
      </c>
      <c r="D221" s="407">
        <f t="shared" ref="D221:F221" si="76">D17</f>
        <v>-0.1</v>
      </c>
      <c r="E221" s="407">
        <f t="shared" si="76"/>
        <v>0</v>
      </c>
      <c r="F221" s="407">
        <f t="shared" si="76"/>
        <v>0.05</v>
      </c>
      <c r="G221" s="343"/>
      <c r="H221" s="1118"/>
      <c r="I221" s="402">
        <v>2</v>
      </c>
      <c r="J221" s="407">
        <f>I17</f>
        <v>40</v>
      </c>
      <c r="K221" s="407">
        <f t="shared" ref="K221:M221" si="77">J17</f>
        <v>-1.6</v>
      </c>
      <c r="L221" s="407">
        <f t="shared" si="77"/>
        <v>-1.1000000000000001</v>
      </c>
      <c r="M221" s="407">
        <f t="shared" si="77"/>
        <v>0.25</v>
      </c>
      <c r="N221" s="343"/>
      <c r="O221" s="1121" t="s">
        <v>164</v>
      </c>
      <c r="P221" s="1122"/>
    </row>
    <row r="222" spans="1:16">
      <c r="A222" s="1117"/>
      <c r="B222" s="402">
        <v>3</v>
      </c>
      <c r="C222" s="403">
        <f>C28</f>
        <v>20</v>
      </c>
      <c r="D222" s="403">
        <f t="shared" ref="D222:F222" si="78">D28</f>
        <v>9.9999999999999995E-7</v>
      </c>
      <c r="E222" s="403">
        <f t="shared" si="78"/>
        <v>9.9999999999999995E-7</v>
      </c>
      <c r="F222" s="403">
        <f t="shared" si="78"/>
        <v>0</v>
      </c>
      <c r="G222" s="343"/>
      <c r="H222" s="1118"/>
      <c r="I222" s="402">
        <v>3</v>
      </c>
      <c r="J222" s="403">
        <f>I28</f>
        <v>40</v>
      </c>
      <c r="K222" s="403">
        <f t="shared" ref="K222:M222" si="79">J28</f>
        <v>-5.3</v>
      </c>
      <c r="L222" s="403">
        <f t="shared" si="79"/>
        <v>-1.9</v>
      </c>
      <c r="M222" s="403">
        <f t="shared" si="79"/>
        <v>1.7</v>
      </c>
      <c r="N222" s="343"/>
      <c r="O222" s="400">
        <v>1</v>
      </c>
      <c r="P222" s="401">
        <f>O4</f>
        <v>3.1</v>
      </c>
    </row>
    <row r="223" spans="1:16">
      <c r="A223" s="1117"/>
      <c r="B223" s="402">
        <v>4</v>
      </c>
      <c r="C223" s="403">
        <f>C39</f>
        <v>20</v>
      </c>
      <c r="D223" s="403">
        <f t="shared" ref="D223:F223" si="80">D39</f>
        <v>-0.3</v>
      </c>
      <c r="E223" s="403">
        <f t="shared" si="80"/>
        <v>9.9999999999999995E-7</v>
      </c>
      <c r="F223" s="403">
        <f t="shared" si="80"/>
        <v>0.15000049999999998</v>
      </c>
      <c r="G223" s="343"/>
      <c r="H223" s="1118"/>
      <c r="I223" s="402">
        <v>4</v>
      </c>
      <c r="J223" s="403">
        <f>I39</f>
        <v>40</v>
      </c>
      <c r="K223" s="403">
        <f t="shared" ref="K223:M223" si="81">J39</f>
        <v>-1.5</v>
      </c>
      <c r="L223" s="403">
        <f t="shared" si="81"/>
        <v>-0.9</v>
      </c>
      <c r="M223" s="403">
        <f t="shared" si="81"/>
        <v>0.3</v>
      </c>
      <c r="N223" s="343"/>
      <c r="O223" s="404">
        <v>2</v>
      </c>
      <c r="P223" s="405">
        <f>O15</f>
        <v>3.3</v>
      </c>
    </row>
    <row r="224" spans="1:16">
      <c r="A224" s="1117"/>
      <c r="B224" s="402">
        <v>5</v>
      </c>
      <c r="C224" s="403">
        <f>C50</f>
        <v>20</v>
      </c>
      <c r="D224" s="403">
        <f t="shared" ref="D224:F224" si="82">D50</f>
        <v>0.3</v>
      </c>
      <c r="E224" s="403">
        <f t="shared" si="82"/>
        <v>9.9999999999999995E-7</v>
      </c>
      <c r="F224" s="403">
        <f t="shared" si="82"/>
        <v>0.14999950000000001</v>
      </c>
      <c r="G224" s="343"/>
      <c r="H224" s="1118"/>
      <c r="I224" s="402">
        <v>5</v>
      </c>
      <c r="J224" s="403">
        <f>I50</f>
        <v>40</v>
      </c>
      <c r="K224" s="403">
        <f t="shared" ref="K224:M224" si="83">J50</f>
        <v>-8</v>
      </c>
      <c r="L224" s="403">
        <f t="shared" si="83"/>
        <v>-1.8</v>
      </c>
      <c r="M224" s="403">
        <f t="shared" si="83"/>
        <v>3.1</v>
      </c>
      <c r="N224" s="343"/>
      <c r="O224" s="404">
        <v>3</v>
      </c>
      <c r="P224" s="406">
        <f>O26</f>
        <v>3.1</v>
      </c>
    </row>
    <row r="225" spans="1:16">
      <c r="A225" s="1117"/>
      <c r="B225" s="402">
        <v>6</v>
      </c>
      <c r="C225" s="403">
        <f>C61</f>
        <v>20</v>
      </c>
      <c r="D225" s="403">
        <f t="shared" ref="D225:F225" si="84">D61</f>
        <v>0.2</v>
      </c>
      <c r="E225" s="403">
        <f t="shared" si="84"/>
        <v>9.9999999999999995E-7</v>
      </c>
      <c r="F225" s="403">
        <f t="shared" si="84"/>
        <v>9.9999500000000005E-2</v>
      </c>
      <c r="G225" s="343"/>
      <c r="H225" s="1118"/>
      <c r="I225" s="402">
        <v>6</v>
      </c>
      <c r="J225" s="403">
        <f>I61</f>
        <v>40</v>
      </c>
      <c r="K225" s="403">
        <f t="shared" ref="K225:M225" si="85">J61</f>
        <v>1.5</v>
      </c>
      <c r="L225" s="403">
        <f t="shared" si="85"/>
        <v>-3.4</v>
      </c>
      <c r="M225" s="403">
        <f t="shared" si="85"/>
        <v>2.4500000000000002</v>
      </c>
      <c r="N225" s="343"/>
      <c r="O225" s="404">
        <v>4</v>
      </c>
      <c r="P225" s="406">
        <f>O37</f>
        <v>2.6</v>
      </c>
    </row>
    <row r="226" spans="1:16">
      <c r="A226" s="1117"/>
      <c r="B226" s="402">
        <v>7</v>
      </c>
      <c r="C226" s="403">
        <f>C72</f>
        <v>20</v>
      </c>
      <c r="D226" s="403">
        <f t="shared" ref="D226:F226" si="86">D72</f>
        <v>0.1</v>
      </c>
      <c r="E226" s="403">
        <f t="shared" si="86"/>
        <v>0.1</v>
      </c>
      <c r="F226" s="403">
        <f t="shared" si="86"/>
        <v>0</v>
      </c>
      <c r="G226" s="343"/>
      <c r="H226" s="1118"/>
      <c r="I226" s="402">
        <v>7</v>
      </c>
      <c r="J226" s="403">
        <f>I72</f>
        <v>40</v>
      </c>
      <c r="K226" s="403">
        <f t="shared" ref="K226:M226" si="87">J72</f>
        <v>1.2</v>
      </c>
      <c r="L226" s="403">
        <f t="shared" si="87"/>
        <v>9.9999999999999995E-7</v>
      </c>
      <c r="M226" s="403">
        <f t="shared" si="87"/>
        <v>0.59999950000000002</v>
      </c>
      <c r="N226" s="343"/>
      <c r="O226" s="404">
        <v>5</v>
      </c>
      <c r="P226" s="406">
        <f>O48</f>
        <v>3.2</v>
      </c>
    </row>
    <row r="227" spans="1:16">
      <c r="A227" s="1117"/>
      <c r="B227" s="402">
        <v>8</v>
      </c>
      <c r="C227" s="403">
        <f>C83</f>
        <v>20</v>
      </c>
      <c r="D227" s="403">
        <f t="shared" ref="D227:F227" si="88">D83</f>
        <v>-0.2</v>
      </c>
      <c r="E227" s="403">
        <f t="shared" si="88"/>
        <v>-0.2</v>
      </c>
      <c r="F227" s="403">
        <f t="shared" si="88"/>
        <v>0</v>
      </c>
      <c r="G227" s="343"/>
      <c r="H227" s="1118"/>
      <c r="I227" s="402">
        <v>8</v>
      </c>
      <c r="J227" s="403">
        <f>I83</f>
        <v>40</v>
      </c>
      <c r="K227" s="403">
        <f t="shared" ref="K227:M227" si="89">J83</f>
        <v>-1.2</v>
      </c>
      <c r="L227" s="403">
        <f t="shared" si="89"/>
        <v>1.1000000000000001</v>
      </c>
      <c r="M227" s="403">
        <f t="shared" si="89"/>
        <v>1.1499999999999999</v>
      </c>
      <c r="N227" s="343"/>
      <c r="O227" s="400">
        <v>6</v>
      </c>
      <c r="P227" s="401">
        <f>O59</f>
        <v>2</v>
      </c>
    </row>
    <row r="228" spans="1:16">
      <c r="A228" s="1117"/>
      <c r="B228" s="402">
        <v>9</v>
      </c>
      <c r="C228" s="403">
        <f>C94</f>
        <v>20</v>
      </c>
      <c r="D228" s="403">
        <f t="shared" ref="D228:F228" si="90">D94</f>
        <v>-0.2</v>
      </c>
      <c r="E228" s="403" t="str">
        <f t="shared" si="90"/>
        <v>-</v>
      </c>
      <c r="F228" s="403">
        <f t="shared" si="90"/>
        <v>0</v>
      </c>
      <c r="G228" s="343"/>
      <c r="H228" s="1118"/>
      <c r="I228" s="402">
        <v>9</v>
      </c>
      <c r="J228" s="403">
        <f>I94</f>
        <v>40</v>
      </c>
      <c r="K228" s="403">
        <f t="shared" ref="K228:M228" si="91">J94</f>
        <v>-1</v>
      </c>
      <c r="L228" s="403" t="str">
        <f t="shared" si="91"/>
        <v>-</v>
      </c>
      <c r="M228" s="403">
        <f t="shared" si="91"/>
        <v>0</v>
      </c>
      <c r="N228" s="343"/>
      <c r="O228" s="400">
        <v>7</v>
      </c>
      <c r="P228" s="401">
        <f>O70</f>
        <v>2.2999999999999998</v>
      </c>
    </row>
    <row r="229" spans="1:16" ht="29.25" customHeight="1">
      <c r="A229" s="1117"/>
      <c r="B229" s="402">
        <v>10</v>
      </c>
      <c r="C229" s="403">
        <f>C105</f>
        <v>20</v>
      </c>
      <c r="D229" s="403">
        <f t="shared" ref="D229:F229" si="92">D105</f>
        <v>0.2</v>
      </c>
      <c r="E229" s="403">
        <f t="shared" si="92"/>
        <v>-0.7</v>
      </c>
      <c r="F229" s="403">
        <f t="shared" si="92"/>
        <v>0.44999999999999996</v>
      </c>
      <c r="G229" s="343"/>
      <c r="H229" s="1118"/>
      <c r="I229" s="402">
        <v>10</v>
      </c>
      <c r="J229" s="403">
        <f>I105</f>
        <v>40</v>
      </c>
      <c r="K229" s="403">
        <f t="shared" ref="K229:M229" si="93">J105</f>
        <v>-3.3</v>
      </c>
      <c r="L229" s="403">
        <f t="shared" si="93"/>
        <v>-6.4</v>
      </c>
      <c r="M229" s="403">
        <f t="shared" si="93"/>
        <v>1.5500000000000003</v>
      </c>
      <c r="N229" s="343"/>
      <c r="O229" s="400">
        <v>8</v>
      </c>
      <c r="P229" s="401">
        <f>O81</f>
        <v>2.6</v>
      </c>
    </row>
    <row r="230" spans="1:16" ht="13.5" customHeight="1">
      <c r="A230" s="1117"/>
      <c r="B230" s="402">
        <v>11</v>
      </c>
      <c r="C230" s="403">
        <f>C116</f>
        <v>20</v>
      </c>
      <c r="D230" s="403">
        <f t="shared" ref="D230:F230" si="94">D116</f>
        <v>0.4</v>
      </c>
      <c r="E230" s="403" t="str">
        <f t="shared" si="94"/>
        <v>-</v>
      </c>
      <c r="F230" s="403">
        <f t="shared" si="94"/>
        <v>0</v>
      </c>
      <c r="G230" s="343"/>
      <c r="H230" s="1118"/>
      <c r="I230" s="402">
        <v>11</v>
      </c>
      <c r="J230" s="403">
        <f>I116</f>
        <v>40</v>
      </c>
      <c r="K230" s="403">
        <f t="shared" ref="K230:M230" si="95">J116</f>
        <v>-5.5</v>
      </c>
      <c r="L230" s="403" t="str">
        <f t="shared" si="95"/>
        <v>-</v>
      </c>
      <c r="M230" s="403">
        <f t="shared" si="95"/>
        <v>0</v>
      </c>
      <c r="N230" s="343"/>
      <c r="O230" s="400">
        <v>9</v>
      </c>
      <c r="P230" s="401">
        <f>O92</f>
        <v>2.4</v>
      </c>
    </row>
    <row r="231" spans="1:16">
      <c r="A231" s="1117"/>
      <c r="B231" s="402">
        <v>12</v>
      </c>
      <c r="C231" s="403">
        <f>C127</f>
        <v>20</v>
      </c>
      <c r="D231" s="403">
        <f t="shared" ref="D231:F231" si="96">D127</f>
        <v>0.2</v>
      </c>
      <c r="E231" s="403">
        <f t="shared" si="96"/>
        <v>-0.1</v>
      </c>
      <c r="F231" s="403">
        <f t="shared" si="96"/>
        <v>0.15000000000000002</v>
      </c>
      <c r="G231" s="343"/>
      <c r="H231" s="1118"/>
      <c r="I231" s="402">
        <v>12</v>
      </c>
      <c r="J231" s="403">
        <f>I127</f>
        <v>40</v>
      </c>
      <c r="K231" s="403">
        <f t="shared" ref="K231:M231" si="97">J127</f>
        <v>-0.4</v>
      </c>
      <c r="L231" s="403">
        <f t="shared" si="97"/>
        <v>0.3</v>
      </c>
      <c r="M231" s="403">
        <f t="shared" si="97"/>
        <v>0.35</v>
      </c>
      <c r="N231" s="343"/>
      <c r="O231" s="400">
        <v>10</v>
      </c>
      <c r="P231" s="401">
        <f>O103</f>
        <v>1.5</v>
      </c>
    </row>
    <row r="232" spans="1:16">
      <c r="A232" s="1117"/>
      <c r="B232" s="402">
        <v>13</v>
      </c>
      <c r="C232" s="403">
        <f>C138</f>
        <v>20</v>
      </c>
      <c r="D232" s="403">
        <f t="shared" ref="D232:F232" si="98">D138</f>
        <v>0.2</v>
      </c>
      <c r="E232" s="403">
        <f t="shared" si="98"/>
        <v>-0.4</v>
      </c>
      <c r="F232" s="403">
        <f t="shared" si="98"/>
        <v>0.30000000000000004</v>
      </c>
      <c r="G232" s="343"/>
      <c r="H232" s="1118"/>
      <c r="I232" s="402">
        <v>13</v>
      </c>
      <c r="J232" s="403">
        <f>I138</f>
        <v>40</v>
      </c>
      <c r="K232" s="403">
        <f t="shared" ref="K232:M232" si="99">J138</f>
        <v>-2</v>
      </c>
      <c r="L232" s="403">
        <f t="shared" si="99"/>
        <v>-1.3</v>
      </c>
      <c r="M232" s="403">
        <f t="shared" si="99"/>
        <v>0.35</v>
      </c>
      <c r="N232" s="343"/>
      <c r="O232" s="400">
        <v>11</v>
      </c>
      <c r="P232" s="401">
        <f>O114</f>
        <v>1.8</v>
      </c>
    </row>
    <row r="233" spans="1:16">
      <c r="A233" s="1117"/>
      <c r="B233" s="402">
        <v>14</v>
      </c>
      <c r="C233" s="403">
        <f>C149</f>
        <v>20</v>
      </c>
      <c r="D233" s="403">
        <f t="shared" ref="D233:F233" si="100">D149</f>
        <v>0.3</v>
      </c>
      <c r="E233" s="403">
        <f t="shared" si="100"/>
        <v>-0.5</v>
      </c>
      <c r="F233" s="403">
        <f t="shared" si="100"/>
        <v>0.4</v>
      </c>
      <c r="G233" s="343"/>
      <c r="H233" s="1118"/>
      <c r="I233" s="402">
        <v>14</v>
      </c>
      <c r="J233" s="403">
        <f>I149</f>
        <v>40</v>
      </c>
      <c r="K233" s="403">
        <f t="shared" ref="K233:M233" si="101">J149</f>
        <v>-1.7</v>
      </c>
      <c r="L233" s="403">
        <f t="shared" si="101"/>
        <v>-0.3</v>
      </c>
      <c r="M233" s="403">
        <f t="shared" si="101"/>
        <v>0.7</v>
      </c>
      <c r="N233" s="343"/>
      <c r="O233" s="400">
        <v>12</v>
      </c>
      <c r="P233" s="416">
        <f>O125</f>
        <v>2.7</v>
      </c>
    </row>
    <row r="234" spans="1:16">
      <c r="A234" s="1117"/>
      <c r="B234" s="402">
        <v>15</v>
      </c>
      <c r="C234" s="403">
        <f>C160</f>
        <v>20</v>
      </c>
      <c r="D234" s="403">
        <f t="shared" ref="D234:F234" si="102">D160</f>
        <v>0.2</v>
      </c>
      <c r="E234" s="403" t="str">
        <f t="shared" si="102"/>
        <v>-</v>
      </c>
      <c r="F234" s="403">
        <f t="shared" si="102"/>
        <v>0</v>
      </c>
      <c r="G234" s="343"/>
      <c r="H234" s="1118"/>
      <c r="I234" s="402">
        <v>15</v>
      </c>
      <c r="J234" s="403">
        <f>I160</f>
        <v>40</v>
      </c>
      <c r="K234" s="403">
        <f t="shared" ref="K234:M234" si="103">J160</f>
        <v>-1.4</v>
      </c>
      <c r="L234" s="403" t="str">
        <f t="shared" si="103"/>
        <v>-</v>
      </c>
      <c r="M234" s="403">
        <f t="shared" si="103"/>
        <v>0</v>
      </c>
      <c r="N234" s="343"/>
      <c r="O234" s="400">
        <v>13</v>
      </c>
      <c r="P234" s="417">
        <f>O136</f>
        <v>2.2999999999999998</v>
      </c>
    </row>
    <row r="235" spans="1:16">
      <c r="A235" s="1117"/>
      <c r="B235" s="402">
        <v>16</v>
      </c>
      <c r="C235" s="403">
        <f>C171</f>
        <v>20</v>
      </c>
      <c r="D235" s="403">
        <f t="shared" ref="D235:F235" si="104">D171</f>
        <v>0.1</v>
      </c>
      <c r="E235" s="403" t="str">
        <f t="shared" si="104"/>
        <v>-</v>
      </c>
      <c r="F235" s="403">
        <f t="shared" si="104"/>
        <v>0</v>
      </c>
      <c r="G235" s="343"/>
      <c r="H235" s="1118"/>
      <c r="I235" s="402">
        <v>16</v>
      </c>
      <c r="J235" s="403">
        <f>I171</f>
        <v>40</v>
      </c>
      <c r="K235" s="403">
        <f t="shared" ref="K235:M235" si="105">J171</f>
        <v>0.2</v>
      </c>
      <c r="L235" s="403" t="str">
        <f t="shared" si="105"/>
        <v>-</v>
      </c>
      <c r="M235" s="403">
        <f t="shared" si="105"/>
        <v>0</v>
      </c>
      <c r="N235" s="343"/>
      <c r="O235" s="400">
        <v>14</v>
      </c>
      <c r="P235" s="417">
        <f>O147</f>
        <v>2.7</v>
      </c>
    </row>
    <row r="236" spans="1:16">
      <c r="A236" s="1117"/>
      <c r="B236" s="402">
        <v>17</v>
      </c>
      <c r="C236" s="403">
        <f>C181</f>
        <v>20</v>
      </c>
      <c r="D236" s="403">
        <f t="shared" ref="D236:F236" si="106">D181</f>
        <v>-0.1</v>
      </c>
      <c r="E236" s="403" t="str">
        <f t="shared" si="106"/>
        <v>-</v>
      </c>
      <c r="F236" s="403">
        <f t="shared" si="106"/>
        <v>0</v>
      </c>
      <c r="G236" s="343"/>
      <c r="H236" s="1118"/>
      <c r="I236" s="402">
        <v>17</v>
      </c>
      <c r="J236" s="403">
        <f>I181</f>
        <v>40</v>
      </c>
      <c r="K236" s="403">
        <f t="shared" ref="K236:M236" si="107">J181</f>
        <v>-0.2</v>
      </c>
      <c r="L236" s="403" t="str">
        <f t="shared" si="107"/>
        <v>-</v>
      </c>
      <c r="M236" s="403">
        <f t="shared" si="107"/>
        <v>0</v>
      </c>
      <c r="N236" s="343"/>
      <c r="O236" s="400">
        <v>15</v>
      </c>
      <c r="P236" s="417">
        <f>O158</f>
        <v>2.2000000000000002</v>
      </c>
    </row>
    <row r="237" spans="1:16">
      <c r="A237" s="1117"/>
      <c r="B237" s="402">
        <v>18</v>
      </c>
      <c r="C237" s="403">
        <f>C191</f>
        <v>20</v>
      </c>
      <c r="D237" s="403">
        <f t="shared" ref="D237:F237" si="108">D191</f>
        <v>9.9999999999999995E-7</v>
      </c>
      <c r="E237" s="403" t="str">
        <f t="shared" si="108"/>
        <v>-</v>
      </c>
      <c r="F237" s="403">
        <f t="shared" si="108"/>
        <v>0</v>
      </c>
      <c r="G237" s="343"/>
      <c r="H237" s="1118"/>
      <c r="I237" s="402">
        <v>18</v>
      </c>
      <c r="J237" s="403">
        <f>I191</f>
        <v>40</v>
      </c>
      <c r="K237" s="403">
        <f t="shared" ref="K237:M237" si="109">J191</f>
        <v>-0.1</v>
      </c>
      <c r="L237" s="403" t="str">
        <f t="shared" si="109"/>
        <v>-</v>
      </c>
      <c r="M237" s="403">
        <f t="shared" si="109"/>
        <v>0</v>
      </c>
      <c r="N237" s="343"/>
      <c r="O237" s="400">
        <v>16</v>
      </c>
      <c r="P237" s="417">
        <f>O169</f>
        <v>2.8</v>
      </c>
    </row>
    <row r="238" spans="1:16">
      <c r="A238" s="409"/>
      <c r="B238" s="410"/>
      <c r="C238" s="418"/>
      <c r="D238" s="418"/>
      <c r="E238" s="418"/>
      <c r="F238" s="419"/>
      <c r="G238" s="413"/>
      <c r="H238" s="409"/>
      <c r="I238" s="410"/>
      <c r="J238" s="418"/>
      <c r="K238" s="418"/>
      <c r="L238" s="418"/>
      <c r="M238" s="419"/>
      <c r="N238" s="343"/>
      <c r="O238" s="400">
        <v>17</v>
      </c>
      <c r="P238" s="417">
        <f>O179</f>
        <v>1.6</v>
      </c>
    </row>
    <row r="239" spans="1:16">
      <c r="A239" s="1117" t="s">
        <v>217</v>
      </c>
      <c r="B239" s="402">
        <v>1</v>
      </c>
      <c r="C239" s="403">
        <f>C7</f>
        <v>25</v>
      </c>
      <c r="D239" s="403">
        <f t="shared" ref="D239:F239" si="110">D7</f>
        <v>9.9999999999999995E-7</v>
      </c>
      <c r="E239" s="403">
        <f t="shared" si="110"/>
        <v>0.1</v>
      </c>
      <c r="F239" s="403">
        <f t="shared" si="110"/>
        <v>4.9999500000000002E-2</v>
      </c>
      <c r="G239" s="343"/>
      <c r="H239" s="1118" t="s">
        <v>217</v>
      </c>
      <c r="I239" s="402">
        <v>1</v>
      </c>
      <c r="J239" s="403">
        <f>I7</f>
        <v>50</v>
      </c>
      <c r="K239" s="403">
        <f t="shared" ref="K239:M239" si="111">J7</f>
        <v>-5.3</v>
      </c>
      <c r="L239" s="403">
        <f t="shared" si="111"/>
        <v>9.9999999999999995E-7</v>
      </c>
      <c r="M239" s="403">
        <f t="shared" si="111"/>
        <v>2.6500005</v>
      </c>
      <c r="N239" s="343"/>
      <c r="O239" s="400">
        <v>18</v>
      </c>
      <c r="P239" s="417">
        <f>O189</f>
        <v>2</v>
      </c>
    </row>
    <row r="240" spans="1:16">
      <c r="A240" s="1117"/>
      <c r="B240" s="402">
        <v>2</v>
      </c>
      <c r="C240" s="403">
        <f>C18</f>
        <v>25</v>
      </c>
      <c r="D240" s="403">
        <f t="shared" ref="D240:F240" si="112">D18</f>
        <v>-0.2</v>
      </c>
      <c r="E240" s="403">
        <f t="shared" si="112"/>
        <v>-0.5</v>
      </c>
      <c r="F240" s="403">
        <f t="shared" si="112"/>
        <v>0.15</v>
      </c>
      <c r="G240" s="343"/>
      <c r="H240" s="1118"/>
      <c r="I240" s="402">
        <v>2</v>
      </c>
      <c r="J240" s="403">
        <f>I18</f>
        <v>50</v>
      </c>
      <c r="K240" s="403">
        <f t="shared" ref="K240:M240" si="113">J18</f>
        <v>-1.5</v>
      </c>
      <c r="L240" s="403">
        <f t="shared" si="113"/>
        <v>-1.4</v>
      </c>
      <c r="M240" s="403">
        <f t="shared" si="113"/>
        <v>5.0000000000000044E-2</v>
      </c>
      <c r="N240" s="343"/>
      <c r="O240" s="408"/>
      <c r="P240" s="420"/>
    </row>
    <row r="241" spans="1:16">
      <c r="A241" s="1117"/>
      <c r="B241" s="402">
        <v>3</v>
      </c>
      <c r="C241" s="403">
        <f>C29</f>
        <v>25</v>
      </c>
      <c r="D241" s="403">
        <f t="shared" ref="D241:F241" si="114">D29</f>
        <v>-0.1</v>
      </c>
      <c r="E241" s="403">
        <f t="shared" si="114"/>
        <v>-0.2</v>
      </c>
      <c r="F241" s="403">
        <f t="shared" si="114"/>
        <v>0.05</v>
      </c>
      <c r="G241" s="343"/>
      <c r="H241" s="1118"/>
      <c r="I241" s="402">
        <v>3</v>
      </c>
      <c r="J241" s="403">
        <f>I29</f>
        <v>50</v>
      </c>
      <c r="K241" s="403">
        <f t="shared" ref="K241:M241" si="115">J29</f>
        <v>-4.9000000000000004</v>
      </c>
      <c r="L241" s="403">
        <f t="shared" si="115"/>
        <v>-2.2999999999999998</v>
      </c>
      <c r="M241" s="403">
        <f t="shared" si="115"/>
        <v>1.3000000000000003</v>
      </c>
      <c r="N241" s="343"/>
      <c r="O241" s="343"/>
      <c r="P241" s="421"/>
    </row>
    <row r="242" spans="1:16">
      <c r="A242" s="1117"/>
      <c r="B242" s="402">
        <v>4</v>
      </c>
      <c r="C242" s="403">
        <f>C40</f>
        <v>25</v>
      </c>
      <c r="D242" s="403">
        <f t="shared" ref="D242:F242" si="116">D40</f>
        <v>-0.5</v>
      </c>
      <c r="E242" s="403">
        <f t="shared" si="116"/>
        <v>-0.5</v>
      </c>
      <c r="F242" s="403">
        <f t="shared" si="116"/>
        <v>0</v>
      </c>
      <c r="G242" s="343"/>
      <c r="H242" s="1118"/>
      <c r="I242" s="402">
        <v>4</v>
      </c>
      <c r="J242" s="403">
        <f>I40</f>
        <v>50</v>
      </c>
      <c r="K242" s="403">
        <f t="shared" ref="K242:M242" si="117">J40</f>
        <v>-1</v>
      </c>
      <c r="L242" s="403">
        <f t="shared" si="117"/>
        <v>-1</v>
      </c>
      <c r="M242" s="403">
        <f t="shared" si="117"/>
        <v>0</v>
      </c>
      <c r="N242" s="343"/>
      <c r="O242" s="343"/>
      <c r="P242" s="421"/>
    </row>
    <row r="243" spans="1:16">
      <c r="A243" s="1117"/>
      <c r="B243" s="402">
        <v>5</v>
      </c>
      <c r="C243" s="403">
        <f>C51</f>
        <v>25</v>
      </c>
      <c r="D243" s="403">
        <f t="shared" ref="D243:F243" si="118">D51</f>
        <v>0.2</v>
      </c>
      <c r="E243" s="403">
        <f t="shared" si="118"/>
        <v>-0.3</v>
      </c>
      <c r="F243" s="403">
        <f t="shared" si="118"/>
        <v>0.25</v>
      </c>
      <c r="G243" s="343"/>
      <c r="H243" s="1118"/>
      <c r="I243" s="402">
        <v>5</v>
      </c>
      <c r="J243" s="403">
        <f>I51</f>
        <v>50</v>
      </c>
      <c r="K243" s="403">
        <f t="shared" ref="K243:M243" si="119">J51</f>
        <v>-6.2</v>
      </c>
      <c r="L243" s="403">
        <f t="shared" si="119"/>
        <v>-2.1</v>
      </c>
      <c r="M243" s="403">
        <f t="shared" si="119"/>
        <v>2.0499999999999998</v>
      </c>
      <c r="N243" s="343"/>
      <c r="O243" s="343"/>
      <c r="P243" s="421"/>
    </row>
    <row r="244" spans="1:16">
      <c r="A244" s="1117"/>
      <c r="B244" s="402">
        <v>6</v>
      </c>
      <c r="C244" s="403">
        <f>C62</f>
        <v>25</v>
      </c>
      <c r="D244" s="403">
        <f t="shared" ref="D244:F244" si="120">D62</f>
        <v>-0.1</v>
      </c>
      <c r="E244" s="403">
        <f t="shared" si="120"/>
        <v>0.1</v>
      </c>
      <c r="F244" s="403">
        <f t="shared" si="120"/>
        <v>0.1</v>
      </c>
      <c r="G244" s="343"/>
      <c r="H244" s="1118"/>
      <c r="I244" s="402">
        <v>6</v>
      </c>
      <c r="J244" s="403">
        <f>I62</f>
        <v>50</v>
      </c>
      <c r="K244" s="403">
        <f t="shared" ref="K244:M244" si="121">J62</f>
        <v>1.2</v>
      </c>
      <c r="L244" s="403">
        <f t="shared" si="121"/>
        <v>-2.5</v>
      </c>
      <c r="M244" s="403">
        <f t="shared" si="121"/>
        <v>1.85</v>
      </c>
      <c r="N244" s="343"/>
      <c r="O244" s="343"/>
      <c r="P244" s="421"/>
    </row>
    <row r="245" spans="1:16">
      <c r="A245" s="1117"/>
      <c r="B245" s="402">
        <v>7</v>
      </c>
      <c r="C245" s="403">
        <f>C73</f>
        <v>25</v>
      </c>
      <c r="D245" s="403">
        <f t="shared" ref="D245:F245" si="122">D73</f>
        <v>-0.2</v>
      </c>
      <c r="E245" s="403">
        <f t="shared" si="122"/>
        <v>9.9999999999999995E-7</v>
      </c>
      <c r="F245" s="403">
        <f t="shared" si="122"/>
        <v>0.10000050000000001</v>
      </c>
      <c r="G245" s="343"/>
      <c r="H245" s="1118"/>
      <c r="I245" s="402">
        <v>7</v>
      </c>
      <c r="J245" s="403">
        <f>I73</f>
        <v>50</v>
      </c>
      <c r="K245" s="403">
        <f t="shared" ref="K245:M245" si="123">J73</f>
        <v>0.8</v>
      </c>
      <c r="L245" s="403">
        <f t="shared" si="123"/>
        <v>0.6</v>
      </c>
      <c r="M245" s="403">
        <f t="shared" si="123"/>
        <v>0.10000000000000003</v>
      </c>
      <c r="N245" s="343"/>
      <c r="O245" s="343"/>
      <c r="P245" s="421"/>
    </row>
    <row r="246" spans="1:16">
      <c r="A246" s="1117"/>
      <c r="B246" s="402">
        <v>8</v>
      </c>
      <c r="C246" s="403">
        <f>C84</f>
        <v>25</v>
      </c>
      <c r="D246" s="403">
        <f t="shared" ref="D246:F246" si="124">D84</f>
        <v>-0.4</v>
      </c>
      <c r="E246" s="403">
        <f t="shared" si="124"/>
        <v>-0.2</v>
      </c>
      <c r="F246" s="403">
        <f t="shared" si="124"/>
        <v>0.1</v>
      </c>
      <c r="G246" s="343"/>
      <c r="H246" s="1118"/>
      <c r="I246" s="402">
        <v>8</v>
      </c>
      <c r="J246" s="403">
        <f>I84</f>
        <v>50</v>
      </c>
      <c r="K246" s="403">
        <f t="shared" ref="K246:M246" si="125">J84</f>
        <v>-1.2</v>
      </c>
      <c r="L246" s="403">
        <f t="shared" si="125"/>
        <v>1.3</v>
      </c>
      <c r="M246" s="403">
        <f t="shared" si="125"/>
        <v>1.25</v>
      </c>
      <c r="N246" s="343"/>
      <c r="O246" s="343"/>
      <c r="P246" s="421"/>
    </row>
    <row r="247" spans="1:16">
      <c r="A247" s="1117"/>
      <c r="B247" s="402">
        <v>9</v>
      </c>
      <c r="C247" s="403">
        <f>C95</f>
        <v>25</v>
      </c>
      <c r="D247" s="403">
        <f t="shared" ref="D247:F247" si="126">D95</f>
        <v>-0.4</v>
      </c>
      <c r="E247" s="403" t="str">
        <f t="shared" si="126"/>
        <v>-</v>
      </c>
      <c r="F247" s="403">
        <f t="shared" si="126"/>
        <v>0</v>
      </c>
      <c r="G247" s="343"/>
      <c r="H247" s="1118"/>
      <c r="I247" s="402">
        <v>9</v>
      </c>
      <c r="J247" s="403">
        <f>I95</f>
        <v>50</v>
      </c>
      <c r="K247" s="403">
        <f t="shared" ref="K247:M247" si="127">J95</f>
        <v>-0.9</v>
      </c>
      <c r="L247" s="403" t="str">
        <f t="shared" si="127"/>
        <v>-</v>
      </c>
      <c r="M247" s="403">
        <f t="shared" si="127"/>
        <v>0</v>
      </c>
      <c r="N247" s="343"/>
      <c r="O247" s="343"/>
      <c r="P247" s="421"/>
    </row>
    <row r="248" spans="1:16" s="19" customFormat="1">
      <c r="A248" s="1117"/>
      <c r="B248" s="402">
        <v>10</v>
      </c>
      <c r="C248" s="403">
        <f>C106</f>
        <v>25</v>
      </c>
      <c r="D248" s="403">
        <f t="shared" ref="D248:F248" si="128">D106</f>
        <v>0.1</v>
      </c>
      <c r="E248" s="403">
        <f t="shared" si="128"/>
        <v>-0.5</v>
      </c>
      <c r="F248" s="403">
        <f t="shared" si="128"/>
        <v>0.3</v>
      </c>
      <c r="G248" s="343"/>
      <c r="H248" s="1118"/>
      <c r="I248" s="402">
        <v>10</v>
      </c>
      <c r="J248" s="403">
        <f>I106</f>
        <v>50</v>
      </c>
      <c r="K248" s="403">
        <f t="shared" ref="K248:M248" si="129">J106</f>
        <v>-3.1</v>
      </c>
      <c r="L248" s="403">
        <f t="shared" si="129"/>
        <v>-6.1</v>
      </c>
      <c r="M248" s="403">
        <f t="shared" si="129"/>
        <v>1.4999999999999998</v>
      </c>
      <c r="N248" s="343"/>
      <c r="O248" s="343"/>
      <c r="P248" s="421"/>
    </row>
    <row r="249" spans="1:16" s="19" customFormat="1">
      <c r="A249" s="1117"/>
      <c r="B249" s="402">
        <v>11</v>
      </c>
      <c r="C249" s="403">
        <f>C117</f>
        <v>25</v>
      </c>
      <c r="D249" s="403">
        <f t="shared" ref="D249:F249" si="130">D117</f>
        <v>0.4</v>
      </c>
      <c r="E249" s="403" t="str">
        <f t="shared" si="130"/>
        <v>-</v>
      </c>
      <c r="F249" s="403">
        <f t="shared" si="130"/>
        <v>0</v>
      </c>
      <c r="G249" s="343"/>
      <c r="H249" s="1118"/>
      <c r="I249" s="402">
        <v>11</v>
      </c>
      <c r="J249" s="403">
        <f>I117</f>
        <v>50</v>
      </c>
      <c r="K249" s="403">
        <f t="shared" ref="K249:M249" si="131">J117</f>
        <v>-5.5</v>
      </c>
      <c r="L249" s="403" t="str">
        <f t="shared" si="131"/>
        <v>-</v>
      </c>
      <c r="M249" s="403">
        <f t="shared" si="131"/>
        <v>0</v>
      </c>
      <c r="N249" s="343"/>
      <c r="O249" s="343"/>
      <c r="P249" s="421"/>
    </row>
    <row r="250" spans="1:16" s="19" customFormat="1">
      <c r="A250" s="1117"/>
      <c r="B250" s="402">
        <v>12</v>
      </c>
      <c r="C250" s="403">
        <f>C128</f>
        <v>25</v>
      </c>
      <c r="D250" s="403">
        <f t="shared" ref="D250:F250" si="132">D128</f>
        <v>-0.1</v>
      </c>
      <c r="E250" s="403">
        <f t="shared" si="132"/>
        <v>-0.1</v>
      </c>
      <c r="F250" s="403">
        <f t="shared" si="132"/>
        <v>0</v>
      </c>
      <c r="G250" s="343"/>
      <c r="H250" s="1118"/>
      <c r="I250" s="402">
        <v>12</v>
      </c>
      <c r="J250" s="403">
        <f>I128</f>
        <v>50</v>
      </c>
      <c r="K250" s="403">
        <f t="shared" ref="K250:M250" si="133">J128</f>
        <v>0</v>
      </c>
      <c r="L250" s="403">
        <f t="shared" si="133"/>
        <v>-0.2</v>
      </c>
      <c r="M250" s="403">
        <f t="shared" si="133"/>
        <v>0.1</v>
      </c>
      <c r="N250" s="343"/>
      <c r="O250" s="343"/>
      <c r="P250" s="421"/>
    </row>
    <row r="251" spans="1:16" s="19" customFormat="1">
      <c r="A251" s="1117"/>
      <c r="B251" s="402">
        <v>13</v>
      </c>
      <c r="C251" s="403">
        <f>C139</f>
        <v>25</v>
      </c>
      <c r="D251" s="403">
        <f t="shared" ref="D251:F251" si="134">D139</f>
        <v>0.1</v>
      </c>
      <c r="E251" s="403">
        <f t="shared" si="134"/>
        <v>-0.2</v>
      </c>
      <c r="F251" s="403">
        <f t="shared" si="134"/>
        <v>0.15000000000000002</v>
      </c>
      <c r="G251" s="343"/>
      <c r="H251" s="1118"/>
      <c r="I251" s="402">
        <v>13</v>
      </c>
      <c r="J251" s="403">
        <f>I139</f>
        <v>50</v>
      </c>
      <c r="K251" s="403">
        <f t="shared" ref="K251:M251" si="135">J139</f>
        <v>-1.8</v>
      </c>
      <c r="L251" s="403">
        <f t="shared" si="135"/>
        <v>-1.3</v>
      </c>
      <c r="M251" s="403">
        <f t="shared" si="135"/>
        <v>0.25</v>
      </c>
      <c r="N251" s="343"/>
      <c r="O251" s="343"/>
      <c r="P251" s="421"/>
    </row>
    <row r="252" spans="1:16" s="19" customFormat="1">
      <c r="A252" s="1117"/>
      <c r="B252" s="402">
        <v>14</v>
      </c>
      <c r="C252" s="403">
        <f>C150</f>
        <v>25</v>
      </c>
      <c r="D252" s="403">
        <f t="shared" ref="D252:F252" si="136">D150</f>
        <v>0.2</v>
      </c>
      <c r="E252" s="403">
        <f t="shared" si="136"/>
        <v>-0.4</v>
      </c>
      <c r="F252" s="403">
        <f t="shared" si="136"/>
        <v>0.30000000000000004</v>
      </c>
      <c r="G252" s="343"/>
      <c r="H252" s="1118"/>
      <c r="I252" s="402">
        <v>14</v>
      </c>
      <c r="J252" s="403">
        <f>I150</f>
        <v>50</v>
      </c>
      <c r="K252" s="403">
        <f t="shared" ref="K252:M252" si="137">J150</f>
        <v>-1.4</v>
      </c>
      <c r="L252" s="403">
        <f t="shared" si="137"/>
        <v>-0.3</v>
      </c>
      <c r="M252" s="403">
        <f t="shared" si="137"/>
        <v>0.54999999999999993</v>
      </c>
      <c r="N252" s="343"/>
      <c r="O252" s="343"/>
      <c r="P252" s="421"/>
    </row>
    <row r="253" spans="1:16" s="19" customFormat="1">
      <c r="A253" s="1117"/>
      <c r="B253" s="402">
        <v>15</v>
      </c>
      <c r="C253" s="403">
        <f>C161</f>
        <v>25</v>
      </c>
      <c r="D253" s="403">
        <f t="shared" ref="D253:F253" si="138">D161</f>
        <v>0.2</v>
      </c>
      <c r="E253" s="403" t="str">
        <f t="shared" si="138"/>
        <v>-</v>
      </c>
      <c r="F253" s="403">
        <f t="shared" si="138"/>
        <v>0</v>
      </c>
      <c r="G253" s="343"/>
      <c r="H253" s="1118"/>
      <c r="I253" s="402">
        <v>15</v>
      </c>
      <c r="J253" s="403">
        <f>I161</f>
        <v>50</v>
      </c>
      <c r="K253" s="403">
        <f t="shared" ref="K253:M253" si="139">J161</f>
        <v>-1.4</v>
      </c>
      <c r="L253" s="403" t="str">
        <f t="shared" si="139"/>
        <v>-</v>
      </c>
      <c r="M253" s="403">
        <f t="shared" si="139"/>
        <v>0</v>
      </c>
      <c r="N253" s="343"/>
      <c r="O253" s="343"/>
      <c r="P253" s="421"/>
    </row>
    <row r="254" spans="1:16" s="19" customFormat="1">
      <c r="A254" s="1117"/>
      <c r="B254" s="402">
        <v>16</v>
      </c>
      <c r="C254" s="403">
        <f>C172</f>
        <v>25</v>
      </c>
      <c r="D254" s="403">
        <f t="shared" ref="D254:F254" si="140">D172</f>
        <v>9.9999999999999995E-7</v>
      </c>
      <c r="E254" s="403" t="str">
        <f t="shared" si="140"/>
        <v>-</v>
      </c>
      <c r="F254" s="403">
        <f t="shared" si="140"/>
        <v>0</v>
      </c>
      <c r="G254" s="343"/>
      <c r="H254" s="1118"/>
      <c r="I254" s="402">
        <v>16</v>
      </c>
      <c r="J254" s="403">
        <f>I172</f>
        <v>50</v>
      </c>
      <c r="K254" s="403">
        <f t="shared" ref="K254:M254" si="141">J172</f>
        <v>0.2</v>
      </c>
      <c r="L254" s="403" t="str">
        <f t="shared" si="141"/>
        <v>-</v>
      </c>
      <c r="M254" s="403">
        <f t="shared" si="141"/>
        <v>0</v>
      </c>
      <c r="N254" s="343"/>
      <c r="O254" s="343"/>
      <c r="P254" s="421"/>
    </row>
    <row r="255" spans="1:16" s="19" customFormat="1">
      <c r="A255" s="1117"/>
      <c r="B255" s="402">
        <v>17</v>
      </c>
      <c r="C255" s="403">
        <f>C182</f>
        <v>25</v>
      </c>
      <c r="D255" s="403">
        <f t="shared" ref="D255:F255" si="142">D182</f>
        <v>-0.2</v>
      </c>
      <c r="E255" s="403" t="str">
        <f t="shared" si="142"/>
        <v>-</v>
      </c>
      <c r="F255" s="403">
        <f t="shared" si="142"/>
        <v>0</v>
      </c>
      <c r="G255" s="343"/>
      <c r="H255" s="1118"/>
      <c r="I255" s="402">
        <v>17</v>
      </c>
      <c r="J255" s="403">
        <f>I182</f>
        <v>50</v>
      </c>
      <c r="K255" s="403">
        <f t="shared" ref="K255:M255" si="143">J182</f>
        <v>-0.2</v>
      </c>
      <c r="L255" s="403" t="str">
        <f t="shared" si="143"/>
        <v>-</v>
      </c>
      <c r="M255" s="403">
        <f t="shared" si="143"/>
        <v>0</v>
      </c>
      <c r="N255" s="343"/>
      <c r="O255" s="343"/>
      <c r="P255" s="421"/>
    </row>
    <row r="256" spans="1:16" s="19" customFormat="1">
      <c r="A256" s="1117"/>
      <c r="B256" s="402">
        <v>18</v>
      </c>
      <c r="C256" s="403">
        <f>C192</f>
        <v>25</v>
      </c>
      <c r="D256" s="403">
        <f t="shared" ref="D256:F256" si="144">D192</f>
        <v>9.9999999999999995E-7</v>
      </c>
      <c r="E256" s="403" t="str">
        <f t="shared" si="144"/>
        <v>-</v>
      </c>
      <c r="F256" s="403">
        <f t="shared" si="144"/>
        <v>0</v>
      </c>
      <c r="G256" s="343"/>
      <c r="H256" s="1118"/>
      <c r="I256" s="402">
        <v>18</v>
      </c>
      <c r="J256" s="403">
        <f>I192</f>
        <v>50</v>
      </c>
      <c r="K256" s="403">
        <f t="shared" ref="K256:M256" si="145">J192</f>
        <v>9.9999999999999995E-7</v>
      </c>
      <c r="L256" s="403" t="str">
        <f t="shared" si="145"/>
        <v>-</v>
      </c>
      <c r="M256" s="403">
        <f t="shared" si="145"/>
        <v>0</v>
      </c>
      <c r="N256" s="343"/>
      <c r="O256" s="343"/>
      <c r="P256" s="421"/>
    </row>
    <row r="257" spans="1:16" s="19" customFormat="1">
      <c r="A257" s="409"/>
      <c r="B257" s="410"/>
      <c r="C257" s="418"/>
      <c r="D257" s="418"/>
      <c r="E257" s="418"/>
      <c r="F257" s="419"/>
      <c r="G257" s="413"/>
      <c r="H257" s="409"/>
      <c r="I257" s="422"/>
      <c r="J257" s="418"/>
      <c r="K257" s="418"/>
      <c r="L257" s="418"/>
      <c r="M257" s="419"/>
      <c r="N257" s="343"/>
      <c r="O257" s="343"/>
      <c r="P257" s="421"/>
    </row>
    <row r="258" spans="1:16" s="19" customFormat="1">
      <c r="A258" s="1117" t="s">
        <v>218</v>
      </c>
      <c r="B258" s="402">
        <v>1</v>
      </c>
      <c r="C258" s="403">
        <f>C8</f>
        <v>30</v>
      </c>
      <c r="D258" s="403">
        <f t="shared" ref="D258:F258" si="146">D8</f>
        <v>9.9999999999999995E-7</v>
      </c>
      <c r="E258" s="403">
        <f t="shared" si="146"/>
        <v>-0.2</v>
      </c>
      <c r="F258" s="403">
        <f t="shared" si="146"/>
        <v>0.10000050000000001</v>
      </c>
      <c r="G258" s="343"/>
      <c r="H258" s="1118" t="s">
        <v>218</v>
      </c>
      <c r="I258" s="402">
        <v>1</v>
      </c>
      <c r="J258" s="403">
        <f>I8</f>
        <v>60</v>
      </c>
      <c r="K258" s="403">
        <f t="shared" ref="K258:M258" si="147">J8</f>
        <v>-4.4000000000000004</v>
      </c>
      <c r="L258" s="403">
        <f t="shared" si="147"/>
        <v>9.9999999999999995E-7</v>
      </c>
      <c r="M258" s="403">
        <f t="shared" si="147"/>
        <v>2.2000005000000002</v>
      </c>
      <c r="N258" s="343"/>
      <c r="O258" s="343"/>
      <c r="P258" s="421"/>
    </row>
    <row r="259" spans="1:16" s="19" customFormat="1">
      <c r="A259" s="1117"/>
      <c r="B259" s="402">
        <v>2</v>
      </c>
      <c r="C259" s="403">
        <f>C19</f>
        <v>30</v>
      </c>
      <c r="D259" s="403">
        <f t="shared" ref="D259:F259" si="148">D19</f>
        <v>-0.3</v>
      </c>
      <c r="E259" s="403">
        <f t="shared" si="148"/>
        <v>-1</v>
      </c>
      <c r="F259" s="403">
        <f t="shared" si="148"/>
        <v>0.35</v>
      </c>
      <c r="G259" s="343"/>
      <c r="H259" s="1118"/>
      <c r="I259" s="402">
        <v>2</v>
      </c>
      <c r="J259" s="403">
        <f>I19</f>
        <v>60</v>
      </c>
      <c r="K259" s="403">
        <f t="shared" ref="K259:M259" si="149">J19</f>
        <v>-1.3</v>
      </c>
      <c r="L259" s="403">
        <f t="shared" si="149"/>
        <v>-1.3</v>
      </c>
      <c r="M259" s="403">
        <f t="shared" si="149"/>
        <v>0</v>
      </c>
      <c r="N259" s="343"/>
      <c r="O259" s="343"/>
      <c r="P259" s="421"/>
    </row>
    <row r="260" spans="1:16" s="19" customFormat="1">
      <c r="A260" s="1117"/>
      <c r="B260" s="402">
        <v>3</v>
      </c>
      <c r="C260" s="403">
        <f>C30</f>
        <v>30</v>
      </c>
      <c r="D260" s="403">
        <f t="shared" ref="D260:F260" si="150">D30</f>
        <v>-0.3</v>
      </c>
      <c r="E260" s="403">
        <f t="shared" si="150"/>
        <v>-0.3</v>
      </c>
      <c r="F260" s="403">
        <f t="shared" si="150"/>
        <v>0</v>
      </c>
      <c r="G260" s="343"/>
      <c r="H260" s="1118"/>
      <c r="I260" s="402">
        <v>3</v>
      </c>
      <c r="J260" s="403">
        <f>I30</f>
        <v>60</v>
      </c>
      <c r="K260" s="403">
        <f t="shared" ref="K260:M260" si="151">J30</f>
        <v>-4.3</v>
      </c>
      <c r="L260" s="403">
        <f t="shared" si="151"/>
        <v>-2.2000000000000002</v>
      </c>
      <c r="M260" s="403">
        <f t="shared" si="151"/>
        <v>1.0499999999999998</v>
      </c>
      <c r="N260" s="343"/>
      <c r="O260" s="343"/>
      <c r="P260" s="421"/>
    </row>
    <row r="261" spans="1:16" s="19" customFormat="1">
      <c r="A261" s="1117"/>
      <c r="B261" s="402">
        <v>4</v>
      </c>
      <c r="C261" s="403">
        <f>C41</f>
        <v>30</v>
      </c>
      <c r="D261" s="403">
        <f t="shared" ref="D261:F261" si="152">D41</f>
        <v>-0.6</v>
      </c>
      <c r="E261" s="403">
        <f t="shared" si="152"/>
        <v>-1</v>
      </c>
      <c r="F261" s="403">
        <f t="shared" si="152"/>
        <v>0.2</v>
      </c>
      <c r="G261" s="343"/>
      <c r="H261" s="1118"/>
      <c r="I261" s="402">
        <v>4</v>
      </c>
      <c r="J261" s="403">
        <f>I41</f>
        <v>60</v>
      </c>
      <c r="K261" s="403">
        <f t="shared" ref="K261:M261" si="153">J41</f>
        <v>-0.3</v>
      </c>
      <c r="L261" s="403">
        <f t="shared" si="153"/>
        <v>-0.9</v>
      </c>
      <c r="M261" s="403">
        <f t="shared" si="153"/>
        <v>0.30000000000000004</v>
      </c>
      <c r="N261" s="343"/>
      <c r="O261" s="343"/>
      <c r="P261" s="421"/>
    </row>
    <row r="262" spans="1:16">
      <c r="A262" s="1117"/>
      <c r="B262" s="402">
        <v>5</v>
      </c>
      <c r="C262" s="403">
        <f>C52</f>
        <v>30</v>
      </c>
      <c r="D262" s="403">
        <f t="shared" ref="D262:F262" si="154">D52</f>
        <v>0.1</v>
      </c>
      <c r="E262" s="403">
        <f t="shared" si="154"/>
        <v>-0.7</v>
      </c>
      <c r="F262" s="403">
        <f t="shared" si="154"/>
        <v>0.39999999999999997</v>
      </c>
      <c r="G262" s="343"/>
      <c r="H262" s="1118"/>
      <c r="I262" s="402">
        <v>5</v>
      </c>
      <c r="J262" s="403">
        <f>I52</f>
        <v>60</v>
      </c>
      <c r="K262" s="403">
        <f t="shared" ref="K262:M262" si="155">J52</f>
        <v>-4.2</v>
      </c>
      <c r="L262" s="403">
        <f t="shared" si="155"/>
        <v>-2</v>
      </c>
      <c r="M262" s="403">
        <f t="shared" si="155"/>
        <v>1.1000000000000001</v>
      </c>
      <c r="N262" s="343"/>
      <c r="O262" s="343"/>
      <c r="P262" s="421"/>
    </row>
    <row r="263" spans="1:16">
      <c r="A263" s="1117"/>
      <c r="B263" s="402">
        <v>6</v>
      </c>
      <c r="C263" s="403">
        <f>C63</f>
        <v>30</v>
      </c>
      <c r="D263" s="403">
        <f t="shared" ref="D263:F263" si="156">D63</f>
        <v>-0.5</v>
      </c>
      <c r="E263" s="403">
        <f t="shared" si="156"/>
        <v>0.13</v>
      </c>
      <c r="F263" s="403">
        <f t="shared" si="156"/>
        <v>0.315</v>
      </c>
      <c r="G263" s="343"/>
      <c r="H263" s="1118"/>
      <c r="I263" s="402">
        <v>6</v>
      </c>
      <c r="J263" s="403">
        <f>I63</f>
        <v>60</v>
      </c>
      <c r="K263" s="403">
        <f t="shared" ref="K263:M263" si="157">J63</f>
        <v>1.1000000000000001</v>
      </c>
      <c r="L263" s="403">
        <f t="shared" si="157"/>
        <v>-2</v>
      </c>
      <c r="M263" s="403">
        <f t="shared" si="157"/>
        <v>1.55</v>
      </c>
      <c r="N263" s="343"/>
      <c r="O263" s="343"/>
      <c r="P263" s="421"/>
    </row>
    <row r="264" spans="1:16">
      <c r="A264" s="1117"/>
      <c r="B264" s="402">
        <v>7</v>
      </c>
      <c r="C264" s="403">
        <f>C74</f>
        <v>30</v>
      </c>
      <c r="D264" s="403">
        <f t="shared" ref="D264:F264" si="158">D74</f>
        <v>-0.6</v>
      </c>
      <c r="E264" s="403">
        <f t="shared" si="158"/>
        <v>-0.1</v>
      </c>
      <c r="F264" s="403">
        <f t="shared" si="158"/>
        <v>0.25</v>
      </c>
      <c r="G264" s="343"/>
      <c r="H264" s="1118"/>
      <c r="I264" s="402">
        <v>7</v>
      </c>
      <c r="J264" s="403">
        <f>I74</f>
        <v>60</v>
      </c>
      <c r="K264" s="403">
        <f t="shared" ref="K264:M264" si="159">J74</f>
        <v>0.7</v>
      </c>
      <c r="L264" s="403">
        <f t="shared" si="159"/>
        <v>1.5</v>
      </c>
      <c r="M264" s="403">
        <f t="shared" si="159"/>
        <v>0.4</v>
      </c>
      <c r="N264" s="343"/>
      <c r="O264" s="343"/>
      <c r="P264" s="421"/>
    </row>
    <row r="265" spans="1:16">
      <c r="A265" s="1117"/>
      <c r="B265" s="402">
        <v>8</v>
      </c>
      <c r="C265" s="403">
        <f>C85</f>
        <v>30</v>
      </c>
      <c r="D265" s="403">
        <f t="shared" ref="D265:F265" si="160">D85</f>
        <v>-0.4</v>
      </c>
      <c r="E265" s="403">
        <f t="shared" si="160"/>
        <v>-0.2</v>
      </c>
      <c r="F265" s="403">
        <f t="shared" si="160"/>
        <v>0.1</v>
      </c>
      <c r="G265" s="343"/>
      <c r="H265" s="1118"/>
      <c r="I265" s="402">
        <v>8</v>
      </c>
      <c r="J265" s="403">
        <f>I85</f>
        <v>60</v>
      </c>
      <c r="K265" s="403">
        <f t="shared" ref="K265:M265" si="161">J85</f>
        <v>-1.1000000000000001</v>
      </c>
      <c r="L265" s="403">
        <f t="shared" si="161"/>
        <v>1.7</v>
      </c>
      <c r="M265" s="403">
        <f t="shared" si="161"/>
        <v>1.4</v>
      </c>
      <c r="N265" s="343"/>
      <c r="O265" s="343"/>
      <c r="P265" s="421"/>
    </row>
    <row r="266" spans="1:16">
      <c r="A266" s="1117"/>
      <c r="B266" s="402">
        <v>9</v>
      </c>
      <c r="C266" s="403">
        <f>C96</f>
        <v>30</v>
      </c>
      <c r="D266" s="403">
        <f t="shared" ref="D266:F266" si="162">D96</f>
        <v>-0.5</v>
      </c>
      <c r="E266" s="403" t="str">
        <f t="shared" si="162"/>
        <v>-</v>
      </c>
      <c r="F266" s="403">
        <f t="shared" si="162"/>
        <v>0</v>
      </c>
      <c r="G266" s="343"/>
      <c r="H266" s="1118"/>
      <c r="I266" s="402">
        <v>9</v>
      </c>
      <c r="J266" s="403">
        <f>I96</f>
        <v>60</v>
      </c>
      <c r="K266" s="403">
        <f t="shared" ref="K266:M266" si="163">J96</f>
        <v>-0.8</v>
      </c>
      <c r="L266" s="403" t="str">
        <f t="shared" si="163"/>
        <v>-</v>
      </c>
      <c r="M266" s="403">
        <f t="shared" si="163"/>
        <v>0</v>
      </c>
      <c r="N266" s="343"/>
      <c r="O266" s="343"/>
      <c r="P266" s="421"/>
    </row>
    <row r="267" spans="1:16">
      <c r="A267" s="1117"/>
      <c r="B267" s="402">
        <v>10</v>
      </c>
      <c r="C267" s="403">
        <f>C107</f>
        <v>30</v>
      </c>
      <c r="D267" s="403">
        <f t="shared" ref="D267:F267" si="164">D107</f>
        <v>0.1</v>
      </c>
      <c r="E267" s="403">
        <f t="shared" si="164"/>
        <v>0.2</v>
      </c>
      <c r="F267" s="403">
        <f t="shared" si="164"/>
        <v>0.05</v>
      </c>
      <c r="G267" s="343"/>
      <c r="H267" s="1118"/>
      <c r="I267" s="402">
        <v>10</v>
      </c>
      <c r="J267" s="403">
        <f>I107</f>
        <v>60</v>
      </c>
      <c r="K267" s="403">
        <f t="shared" ref="K267:M267" si="165">J107</f>
        <v>-2.1</v>
      </c>
      <c r="L267" s="403">
        <f t="shared" si="165"/>
        <v>-5.6</v>
      </c>
      <c r="M267" s="403">
        <f t="shared" si="165"/>
        <v>1.7499999999999998</v>
      </c>
      <c r="N267" s="343"/>
      <c r="O267" s="343"/>
      <c r="P267" s="421"/>
    </row>
    <row r="268" spans="1:16">
      <c r="A268" s="1117"/>
      <c r="B268" s="402">
        <v>11</v>
      </c>
      <c r="C268" s="403">
        <f>C118</f>
        <v>30</v>
      </c>
      <c r="D268" s="403">
        <f t="shared" ref="D268:F268" si="166">D118</f>
        <v>0.5</v>
      </c>
      <c r="E268" s="403" t="str">
        <f t="shared" si="166"/>
        <v>-</v>
      </c>
      <c r="F268" s="403">
        <f t="shared" si="166"/>
        <v>0</v>
      </c>
      <c r="G268" s="343"/>
      <c r="H268" s="1118"/>
      <c r="I268" s="402">
        <v>11</v>
      </c>
      <c r="J268" s="403">
        <f>I118</f>
        <v>60</v>
      </c>
      <c r="K268" s="403">
        <f t="shared" ref="K268:M268" si="167">J118</f>
        <v>-4.8</v>
      </c>
      <c r="L268" s="403" t="str">
        <f t="shared" si="167"/>
        <v>-</v>
      </c>
      <c r="M268" s="403">
        <f t="shared" si="167"/>
        <v>0</v>
      </c>
      <c r="N268" s="343"/>
      <c r="O268" s="343"/>
      <c r="P268" s="421"/>
    </row>
    <row r="269" spans="1:16">
      <c r="A269" s="1117"/>
      <c r="B269" s="402">
        <v>12</v>
      </c>
      <c r="C269" s="403">
        <f>C129</f>
        <v>30</v>
      </c>
      <c r="D269" s="403">
        <f t="shared" ref="D269:F269" si="168">D129</f>
        <v>-0.4</v>
      </c>
      <c r="E269" s="403">
        <f t="shared" si="168"/>
        <v>-0.3</v>
      </c>
      <c r="F269" s="403">
        <f t="shared" si="168"/>
        <v>5.0000000000000017E-2</v>
      </c>
      <c r="G269" s="343"/>
      <c r="H269" s="1118"/>
      <c r="I269" s="402">
        <v>12</v>
      </c>
      <c r="J269" s="403">
        <f>I129</f>
        <v>60</v>
      </c>
      <c r="K269" s="403">
        <f t="shared" ref="K269:M269" si="169">J129</f>
        <v>0.3</v>
      </c>
      <c r="L269" s="403">
        <f t="shared" si="169"/>
        <v>-0.6</v>
      </c>
      <c r="M269" s="403">
        <f t="shared" si="169"/>
        <v>0.44999999999999996</v>
      </c>
      <c r="N269" s="343"/>
      <c r="O269" s="343"/>
      <c r="P269" s="421"/>
    </row>
    <row r="270" spans="1:16">
      <c r="A270" s="1117"/>
      <c r="B270" s="402">
        <v>13</v>
      </c>
      <c r="C270" s="403">
        <f>C140</f>
        <v>30</v>
      </c>
      <c r="D270" s="403">
        <f t="shared" ref="D270:F270" si="170">D140</f>
        <v>-0.1</v>
      </c>
      <c r="E270" s="403">
        <f t="shared" si="170"/>
        <v>0.1</v>
      </c>
      <c r="F270" s="403">
        <f t="shared" si="170"/>
        <v>0.1</v>
      </c>
      <c r="G270" s="343"/>
      <c r="H270" s="1118"/>
      <c r="I270" s="402">
        <v>13</v>
      </c>
      <c r="J270" s="403">
        <f>I140</f>
        <v>60</v>
      </c>
      <c r="K270" s="403">
        <f t="shared" ref="K270:M270" si="171">J140</f>
        <v>-1.6</v>
      </c>
      <c r="L270" s="403">
        <f t="shared" si="171"/>
        <v>-1.5</v>
      </c>
      <c r="M270" s="403">
        <f t="shared" si="171"/>
        <v>5.0000000000000044E-2</v>
      </c>
      <c r="N270" s="343"/>
      <c r="O270" s="343"/>
      <c r="P270" s="421"/>
    </row>
    <row r="271" spans="1:16">
      <c r="A271" s="1117"/>
      <c r="B271" s="402">
        <v>14</v>
      </c>
      <c r="C271" s="403">
        <f>C151</f>
        <v>30</v>
      </c>
      <c r="D271" s="403">
        <f t="shared" ref="D271:F271" si="172">D151</f>
        <v>0.4</v>
      </c>
      <c r="E271" s="403">
        <f t="shared" si="172"/>
        <v>-0.2</v>
      </c>
      <c r="F271" s="403">
        <f t="shared" si="172"/>
        <v>0.30000000000000004</v>
      </c>
      <c r="G271" s="343"/>
      <c r="H271" s="1118"/>
      <c r="I271" s="402">
        <v>14</v>
      </c>
      <c r="J271" s="403">
        <f>I151</f>
        <v>60</v>
      </c>
      <c r="K271" s="403">
        <f t="shared" ref="K271:M271" si="173">J151</f>
        <v>-1.1000000000000001</v>
      </c>
      <c r="L271" s="403">
        <f t="shared" si="173"/>
        <v>-0.5</v>
      </c>
      <c r="M271" s="403">
        <f t="shared" si="173"/>
        <v>0.30000000000000004</v>
      </c>
      <c r="N271" s="343"/>
      <c r="O271" s="343"/>
      <c r="P271" s="421"/>
    </row>
    <row r="272" spans="1:16">
      <c r="A272" s="1117"/>
      <c r="B272" s="402">
        <v>15</v>
      </c>
      <c r="C272" s="403">
        <f>C162</f>
        <v>30</v>
      </c>
      <c r="D272" s="403">
        <f t="shared" ref="D272:F272" si="174">D162</f>
        <v>0.2</v>
      </c>
      <c r="E272" s="403" t="str">
        <f t="shared" si="174"/>
        <v>-</v>
      </c>
      <c r="F272" s="403">
        <f t="shared" si="174"/>
        <v>0</v>
      </c>
      <c r="G272" s="343"/>
      <c r="H272" s="1118"/>
      <c r="I272" s="402">
        <v>15</v>
      </c>
      <c r="J272" s="403">
        <f>I162</f>
        <v>60</v>
      </c>
      <c r="K272" s="403">
        <f t="shared" ref="K272:M272" si="175">J162</f>
        <v>-1.5</v>
      </c>
      <c r="L272" s="403" t="str">
        <f t="shared" si="175"/>
        <v>-</v>
      </c>
      <c r="M272" s="403">
        <f t="shared" si="175"/>
        <v>0</v>
      </c>
      <c r="N272" s="343"/>
      <c r="O272" s="343"/>
      <c r="P272" s="421"/>
    </row>
    <row r="273" spans="1:16">
      <c r="A273" s="1117"/>
      <c r="B273" s="402">
        <v>16</v>
      </c>
      <c r="C273" s="403">
        <f>C173</f>
        <v>30</v>
      </c>
      <c r="D273" s="403">
        <f t="shared" ref="D273:F273" si="176">D173</f>
        <v>-0.2</v>
      </c>
      <c r="E273" s="403" t="str">
        <f t="shared" si="176"/>
        <v>-</v>
      </c>
      <c r="F273" s="403">
        <f t="shared" si="176"/>
        <v>0</v>
      </c>
      <c r="G273" s="343"/>
      <c r="H273" s="1118"/>
      <c r="I273" s="402">
        <v>16</v>
      </c>
      <c r="J273" s="403">
        <f>I173</f>
        <v>60</v>
      </c>
      <c r="K273" s="403">
        <f t="shared" ref="K273:M273" si="177">J173</f>
        <v>9.9999999999999995E-7</v>
      </c>
      <c r="L273" s="403" t="str">
        <f t="shared" si="177"/>
        <v>-</v>
      </c>
      <c r="M273" s="403">
        <f t="shared" si="177"/>
        <v>0</v>
      </c>
      <c r="N273" s="343"/>
      <c r="O273" s="343"/>
      <c r="P273" s="421"/>
    </row>
    <row r="274" spans="1:16">
      <c r="A274" s="1117"/>
      <c r="B274" s="402">
        <v>17</v>
      </c>
      <c r="C274" s="403">
        <f>C183</f>
        <v>30</v>
      </c>
      <c r="D274" s="403">
        <f t="shared" ref="D274:F274" si="178">D183</f>
        <v>-0.2</v>
      </c>
      <c r="E274" s="403" t="str">
        <f t="shared" si="178"/>
        <v>-</v>
      </c>
      <c r="F274" s="403">
        <f t="shared" si="178"/>
        <v>0</v>
      </c>
      <c r="G274" s="343"/>
      <c r="H274" s="1118"/>
      <c r="I274" s="402">
        <v>17</v>
      </c>
      <c r="J274" s="403">
        <f>I183</f>
        <v>60</v>
      </c>
      <c r="K274" s="403">
        <f t="shared" ref="K274:M274" si="179">J183</f>
        <v>-0.2</v>
      </c>
      <c r="L274" s="403" t="str">
        <f t="shared" si="179"/>
        <v>-</v>
      </c>
      <c r="M274" s="403">
        <f t="shared" si="179"/>
        <v>0</v>
      </c>
      <c r="N274" s="343"/>
      <c r="O274" s="343"/>
      <c r="P274" s="421"/>
    </row>
    <row r="275" spans="1:16">
      <c r="A275" s="1117"/>
      <c r="B275" s="402">
        <v>18</v>
      </c>
      <c r="C275" s="403">
        <f>C193</f>
        <v>30</v>
      </c>
      <c r="D275" s="403">
        <f t="shared" ref="D275:F275" si="180">D193</f>
        <v>-0.1</v>
      </c>
      <c r="E275" s="403" t="str">
        <f t="shared" si="180"/>
        <v>-</v>
      </c>
      <c r="F275" s="403">
        <f t="shared" si="180"/>
        <v>0</v>
      </c>
      <c r="G275" s="343"/>
      <c r="H275" s="1118"/>
      <c r="I275" s="402">
        <v>18</v>
      </c>
      <c r="J275" s="403">
        <f>I193</f>
        <v>60</v>
      </c>
      <c r="K275" s="403">
        <f t="shared" ref="K275:M275" si="181">J193</f>
        <v>9.9999999999999995E-7</v>
      </c>
      <c r="L275" s="403" t="str">
        <f t="shared" si="181"/>
        <v>-</v>
      </c>
      <c r="M275" s="403">
        <f t="shared" si="181"/>
        <v>0</v>
      </c>
      <c r="N275" s="343"/>
      <c r="O275" s="343"/>
      <c r="P275" s="421"/>
    </row>
    <row r="276" spans="1:16">
      <c r="A276" s="409"/>
      <c r="B276" s="410"/>
      <c r="C276" s="418"/>
      <c r="D276" s="418"/>
      <c r="E276" s="418"/>
      <c r="F276" s="419"/>
      <c r="G276" s="413"/>
      <c r="H276" s="409"/>
      <c r="I276" s="422"/>
      <c r="J276" s="418"/>
      <c r="K276" s="418"/>
      <c r="L276" s="418"/>
      <c r="M276" s="419"/>
      <c r="N276" s="343"/>
      <c r="O276" s="343"/>
      <c r="P276" s="421"/>
    </row>
    <row r="277" spans="1:16">
      <c r="A277" s="1117" t="s">
        <v>219</v>
      </c>
      <c r="B277" s="402">
        <v>1</v>
      </c>
      <c r="C277" s="403">
        <f>C9</f>
        <v>35</v>
      </c>
      <c r="D277" s="403">
        <f t="shared" ref="D277:F277" si="182">D9</f>
        <v>-0.1</v>
      </c>
      <c r="E277" s="403">
        <f t="shared" si="182"/>
        <v>-0.5</v>
      </c>
      <c r="F277" s="403">
        <f t="shared" si="182"/>
        <v>0.2</v>
      </c>
      <c r="G277" s="343"/>
      <c r="H277" s="1118" t="s">
        <v>219</v>
      </c>
      <c r="I277" s="402">
        <v>1</v>
      </c>
      <c r="J277" s="403">
        <f>I20</f>
        <v>70</v>
      </c>
      <c r="K277" s="403">
        <f t="shared" ref="K277:M277" si="183">J20</f>
        <v>-1.1000000000000001</v>
      </c>
      <c r="L277" s="403">
        <f t="shared" si="183"/>
        <v>-1</v>
      </c>
      <c r="M277" s="403">
        <f t="shared" si="183"/>
        <v>5.0000000000000044E-2</v>
      </c>
      <c r="N277" s="343"/>
      <c r="O277" s="343"/>
      <c r="P277" s="421"/>
    </row>
    <row r="278" spans="1:16">
      <c r="A278" s="1117"/>
      <c r="B278" s="402">
        <v>2</v>
      </c>
      <c r="C278" s="403">
        <f>C20</f>
        <v>35</v>
      </c>
      <c r="D278" s="403">
        <f t="shared" ref="D278:F278" si="184">D20</f>
        <v>-0.3</v>
      </c>
      <c r="E278" s="403">
        <f t="shared" si="184"/>
        <v>-1.6</v>
      </c>
      <c r="F278" s="403">
        <f t="shared" si="184"/>
        <v>0.65</v>
      </c>
      <c r="G278" s="343"/>
      <c r="H278" s="1118"/>
      <c r="I278" s="402">
        <v>2</v>
      </c>
      <c r="J278" s="403">
        <f>I20</f>
        <v>70</v>
      </c>
      <c r="K278" s="403">
        <f t="shared" ref="K278:M278" si="185">J20</f>
        <v>-1.1000000000000001</v>
      </c>
      <c r="L278" s="403">
        <f t="shared" si="185"/>
        <v>-1</v>
      </c>
      <c r="M278" s="403">
        <f t="shared" si="185"/>
        <v>5.0000000000000044E-2</v>
      </c>
      <c r="N278" s="343"/>
      <c r="O278" s="343"/>
      <c r="P278" s="421"/>
    </row>
    <row r="279" spans="1:16">
      <c r="A279" s="1117"/>
      <c r="B279" s="402">
        <v>3</v>
      </c>
      <c r="C279" s="403">
        <f>C31</f>
        <v>35</v>
      </c>
      <c r="D279" s="403">
        <f t="shared" ref="D279:F279" si="186">D31</f>
        <v>-0.5</v>
      </c>
      <c r="E279" s="403">
        <f t="shared" si="186"/>
        <v>-0.4</v>
      </c>
      <c r="F279" s="403">
        <f t="shared" si="186"/>
        <v>4.9999999999999989E-2</v>
      </c>
      <c r="G279" s="343"/>
      <c r="H279" s="1118"/>
      <c r="I279" s="402">
        <v>3</v>
      </c>
      <c r="J279" s="403">
        <f>I31</f>
        <v>70</v>
      </c>
      <c r="K279" s="403">
        <f t="shared" ref="K279:M279" si="187">J31</f>
        <v>-3.6</v>
      </c>
      <c r="L279" s="403">
        <f t="shared" si="187"/>
        <v>-1.6</v>
      </c>
      <c r="M279" s="403">
        <f t="shared" si="187"/>
        <v>1</v>
      </c>
      <c r="N279" s="343"/>
      <c r="O279" s="343"/>
      <c r="P279" s="421"/>
    </row>
    <row r="280" spans="1:16">
      <c r="A280" s="1117"/>
      <c r="B280" s="402">
        <v>4</v>
      </c>
      <c r="C280" s="403">
        <f>C42</f>
        <v>35</v>
      </c>
      <c r="D280" s="403">
        <f t="shared" ref="D280:F280" si="188">D42</f>
        <v>-0.6</v>
      </c>
      <c r="E280" s="403">
        <f t="shared" si="188"/>
        <v>-1.5</v>
      </c>
      <c r="F280" s="403">
        <f t="shared" si="188"/>
        <v>0.45</v>
      </c>
      <c r="G280" s="343"/>
      <c r="H280" s="1118"/>
      <c r="I280" s="402">
        <v>4</v>
      </c>
      <c r="J280" s="403">
        <f>I42</f>
        <v>70</v>
      </c>
      <c r="K280" s="403">
        <f t="shared" ref="K280:M280" si="189">J42</f>
        <v>0.7</v>
      </c>
      <c r="L280" s="403">
        <f t="shared" si="189"/>
        <v>-0.7</v>
      </c>
      <c r="M280" s="403">
        <f t="shared" si="189"/>
        <v>0.7</v>
      </c>
      <c r="N280" s="343"/>
      <c r="O280" s="343"/>
      <c r="P280" s="421"/>
    </row>
    <row r="281" spans="1:16">
      <c r="A281" s="1117"/>
      <c r="B281" s="402">
        <v>5</v>
      </c>
      <c r="C281" s="403">
        <f>C53</f>
        <v>35</v>
      </c>
      <c r="D281" s="403">
        <f t="shared" ref="D281:F281" si="190">D53</f>
        <v>9.9999999999999995E-7</v>
      </c>
      <c r="E281" s="403">
        <f t="shared" si="190"/>
        <v>-1.1000000000000001</v>
      </c>
      <c r="F281" s="403">
        <f t="shared" si="190"/>
        <v>0.5500005</v>
      </c>
      <c r="G281" s="343"/>
      <c r="H281" s="1118"/>
      <c r="I281" s="402">
        <v>5</v>
      </c>
      <c r="J281" s="403">
        <f>I53</f>
        <v>70</v>
      </c>
      <c r="K281" s="403">
        <f t="shared" ref="K281:M281" si="191">J53</f>
        <v>-2.1</v>
      </c>
      <c r="L281" s="403">
        <f t="shared" si="191"/>
        <v>-1.6</v>
      </c>
      <c r="M281" s="403">
        <f t="shared" si="191"/>
        <v>0.25</v>
      </c>
      <c r="N281" s="343"/>
      <c r="O281" s="343"/>
      <c r="P281" s="421"/>
    </row>
    <row r="282" spans="1:16">
      <c r="A282" s="1117"/>
      <c r="B282" s="402">
        <v>6</v>
      </c>
      <c r="C282" s="403">
        <f>C64</f>
        <v>35</v>
      </c>
      <c r="D282" s="403">
        <f t="shared" ref="D282:F282" si="192">D64</f>
        <v>-0.9</v>
      </c>
      <c r="E282" s="403">
        <f t="shared" si="192"/>
        <v>0.1</v>
      </c>
      <c r="F282" s="403">
        <f t="shared" si="192"/>
        <v>0.5</v>
      </c>
      <c r="G282" s="343"/>
      <c r="H282" s="1118"/>
      <c r="I282" s="402">
        <v>6</v>
      </c>
      <c r="J282" s="403">
        <f>I64</f>
        <v>70</v>
      </c>
      <c r="K282" s="403">
        <f t="shared" ref="K282:M282" si="193">J64</f>
        <v>0.9</v>
      </c>
      <c r="L282" s="403">
        <f t="shared" si="193"/>
        <v>-2.1</v>
      </c>
      <c r="M282" s="403">
        <f t="shared" si="193"/>
        <v>1.5</v>
      </c>
      <c r="N282" s="343"/>
      <c r="O282" s="343"/>
      <c r="P282" s="421"/>
    </row>
    <row r="283" spans="1:16">
      <c r="A283" s="1117"/>
      <c r="B283" s="402">
        <v>7</v>
      </c>
      <c r="C283" s="403">
        <f>C75</f>
        <v>35</v>
      </c>
      <c r="D283" s="403">
        <f t="shared" ref="D283:F283" si="194">D75</f>
        <v>-1.1000000000000001</v>
      </c>
      <c r="E283" s="403">
        <f t="shared" si="194"/>
        <v>-0.1</v>
      </c>
      <c r="F283" s="403">
        <f t="shared" si="194"/>
        <v>0.5</v>
      </c>
      <c r="G283" s="343"/>
      <c r="H283" s="1118"/>
      <c r="I283" s="402">
        <v>7</v>
      </c>
      <c r="J283" s="403">
        <f>I75</f>
        <v>70</v>
      </c>
      <c r="K283" s="403">
        <f t="shared" ref="K283:M283" si="195">J75</f>
        <v>0.9</v>
      </c>
      <c r="L283" s="403">
        <f t="shared" si="195"/>
        <v>2.8</v>
      </c>
      <c r="M283" s="403">
        <f t="shared" si="195"/>
        <v>0.95</v>
      </c>
      <c r="N283" s="343"/>
      <c r="O283" s="343"/>
      <c r="P283" s="421"/>
    </row>
    <row r="284" spans="1:16">
      <c r="A284" s="1117"/>
      <c r="B284" s="402">
        <v>8</v>
      </c>
      <c r="C284" s="403">
        <f>C86</f>
        <v>35</v>
      </c>
      <c r="D284" s="403">
        <f t="shared" ref="D284:F284" si="196">D86</f>
        <v>-0.5</v>
      </c>
      <c r="E284" s="403">
        <f t="shared" si="196"/>
        <v>-0.3</v>
      </c>
      <c r="F284" s="403">
        <f t="shared" si="196"/>
        <v>0.1</v>
      </c>
      <c r="G284" s="343"/>
      <c r="H284" s="1118"/>
      <c r="I284" s="402">
        <v>8</v>
      </c>
      <c r="J284" s="403">
        <f>I86</f>
        <v>70</v>
      </c>
      <c r="K284" s="403">
        <f t="shared" ref="K284:M284" si="197">J86</f>
        <v>-1.2</v>
      </c>
      <c r="L284" s="403">
        <f t="shared" si="197"/>
        <v>2.1</v>
      </c>
      <c r="M284" s="403">
        <f t="shared" si="197"/>
        <v>1.65</v>
      </c>
      <c r="N284" s="343"/>
      <c r="O284" s="343"/>
      <c r="P284" s="421"/>
    </row>
    <row r="285" spans="1:16">
      <c r="A285" s="1117"/>
      <c r="B285" s="402">
        <v>9</v>
      </c>
      <c r="C285" s="403">
        <f>C97</f>
        <v>35</v>
      </c>
      <c r="D285" s="403">
        <f t="shared" ref="D285:F285" si="198">D97</f>
        <v>-0.5</v>
      </c>
      <c r="E285" s="403" t="str">
        <f t="shared" si="198"/>
        <v>-</v>
      </c>
      <c r="F285" s="403">
        <f t="shared" si="198"/>
        <v>0</v>
      </c>
      <c r="G285" s="343"/>
      <c r="H285" s="1118"/>
      <c r="I285" s="402">
        <v>9</v>
      </c>
      <c r="J285" s="403">
        <f>I97</f>
        <v>70</v>
      </c>
      <c r="K285" s="403">
        <f t="shared" ref="K285:M285" si="199">J97</f>
        <v>-0.6</v>
      </c>
      <c r="L285" s="403" t="str">
        <f t="shared" si="199"/>
        <v>-</v>
      </c>
      <c r="M285" s="403">
        <f t="shared" si="199"/>
        <v>0</v>
      </c>
      <c r="N285" s="343"/>
      <c r="O285" s="343"/>
      <c r="P285" s="421"/>
    </row>
    <row r="286" spans="1:16">
      <c r="A286" s="1117"/>
      <c r="B286" s="402">
        <v>10</v>
      </c>
      <c r="C286" s="403">
        <f>C108</f>
        <v>35</v>
      </c>
      <c r="D286" s="403">
        <f t="shared" ref="D286:F286" si="200">D108</f>
        <v>0.2</v>
      </c>
      <c r="E286" s="403">
        <f t="shared" si="200"/>
        <v>0.8</v>
      </c>
      <c r="F286" s="403">
        <f t="shared" si="200"/>
        <v>0.30000000000000004</v>
      </c>
      <c r="G286" s="343"/>
      <c r="H286" s="1118"/>
      <c r="I286" s="402">
        <v>10</v>
      </c>
      <c r="J286" s="403">
        <f>I108</f>
        <v>70</v>
      </c>
      <c r="K286" s="403">
        <f t="shared" ref="K286:M286" si="201">J108</f>
        <v>-0.3</v>
      </c>
      <c r="L286" s="403">
        <f t="shared" si="201"/>
        <v>-5.0999999999999996</v>
      </c>
      <c r="M286" s="403">
        <f t="shared" si="201"/>
        <v>2.4</v>
      </c>
      <c r="N286" s="343"/>
      <c r="O286" s="343"/>
      <c r="P286" s="421"/>
    </row>
    <row r="287" spans="1:16">
      <c r="A287" s="1117"/>
      <c r="B287" s="402">
        <v>11</v>
      </c>
      <c r="C287" s="403">
        <f>C119</f>
        <v>35</v>
      </c>
      <c r="D287" s="403">
        <f t="shared" ref="D287:F287" si="202">D119</f>
        <v>0.5</v>
      </c>
      <c r="E287" s="403" t="str">
        <f t="shared" si="202"/>
        <v>-</v>
      </c>
      <c r="F287" s="403">
        <f t="shared" si="202"/>
        <v>0</v>
      </c>
      <c r="G287" s="343"/>
      <c r="H287" s="1118"/>
      <c r="I287" s="402">
        <v>11</v>
      </c>
      <c r="J287" s="403">
        <f>I119</f>
        <v>70</v>
      </c>
      <c r="K287" s="403">
        <f t="shared" ref="K287:M287" si="203">J119</f>
        <v>-3.4</v>
      </c>
      <c r="L287" s="403" t="str">
        <f t="shared" si="203"/>
        <v>-</v>
      </c>
      <c r="M287" s="403">
        <f t="shared" si="203"/>
        <v>0</v>
      </c>
      <c r="N287" s="343"/>
      <c r="O287" s="343"/>
      <c r="P287" s="421"/>
    </row>
    <row r="288" spans="1:16">
      <c r="A288" s="1117"/>
      <c r="B288" s="402">
        <v>12</v>
      </c>
      <c r="C288" s="403">
        <f>C130</f>
        <v>35</v>
      </c>
      <c r="D288" s="403">
        <f t="shared" ref="D288:F288" si="204">D130</f>
        <v>-0.6</v>
      </c>
      <c r="E288" s="403">
        <f t="shared" si="204"/>
        <v>-0.6</v>
      </c>
      <c r="F288" s="403">
        <f t="shared" si="204"/>
        <v>0</v>
      </c>
      <c r="G288" s="343"/>
      <c r="H288" s="1118"/>
      <c r="I288" s="402">
        <v>12</v>
      </c>
      <c r="J288" s="403">
        <f>I130</f>
        <v>70</v>
      </c>
      <c r="K288" s="403">
        <f t="shared" ref="K288:M288" si="205">J130</f>
        <v>0.7</v>
      </c>
      <c r="L288" s="403">
        <f t="shared" si="205"/>
        <v>-0.8</v>
      </c>
      <c r="M288" s="403">
        <f t="shared" si="205"/>
        <v>0.75</v>
      </c>
      <c r="N288" s="343"/>
      <c r="O288" s="343"/>
      <c r="P288" s="421"/>
    </row>
    <row r="289" spans="1:16">
      <c r="A289" s="1117"/>
      <c r="B289" s="402">
        <v>13</v>
      </c>
      <c r="C289" s="403">
        <f>C141</f>
        <v>35</v>
      </c>
      <c r="D289" s="403">
        <f t="shared" ref="D289:F289" si="206">D141</f>
        <v>-0.2</v>
      </c>
      <c r="E289" s="403">
        <f t="shared" si="206"/>
        <v>0.3</v>
      </c>
      <c r="F289" s="403">
        <f t="shared" si="206"/>
        <v>0.25</v>
      </c>
      <c r="G289" s="343"/>
      <c r="H289" s="1118"/>
      <c r="I289" s="402">
        <v>13</v>
      </c>
      <c r="J289" s="403">
        <f>I141</f>
        <v>70</v>
      </c>
      <c r="K289" s="403">
        <f t="shared" ref="K289:M289" si="207">J141</f>
        <v>-1.4</v>
      </c>
      <c r="L289" s="403">
        <f t="shared" si="207"/>
        <v>-1.9</v>
      </c>
      <c r="M289" s="403">
        <f t="shared" si="207"/>
        <v>0.25</v>
      </c>
      <c r="N289" s="343"/>
      <c r="O289" s="343"/>
      <c r="P289" s="421"/>
    </row>
    <row r="290" spans="1:16">
      <c r="A290" s="1117"/>
      <c r="B290" s="402">
        <v>14</v>
      </c>
      <c r="C290" s="403">
        <f>C152</f>
        <v>35</v>
      </c>
      <c r="D290" s="403">
        <f t="shared" ref="D290:F290" si="208">D152</f>
        <v>0.8</v>
      </c>
      <c r="E290" s="403">
        <f t="shared" si="208"/>
        <v>-0.1</v>
      </c>
      <c r="F290" s="403">
        <f t="shared" si="208"/>
        <v>0.45</v>
      </c>
      <c r="G290" s="343"/>
      <c r="H290" s="1118"/>
      <c r="I290" s="402">
        <v>14</v>
      </c>
      <c r="J290" s="403">
        <f>I152</f>
        <v>70</v>
      </c>
      <c r="K290" s="403">
        <f t="shared" ref="K290:M290" si="209">J152</f>
        <v>-0.7</v>
      </c>
      <c r="L290" s="403">
        <f t="shared" si="209"/>
        <v>-0.8</v>
      </c>
      <c r="M290" s="403">
        <f t="shared" si="209"/>
        <v>5.0000000000000044E-2</v>
      </c>
      <c r="N290" s="343"/>
      <c r="O290" s="343"/>
      <c r="P290" s="421"/>
    </row>
    <row r="291" spans="1:16">
      <c r="A291" s="1117"/>
      <c r="B291" s="402">
        <v>15</v>
      </c>
      <c r="C291" s="403">
        <f>C163</f>
        <v>35</v>
      </c>
      <c r="D291" s="403">
        <f t="shared" ref="D291:F291" si="210">D163</f>
        <v>0.1</v>
      </c>
      <c r="E291" s="403" t="str">
        <f t="shared" si="210"/>
        <v>-</v>
      </c>
      <c r="F291" s="403">
        <f t="shared" si="210"/>
        <v>0</v>
      </c>
      <c r="G291" s="343"/>
      <c r="H291" s="1118"/>
      <c r="I291" s="402">
        <v>15</v>
      </c>
      <c r="J291" s="403">
        <f>I163</f>
        <v>70</v>
      </c>
      <c r="K291" s="403">
        <f t="shared" ref="K291:M291" si="211">J163</f>
        <v>-1.8</v>
      </c>
      <c r="L291" s="403" t="str">
        <f t="shared" si="211"/>
        <v>-</v>
      </c>
      <c r="M291" s="403">
        <f t="shared" si="211"/>
        <v>0</v>
      </c>
      <c r="N291" s="343"/>
      <c r="O291" s="343"/>
      <c r="P291" s="421"/>
    </row>
    <row r="292" spans="1:16">
      <c r="A292" s="1117"/>
      <c r="B292" s="402">
        <v>16</v>
      </c>
      <c r="C292" s="403">
        <f>C174</f>
        <v>35</v>
      </c>
      <c r="D292" s="403">
        <f t="shared" ref="D292:F292" si="212">D174</f>
        <v>-0.5</v>
      </c>
      <c r="E292" s="403" t="str">
        <f t="shared" si="212"/>
        <v>-</v>
      </c>
      <c r="F292" s="403">
        <f t="shared" si="212"/>
        <v>0</v>
      </c>
      <c r="G292" s="343"/>
      <c r="H292" s="1118"/>
      <c r="I292" s="402">
        <v>16</v>
      </c>
      <c r="J292" s="403">
        <f>I174</f>
        <v>70</v>
      </c>
      <c r="K292" s="403">
        <f t="shared" ref="K292:M292" si="213">J174</f>
        <v>-0.3</v>
      </c>
      <c r="L292" s="403" t="str">
        <f t="shared" si="213"/>
        <v>-</v>
      </c>
      <c r="M292" s="403">
        <f t="shared" si="213"/>
        <v>0</v>
      </c>
      <c r="N292" s="343"/>
      <c r="O292" s="343"/>
      <c r="P292" s="421"/>
    </row>
    <row r="293" spans="1:16">
      <c r="A293" s="1117"/>
      <c r="B293" s="402">
        <v>17</v>
      </c>
      <c r="C293" s="403">
        <f>C184</f>
        <v>35</v>
      </c>
      <c r="D293" s="403">
        <f t="shared" ref="D293:F293" si="214">D184</f>
        <v>-0.3</v>
      </c>
      <c r="E293" s="403" t="str">
        <f t="shared" si="214"/>
        <v>-</v>
      </c>
      <c r="F293" s="403">
        <f t="shared" si="214"/>
        <v>0</v>
      </c>
      <c r="G293" s="343"/>
      <c r="H293" s="1118"/>
      <c r="I293" s="402">
        <v>17</v>
      </c>
      <c r="J293" s="403">
        <f>I184</f>
        <v>70</v>
      </c>
      <c r="K293" s="403">
        <f t="shared" ref="K293:M293" si="215">J184</f>
        <v>-0.3</v>
      </c>
      <c r="L293" s="403" t="str">
        <f t="shared" si="215"/>
        <v>-</v>
      </c>
      <c r="M293" s="403">
        <f t="shared" si="215"/>
        <v>0</v>
      </c>
      <c r="N293" s="343"/>
      <c r="O293" s="343"/>
      <c r="P293" s="421"/>
    </row>
    <row r="294" spans="1:16">
      <c r="A294" s="1117"/>
      <c r="B294" s="402">
        <v>18</v>
      </c>
      <c r="C294" s="403">
        <f>C194</f>
        <v>35</v>
      </c>
      <c r="D294" s="403">
        <f t="shared" ref="D294:F294" si="216">D194</f>
        <v>-0.2</v>
      </c>
      <c r="E294" s="403" t="str">
        <f t="shared" si="216"/>
        <v>-</v>
      </c>
      <c r="F294" s="403">
        <f t="shared" si="216"/>
        <v>0</v>
      </c>
      <c r="G294" s="343"/>
      <c r="H294" s="1118"/>
      <c r="I294" s="402">
        <v>18</v>
      </c>
      <c r="J294" s="403">
        <f>I194</f>
        <v>70</v>
      </c>
      <c r="K294" s="403">
        <f t="shared" ref="K294:M294" si="217">J194</f>
        <v>-0.1</v>
      </c>
      <c r="L294" s="403" t="str">
        <f t="shared" si="217"/>
        <v>-</v>
      </c>
      <c r="M294" s="403">
        <f t="shared" si="217"/>
        <v>0</v>
      </c>
      <c r="N294" s="343"/>
      <c r="O294" s="343"/>
      <c r="P294" s="421"/>
    </row>
    <row r="295" spans="1:16">
      <c r="A295" s="409"/>
      <c r="B295" s="410"/>
      <c r="C295" s="418"/>
      <c r="D295" s="418"/>
      <c r="E295" s="418"/>
      <c r="F295" s="419"/>
      <c r="G295" s="413"/>
      <c r="H295" s="409"/>
      <c r="I295" s="410"/>
      <c r="J295" s="418"/>
      <c r="K295" s="418"/>
      <c r="L295" s="418"/>
      <c r="M295" s="419"/>
      <c r="N295" s="343"/>
      <c r="O295" s="343"/>
      <c r="P295" s="421"/>
    </row>
    <row r="296" spans="1:16">
      <c r="A296" s="1117" t="s">
        <v>220</v>
      </c>
      <c r="B296" s="402">
        <v>1</v>
      </c>
      <c r="C296" s="403">
        <f>C10</f>
        <v>37</v>
      </c>
      <c r="D296" s="403">
        <f t="shared" ref="D296:F296" si="218">D10</f>
        <v>-0.2</v>
      </c>
      <c r="E296" s="403">
        <f t="shared" si="218"/>
        <v>-0.6</v>
      </c>
      <c r="F296" s="403">
        <f t="shared" si="218"/>
        <v>0.19999999999999998</v>
      </c>
      <c r="G296" s="343"/>
      <c r="H296" s="1118" t="s">
        <v>220</v>
      </c>
      <c r="I296" s="402">
        <v>1</v>
      </c>
      <c r="J296" s="403">
        <f>I10</f>
        <v>80</v>
      </c>
      <c r="K296" s="403">
        <f t="shared" ref="K296:M296" si="219">J10</f>
        <v>-1.6</v>
      </c>
      <c r="L296" s="403">
        <f t="shared" si="219"/>
        <v>9.9999999999999995E-7</v>
      </c>
      <c r="M296" s="403">
        <f t="shared" si="219"/>
        <v>0.8000005</v>
      </c>
      <c r="N296" s="343"/>
      <c r="O296" s="343"/>
      <c r="P296" s="421"/>
    </row>
    <row r="297" spans="1:16">
      <c r="A297" s="1117"/>
      <c r="B297" s="402">
        <v>2</v>
      </c>
      <c r="C297" s="403">
        <f>C21</f>
        <v>37</v>
      </c>
      <c r="D297" s="403">
        <f t="shared" ref="D297:F297" si="220">D21</f>
        <v>-0.3</v>
      </c>
      <c r="E297" s="403">
        <f t="shared" si="220"/>
        <v>-1.8</v>
      </c>
      <c r="F297" s="403">
        <f t="shared" si="220"/>
        <v>0.75</v>
      </c>
      <c r="G297" s="343"/>
      <c r="H297" s="1118"/>
      <c r="I297" s="402">
        <v>2</v>
      </c>
      <c r="J297" s="403">
        <f>I21</f>
        <v>80</v>
      </c>
      <c r="K297" s="403">
        <f t="shared" ref="K297:M297" si="221">J21</f>
        <v>-0.7</v>
      </c>
      <c r="L297" s="403">
        <f t="shared" si="221"/>
        <v>-0.4</v>
      </c>
      <c r="M297" s="403">
        <f t="shared" si="221"/>
        <v>0.14999999999999997</v>
      </c>
      <c r="N297" s="343"/>
      <c r="O297" s="343"/>
      <c r="P297" s="421"/>
    </row>
    <row r="298" spans="1:16">
      <c r="A298" s="1117"/>
      <c r="B298" s="402">
        <v>3</v>
      </c>
      <c r="C298" s="403">
        <f>C32</f>
        <v>37</v>
      </c>
      <c r="D298" s="403">
        <f t="shared" ref="D298:F298" si="222">D32</f>
        <v>-0.6</v>
      </c>
      <c r="E298" s="403">
        <f t="shared" si="222"/>
        <v>-0.5</v>
      </c>
      <c r="F298" s="403">
        <f t="shared" si="222"/>
        <v>4.9999999999999989E-2</v>
      </c>
      <c r="G298" s="343"/>
      <c r="H298" s="1118"/>
      <c r="I298" s="402">
        <v>3</v>
      </c>
      <c r="J298" s="403">
        <f>I32</f>
        <v>80</v>
      </c>
      <c r="K298" s="403">
        <f t="shared" ref="K298:M298" si="223">J32</f>
        <v>-2.9</v>
      </c>
      <c r="L298" s="403">
        <f t="shared" si="223"/>
        <v>-0.6</v>
      </c>
      <c r="M298" s="403">
        <f t="shared" si="223"/>
        <v>1.1499999999999999</v>
      </c>
      <c r="N298" s="343"/>
      <c r="O298" s="343"/>
      <c r="P298" s="421"/>
    </row>
    <row r="299" spans="1:16">
      <c r="A299" s="1117"/>
      <c r="B299" s="402">
        <v>4</v>
      </c>
      <c r="C299" s="403">
        <f>C43</f>
        <v>37</v>
      </c>
      <c r="D299" s="403">
        <f t="shared" ref="D299:F299" si="224">D43</f>
        <v>-0.6</v>
      </c>
      <c r="E299" s="403">
        <f t="shared" si="224"/>
        <v>-1.8</v>
      </c>
      <c r="F299" s="403">
        <f t="shared" si="224"/>
        <v>0.60000000000000009</v>
      </c>
      <c r="G299" s="343"/>
      <c r="H299" s="1118"/>
      <c r="I299" s="402">
        <v>4</v>
      </c>
      <c r="J299" s="403">
        <f>I43</f>
        <v>80</v>
      </c>
      <c r="K299" s="403">
        <f t="shared" ref="K299:M299" si="225">J43</f>
        <v>1.9</v>
      </c>
      <c r="L299" s="403">
        <f t="shared" si="225"/>
        <v>-0.4</v>
      </c>
      <c r="M299" s="403">
        <f t="shared" si="225"/>
        <v>1.1499999999999999</v>
      </c>
      <c r="N299" s="343"/>
      <c r="O299" s="343"/>
      <c r="P299" s="421"/>
    </row>
    <row r="300" spans="1:16">
      <c r="A300" s="1117"/>
      <c r="B300" s="402">
        <v>5</v>
      </c>
      <c r="C300" s="403">
        <f>C54</f>
        <v>37</v>
      </c>
      <c r="D300" s="403">
        <f t="shared" ref="D300:F300" si="226">D54</f>
        <v>9.9999999999999995E-7</v>
      </c>
      <c r="E300" s="403">
        <f t="shared" si="226"/>
        <v>-1.2</v>
      </c>
      <c r="F300" s="403">
        <f t="shared" si="226"/>
        <v>0.60000049999999994</v>
      </c>
      <c r="G300" s="343"/>
      <c r="H300" s="1118"/>
      <c r="I300" s="402">
        <v>5</v>
      </c>
      <c r="J300" s="403">
        <f>I54</f>
        <v>80</v>
      </c>
      <c r="K300" s="403">
        <f t="shared" ref="K300:M300" si="227">J54</f>
        <v>0.2</v>
      </c>
      <c r="L300" s="403">
        <f t="shared" si="227"/>
        <v>-0.9</v>
      </c>
      <c r="M300" s="403">
        <f t="shared" si="227"/>
        <v>0.55000000000000004</v>
      </c>
      <c r="N300" s="343"/>
      <c r="O300" s="343"/>
      <c r="P300" s="421"/>
    </row>
    <row r="301" spans="1:16">
      <c r="A301" s="1117"/>
      <c r="B301" s="402">
        <v>6</v>
      </c>
      <c r="C301" s="403">
        <f>C65</f>
        <v>37</v>
      </c>
      <c r="D301" s="403">
        <f t="shared" ref="D301:F301" si="228">D65</f>
        <v>-1.1000000000000001</v>
      </c>
      <c r="E301" s="403">
        <f t="shared" si="228"/>
        <v>9.9999999999999995E-7</v>
      </c>
      <c r="F301" s="403">
        <f t="shared" si="228"/>
        <v>0.5500005</v>
      </c>
      <c r="G301" s="343"/>
      <c r="H301" s="1118"/>
      <c r="I301" s="402">
        <v>6</v>
      </c>
      <c r="J301" s="403">
        <f>I65</f>
        <v>80</v>
      </c>
      <c r="K301" s="403">
        <f t="shared" ref="K301:M301" si="229">J65</f>
        <v>0.8</v>
      </c>
      <c r="L301" s="403">
        <f t="shared" si="229"/>
        <v>-2.6</v>
      </c>
      <c r="M301" s="403">
        <f t="shared" si="229"/>
        <v>1.7000000000000002</v>
      </c>
      <c r="N301" s="343"/>
      <c r="O301" s="343"/>
      <c r="P301" s="421"/>
    </row>
    <row r="302" spans="1:16">
      <c r="A302" s="1117"/>
      <c r="B302" s="402">
        <v>7</v>
      </c>
      <c r="C302" s="403">
        <f>C76</f>
        <v>37</v>
      </c>
      <c r="D302" s="403">
        <f t="shared" ref="D302:F302" si="230">D76</f>
        <v>-1.4</v>
      </c>
      <c r="E302" s="403">
        <f t="shared" si="230"/>
        <v>-0.1</v>
      </c>
      <c r="F302" s="403">
        <f t="shared" si="230"/>
        <v>0.64999999999999991</v>
      </c>
      <c r="G302" s="343"/>
      <c r="H302" s="1118"/>
      <c r="I302" s="402">
        <v>7</v>
      </c>
      <c r="J302" s="403">
        <f>I76</f>
        <v>80</v>
      </c>
      <c r="K302" s="403">
        <f t="shared" ref="K302:M302" si="231">J76</f>
        <v>1.2</v>
      </c>
      <c r="L302" s="403">
        <f t="shared" si="231"/>
        <v>4.4000000000000004</v>
      </c>
      <c r="M302" s="403">
        <f t="shared" si="231"/>
        <v>1.6</v>
      </c>
      <c r="N302" s="343"/>
      <c r="O302" s="343"/>
      <c r="P302" s="421"/>
    </row>
    <row r="303" spans="1:16">
      <c r="A303" s="1117"/>
      <c r="B303" s="402">
        <v>8</v>
      </c>
      <c r="C303" s="403">
        <f>C87</f>
        <v>37</v>
      </c>
      <c r="D303" s="403">
        <f t="shared" ref="D303:F303" si="232">D87</f>
        <v>-0.5</v>
      </c>
      <c r="E303" s="403">
        <f t="shared" si="232"/>
        <v>-0.3</v>
      </c>
      <c r="F303" s="403">
        <f t="shared" si="232"/>
        <v>0.1</v>
      </c>
      <c r="G303" s="343"/>
      <c r="H303" s="1118"/>
      <c r="I303" s="402">
        <v>8</v>
      </c>
      <c r="J303" s="403">
        <f>I87</f>
        <v>80</v>
      </c>
      <c r="K303" s="403">
        <f t="shared" ref="K303:M303" si="233">J87</f>
        <v>-1.2</v>
      </c>
      <c r="L303" s="403">
        <f t="shared" si="233"/>
        <v>2.6</v>
      </c>
      <c r="M303" s="403">
        <f t="shared" si="233"/>
        <v>1.9</v>
      </c>
      <c r="N303" s="343"/>
      <c r="O303" s="343"/>
      <c r="P303" s="421"/>
    </row>
    <row r="304" spans="1:16">
      <c r="A304" s="1117"/>
      <c r="B304" s="402">
        <v>9</v>
      </c>
      <c r="C304" s="403">
        <f>C98</f>
        <v>37</v>
      </c>
      <c r="D304" s="403">
        <f t="shared" ref="D304:F304" si="234">D98</f>
        <v>-0.5</v>
      </c>
      <c r="E304" s="403" t="str">
        <f t="shared" si="234"/>
        <v>-</v>
      </c>
      <c r="F304" s="403">
        <f t="shared" si="234"/>
        <v>0</v>
      </c>
      <c r="G304" s="343"/>
      <c r="H304" s="1118"/>
      <c r="I304" s="402">
        <v>9</v>
      </c>
      <c r="J304" s="403">
        <f>I98</f>
        <v>80</v>
      </c>
      <c r="K304" s="403">
        <f t="shared" ref="K304:M304" si="235">J98</f>
        <v>-0.5</v>
      </c>
      <c r="L304" s="403" t="str">
        <f t="shared" si="235"/>
        <v>-</v>
      </c>
      <c r="M304" s="403">
        <f t="shared" si="235"/>
        <v>0</v>
      </c>
      <c r="N304" s="343"/>
      <c r="O304" s="343"/>
      <c r="P304" s="421"/>
    </row>
    <row r="305" spans="1:16">
      <c r="A305" s="1117"/>
      <c r="B305" s="402">
        <v>10</v>
      </c>
      <c r="C305" s="403">
        <f>C109</f>
        <v>37</v>
      </c>
      <c r="D305" s="403">
        <f t="shared" ref="D305:F305" si="236">D109</f>
        <v>0.2</v>
      </c>
      <c r="E305" s="403">
        <f t="shared" si="236"/>
        <v>0.4</v>
      </c>
      <c r="F305" s="403">
        <f t="shared" si="236"/>
        <v>0.1</v>
      </c>
      <c r="G305" s="343"/>
      <c r="H305" s="1118"/>
      <c r="I305" s="402">
        <v>10</v>
      </c>
      <c r="J305" s="403">
        <f>I109</f>
        <v>80</v>
      </c>
      <c r="K305" s="403">
        <f t="shared" ref="K305:M305" si="237">J109</f>
        <v>2.2000000000000002</v>
      </c>
      <c r="L305" s="403">
        <f t="shared" si="237"/>
        <v>-4.7</v>
      </c>
      <c r="M305" s="403">
        <f t="shared" si="237"/>
        <v>3.45</v>
      </c>
      <c r="N305" s="343"/>
      <c r="O305" s="343"/>
      <c r="P305" s="421"/>
    </row>
    <row r="306" spans="1:16">
      <c r="A306" s="1117"/>
      <c r="B306" s="402">
        <v>11</v>
      </c>
      <c r="C306" s="403">
        <f>C120</f>
        <v>37</v>
      </c>
      <c r="D306" s="403">
        <f t="shared" ref="D306:F306" si="238">D120</f>
        <v>0.5</v>
      </c>
      <c r="E306" s="403" t="str">
        <f t="shared" si="238"/>
        <v>-</v>
      </c>
      <c r="F306" s="403">
        <f t="shared" si="238"/>
        <v>0</v>
      </c>
      <c r="G306" s="343"/>
      <c r="H306" s="1118"/>
      <c r="I306" s="402">
        <v>11</v>
      </c>
      <c r="J306" s="403">
        <f>I120</f>
        <v>80</v>
      </c>
      <c r="K306" s="403">
        <f t="shared" ref="K306:M306" si="239">J120</f>
        <v>-1.4</v>
      </c>
      <c r="L306" s="403" t="str">
        <f t="shared" si="239"/>
        <v>-</v>
      </c>
      <c r="M306" s="403">
        <f t="shared" si="239"/>
        <v>0</v>
      </c>
      <c r="N306" s="343"/>
      <c r="O306" s="343"/>
      <c r="P306" s="421"/>
    </row>
    <row r="307" spans="1:16">
      <c r="A307" s="1117"/>
      <c r="B307" s="402">
        <v>12</v>
      </c>
      <c r="C307" s="403">
        <f>C131</f>
        <v>37</v>
      </c>
      <c r="D307" s="403">
        <f t="shared" ref="D307:F307" si="240">D131</f>
        <v>-0.7</v>
      </c>
      <c r="E307" s="403">
        <f t="shared" si="240"/>
        <v>-0.8</v>
      </c>
      <c r="F307" s="403">
        <f t="shared" si="240"/>
        <v>5.0000000000000044E-2</v>
      </c>
      <c r="G307" s="343"/>
      <c r="H307" s="1118"/>
      <c r="I307" s="402">
        <v>12</v>
      </c>
      <c r="J307" s="403">
        <f>I131</f>
        <v>80</v>
      </c>
      <c r="K307" s="403">
        <f t="shared" ref="K307:M307" si="241">J131</f>
        <v>1.1000000000000001</v>
      </c>
      <c r="L307" s="403">
        <f t="shared" si="241"/>
        <v>-0.9</v>
      </c>
      <c r="M307" s="403">
        <f t="shared" si="241"/>
        <v>1</v>
      </c>
      <c r="N307" s="343"/>
      <c r="O307" s="343"/>
      <c r="P307" s="421"/>
    </row>
    <row r="308" spans="1:16">
      <c r="A308" s="1117"/>
      <c r="B308" s="402">
        <v>13</v>
      </c>
      <c r="C308" s="403">
        <f>C142</f>
        <v>37</v>
      </c>
      <c r="D308" s="403">
        <f t="shared" ref="D308:F308" si="242">D142</f>
        <v>-0.2</v>
      </c>
      <c r="E308" s="403">
        <f t="shared" si="242"/>
        <v>0.4</v>
      </c>
      <c r="F308" s="403">
        <f t="shared" si="242"/>
        <v>0.30000000000000004</v>
      </c>
      <c r="G308" s="343"/>
      <c r="H308" s="1118"/>
      <c r="I308" s="402">
        <v>13</v>
      </c>
      <c r="J308" s="403">
        <f>I142</f>
        <v>80</v>
      </c>
      <c r="K308" s="403">
        <f t="shared" ref="K308:M308" si="243">J142</f>
        <v>-1.2</v>
      </c>
      <c r="L308" s="403">
        <f t="shared" si="243"/>
        <v>-2.5</v>
      </c>
      <c r="M308" s="403">
        <f t="shared" si="243"/>
        <v>0.65</v>
      </c>
      <c r="N308" s="343"/>
      <c r="O308" s="343"/>
      <c r="P308" s="421"/>
    </row>
    <row r="309" spans="1:16">
      <c r="A309" s="1117"/>
      <c r="B309" s="402">
        <v>14</v>
      </c>
      <c r="C309" s="403">
        <f>C153</f>
        <v>37</v>
      </c>
      <c r="D309" s="403">
        <f t="shared" ref="D309:F309" si="244">D153</f>
        <v>1</v>
      </c>
      <c r="E309" s="403">
        <f t="shared" si="244"/>
        <v>-0.1</v>
      </c>
      <c r="F309" s="403">
        <f t="shared" si="244"/>
        <v>0.55000000000000004</v>
      </c>
      <c r="G309" s="343"/>
      <c r="H309" s="1118"/>
      <c r="I309" s="402">
        <v>14</v>
      </c>
      <c r="J309" s="403">
        <f>I153</f>
        <v>80</v>
      </c>
      <c r="K309" s="403">
        <f t="shared" ref="K309:M309" si="245">J153</f>
        <v>-0.4</v>
      </c>
      <c r="L309" s="403">
        <f t="shared" si="245"/>
        <v>-1.3</v>
      </c>
      <c r="M309" s="403">
        <f t="shared" si="245"/>
        <v>0.45</v>
      </c>
      <c r="N309" s="343"/>
      <c r="O309" s="343"/>
      <c r="P309" s="421"/>
    </row>
    <row r="310" spans="1:16">
      <c r="A310" s="1117"/>
      <c r="B310" s="402">
        <v>15</v>
      </c>
      <c r="C310" s="403">
        <f>C164</f>
        <v>37</v>
      </c>
      <c r="D310" s="403">
        <f t="shared" ref="D310:F310" si="246">D164</f>
        <v>9.9999999999999995E-7</v>
      </c>
      <c r="E310" s="403" t="str">
        <f t="shared" si="246"/>
        <v>-</v>
      </c>
      <c r="F310" s="403">
        <f t="shared" si="246"/>
        <v>0</v>
      </c>
      <c r="G310" s="343"/>
      <c r="H310" s="1118"/>
      <c r="I310" s="402">
        <v>15</v>
      </c>
      <c r="J310" s="403">
        <f>I164</f>
        <v>80</v>
      </c>
      <c r="K310" s="403">
        <f t="shared" ref="K310:M310" si="247">J164</f>
        <v>-2.2999999999999998</v>
      </c>
      <c r="L310" s="403" t="str">
        <f t="shared" si="247"/>
        <v>-</v>
      </c>
      <c r="M310" s="403">
        <f t="shared" si="247"/>
        <v>0</v>
      </c>
      <c r="N310" s="343"/>
      <c r="O310" s="343"/>
      <c r="P310" s="421"/>
    </row>
    <row r="311" spans="1:16">
      <c r="A311" s="1117"/>
      <c r="B311" s="402">
        <v>16</v>
      </c>
      <c r="C311" s="403">
        <f>C175</f>
        <v>37</v>
      </c>
      <c r="D311" s="403">
        <f t="shared" ref="D311:F311" si="248">D175</f>
        <v>-0.6</v>
      </c>
      <c r="E311" s="403" t="str">
        <f t="shared" si="248"/>
        <v>-</v>
      </c>
      <c r="F311" s="403">
        <f t="shared" si="248"/>
        <v>0</v>
      </c>
      <c r="G311" s="343"/>
      <c r="H311" s="1118"/>
      <c r="I311" s="402">
        <v>16</v>
      </c>
      <c r="J311" s="403">
        <f>I175</f>
        <v>80</v>
      </c>
      <c r="K311" s="403">
        <f t="shared" ref="K311:M311" si="249">J175</f>
        <v>-0.8</v>
      </c>
      <c r="L311" s="403" t="str">
        <f t="shared" si="249"/>
        <v>-</v>
      </c>
      <c r="M311" s="403">
        <f t="shared" si="249"/>
        <v>0</v>
      </c>
      <c r="N311" s="343"/>
      <c r="O311" s="343"/>
      <c r="P311" s="421"/>
    </row>
    <row r="312" spans="1:16">
      <c r="A312" s="1117"/>
      <c r="B312" s="402">
        <v>17</v>
      </c>
      <c r="C312" s="403">
        <f>C185</f>
        <v>37</v>
      </c>
      <c r="D312" s="403">
        <f t="shared" ref="D312:F312" si="250">D185</f>
        <v>-0.3</v>
      </c>
      <c r="E312" s="403" t="str">
        <f t="shared" si="250"/>
        <v>-</v>
      </c>
      <c r="F312" s="403">
        <f t="shared" si="250"/>
        <v>0</v>
      </c>
      <c r="G312" s="343"/>
      <c r="H312" s="1118"/>
      <c r="I312" s="402">
        <v>17</v>
      </c>
      <c r="J312" s="403">
        <f>I185</f>
        <v>80</v>
      </c>
      <c r="K312" s="403">
        <f t="shared" ref="K312:M312" si="251">J185</f>
        <v>-0.5</v>
      </c>
      <c r="L312" s="403" t="str">
        <f t="shared" si="251"/>
        <v>-</v>
      </c>
      <c r="M312" s="403">
        <f t="shared" si="251"/>
        <v>0</v>
      </c>
      <c r="N312" s="343"/>
      <c r="O312" s="343"/>
      <c r="P312" s="421"/>
    </row>
    <row r="313" spans="1:16">
      <c r="A313" s="1117"/>
      <c r="B313" s="402">
        <v>18</v>
      </c>
      <c r="C313" s="403">
        <f>C195</f>
        <v>37</v>
      </c>
      <c r="D313" s="403">
        <f t="shared" ref="D313:F313" si="252">D195</f>
        <v>-0.3</v>
      </c>
      <c r="E313" s="403" t="str">
        <f t="shared" si="252"/>
        <v>-</v>
      </c>
      <c r="F313" s="403">
        <f t="shared" si="252"/>
        <v>0</v>
      </c>
      <c r="G313" s="343"/>
      <c r="H313" s="1118"/>
      <c r="I313" s="402">
        <v>18</v>
      </c>
      <c r="J313" s="403">
        <f>I195</f>
        <v>80</v>
      </c>
      <c r="K313" s="403">
        <f t="shared" ref="K313:M313" si="253">J195</f>
        <v>-0.5</v>
      </c>
      <c r="L313" s="403" t="str">
        <f t="shared" si="253"/>
        <v>-</v>
      </c>
      <c r="M313" s="403">
        <f t="shared" si="253"/>
        <v>0</v>
      </c>
      <c r="N313" s="343"/>
      <c r="O313" s="343"/>
      <c r="P313" s="421"/>
    </row>
    <row r="314" spans="1:16">
      <c r="A314" s="409"/>
      <c r="B314" s="410"/>
      <c r="C314" s="418"/>
      <c r="D314" s="418"/>
      <c r="E314" s="418"/>
      <c r="F314" s="419"/>
      <c r="G314" s="413"/>
      <c r="H314" s="423"/>
      <c r="I314" s="410"/>
      <c r="J314" s="418"/>
      <c r="K314" s="418"/>
      <c r="L314" s="418"/>
      <c r="M314" s="419"/>
      <c r="N314" s="343"/>
      <c r="O314" s="343"/>
      <c r="P314" s="421"/>
    </row>
    <row r="315" spans="1:16">
      <c r="A315" s="1117" t="s">
        <v>221</v>
      </c>
      <c r="B315" s="402">
        <v>1</v>
      </c>
      <c r="C315" s="403">
        <f>C11</f>
        <v>40</v>
      </c>
      <c r="D315" s="403">
        <f t="shared" ref="D315:F315" si="254">D11</f>
        <v>-0.3</v>
      </c>
      <c r="E315" s="403">
        <f t="shared" si="254"/>
        <v>-0.8</v>
      </c>
      <c r="F315" s="403">
        <f t="shared" si="254"/>
        <v>0.25</v>
      </c>
      <c r="G315" s="343"/>
      <c r="H315" s="1118" t="s">
        <v>221</v>
      </c>
      <c r="I315" s="402">
        <v>1</v>
      </c>
      <c r="J315" s="403">
        <f>I11</f>
        <v>90</v>
      </c>
      <c r="K315" s="403">
        <f t="shared" ref="K315:M315" si="255">J11</f>
        <v>0.3</v>
      </c>
      <c r="L315" s="403">
        <f t="shared" si="255"/>
        <v>9.9999999999999995E-7</v>
      </c>
      <c r="M315" s="403">
        <f t="shared" si="255"/>
        <v>0.14999950000000001</v>
      </c>
      <c r="N315" s="343"/>
      <c r="O315" s="343"/>
      <c r="P315" s="421"/>
    </row>
    <row r="316" spans="1:16">
      <c r="A316" s="1117"/>
      <c r="B316" s="402">
        <v>2</v>
      </c>
      <c r="C316" s="403">
        <f>C22</f>
        <v>40</v>
      </c>
      <c r="D316" s="403">
        <f t="shared" ref="D316:F316" si="256">D22</f>
        <v>-0.3</v>
      </c>
      <c r="E316" s="403">
        <f t="shared" si="256"/>
        <v>-2.1</v>
      </c>
      <c r="F316" s="403">
        <f t="shared" si="256"/>
        <v>0.9</v>
      </c>
      <c r="G316" s="343"/>
      <c r="H316" s="1118"/>
      <c r="I316" s="402">
        <v>2</v>
      </c>
      <c r="J316" s="403">
        <f>I22</f>
        <v>90</v>
      </c>
      <c r="K316" s="403">
        <f t="shared" ref="K316:M316" si="257">J22</f>
        <v>-0.3</v>
      </c>
      <c r="L316" s="403">
        <f t="shared" si="257"/>
        <v>0.6</v>
      </c>
      <c r="M316" s="403">
        <f t="shared" si="257"/>
        <v>0.44999999999999996</v>
      </c>
      <c r="N316" s="343"/>
      <c r="O316" s="343"/>
      <c r="P316" s="421"/>
    </row>
    <row r="317" spans="1:16">
      <c r="A317" s="1117"/>
      <c r="B317" s="402">
        <v>3</v>
      </c>
      <c r="C317" s="403">
        <f>C33</f>
        <v>40</v>
      </c>
      <c r="D317" s="403">
        <f t="shared" ref="D317:F317" si="258">D33</f>
        <v>-0.7</v>
      </c>
      <c r="E317" s="403">
        <f t="shared" si="258"/>
        <v>-0.5</v>
      </c>
      <c r="F317" s="403">
        <f t="shared" si="258"/>
        <v>9.9999999999999978E-2</v>
      </c>
      <c r="G317" s="343"/>
      <c r="H317" s="1118"/>
      <c r="I317" s="402">
        <v>3</v>
      </c>
      <c r="J317" s="403">
        <f>I33</f>
        <v>90</v>
      </c>
      <c r="K317" s="403">
        <f t="shared" ref="K317:M317" si="259">J33</f>
        <v>-2</v>
      </c>
      <c r="L317" s="403">
        <f t="shared" si="259"/>
        <v>0.9</v>
      </c>
      <c r="M317" s="403">
        <f t="shared" si="259"/>
        <v>1.45</v>
      </c>
      <c r="N317" s="343"/>
      <c r="O317" s="343"/>
      <c r="P317" s="421"/>
    </row>
    <row r="318" spans="1:16">
      <c r="A318" s="1117"/>
      <c r="B318" s="402">
        <v>4</v>
      </c>
      <c r="C318" s="403">
        <f>C44</f>
        <v>40</v>
      </c>
      <c r="D318" s="403">
        <f t="shared" ref="D318:F318" si="260">D44</f>
        <v>-0.6</v>
      </c>
      <c r="E318" s="403">
        <f t="shared" si="260"/>
        <v>-2.1</v>
      </c>
      <c r="F318" s="403">
        <f t="shared" si="260"/>
        <v>0.75</v>
      </c>
      <c r="G318" s="343"/>
      <c r="H318" s="1118"/>
      <c r="I318" s="402">
        <v>4</v>
      </c>
      <c r="J318" s="403">
        <f>I44</f>
        <v>90</v>
      </c>
      <c r="K318" s="403">
        <f t="shared" ref="K318:M318" si="261">J44</f>
        <v>3.3</v>
      </c>
      <c r="L318" s="403">
        <f t="shared" si="261"/>
        <v>0.2</v>
      </c>
      <c r="M318" s="403">
        <f t="shared" si="261"/>
        <v>1.5499999999999998</v>
      </c>
      <c r="N318" s="343"/>
      <c r="O318" s="343"/>
      <c r="P318" s="421"/>
    </row>
    <row r="319" spans="1:16">
      <c r="A319" s="1117"/>
      <c r="B319" s="402">
        <v>5</v>
      </c>
      <c r="C319" s="403">
        <f>C55</f>
        <v>40</v>
      </c>
      <c r="D319" s="403">
        <f t="shared" ref="D319:F319" si="262">D55</f>
        <v>-0.1</v>
      </c>
      <c r="E319" s="403">
        <f t="shared" si="262"/>
        <v>-1.5</v>
      </c>
      <c r="F319" s="403">
        <f t="shared" si="262"/>
        <v>0.7</v>
      </c>
      <c r="G319" s="343"/>
      <c r="H319" s="1118"/>
      <c r="I319" s="402">
        <v>5</v>
      </c>
      <c r="J319" s="403">
        <f>I55</f>
        <v>90</v>
      </c>
      <c r="K319" s="403">
        <f t="shared" ref="K319:M319" si="263">J55</f>
        <v>2.7</v>
      </c>
      <c r="L319" s="403">
        <f t="shared" si="263"/>
        <v>0.2</v>
      </c>
      <c r="M319" s="403">
        <f t="shared" si="263"/>
        <v>1.25</v>
      </c>
      <c r="N319" s="343"/>
      <c r="O319" s="343"/>
      <c r="P319" s="421"/>
    </row>
    <row r="320" spans="1:16">
      <c r="A320" s="1117"/>
      <c r="B320" s="402">
        <v>6</v>
      </c>
      <c r="C320" s="403">
        <f>C66</f>
        <v>40</v>
      </c>
      <c r="D320" s="403">
        <f t="shared" ref="D320:F320" si="264">D66</f>
        <v>-1.4</v>
      </c>
      <c r="E320" s="403">
        <f t="shared" si="264"/>
        <v>-0.1</v>
      </c>
      <c r="F320" s="403">
        <f t="shared" si="264"/>
        <v>0.64999999999999991</v>
      </c>
      <c r="G320" s="343"/>
      <c r="H320" s="1118"/>
      <c r="I320" s="402">
        <v>6</v>
      </c>
      <c r="J320" s="403">
        <f>I66</f>
        <v>90</v>
      </c>
      <c r="K320" s="403">
        <f t="shared" ref="K320:M320" si="265">J66</f>
        <v>0.7</v>
      </c>
      <c r="L320" s="403">
        <f t="shared" si="265"/>
        <v>-2.6</v>
      </c>
      <c r="M320" s="403">
        <f t="shared" si="265"/>
        <v>1.65</v>
      </c>
      <c r="N320" s="343"/>
      <c r="O320" s="343"/>
      <c r="P320" s="421"/>
    </row>
    <row r="321" spans="1:16">
      <c r="A321" s="1117"/>
      <c r="B321" s="402">
        <v>7</v>
      </c>
      <c r="C321" s="403">
        <f>C77</f>
        <v>40</v>
      </c>
      <c r="D321" s="403">
        <f t="shared" ref="D321:F321" si="266">D77</f>
        <v>-1.7</v>
      </c>
      <c r="E321" s="403">
        <f t="shared" si="266"/>
        <v>-0.1</v>
      </c>
      <c r="F321" s="403">
        <f t="shared" si="266"/>
        <v>0.79999999999999993</v>
      </c>
      <c r="G321" s="343"/>
      <c r="H321" s="1118"/>
      <c r="I321" s="402">
        <v>7</v>
      </c>
      <c r="J321" s="403">
        <f>I77</f>
        <v>90</v>
      </c>
      <c r="K321" s="403">
        <f t="shared" ref="K321:M321" si="267">J77</f>
        <v>1.8</v>
      </c>
      <c r="L321" s="403">
        <f t="shared" si="267"/>
        <v>4.4000000000000004</v>
      </c>
      <c r="M321" s="403">
        <f t="shared" si="267"/>
        <v>1.3000000000000003</v>
      </c>
      <c r="N321" s="343"/>
      <c r="O321" s="343"/>
      <c r="P321" s="421"/>
    </row>
    <row r="322" spans="1:16">
      <c r="A322" s="1117"/>
      <c r="B322" s="402">
        <v>8</v>
      </c>
      <c r="C322" s="403">
        <f>C88</f>
        <v>40</v>
      </c>
      <c r="D322" s="403">
        <f t="shared" ref="D322:F322" si="268">D88</f>
        <v>-0.4</v>
      </c>
      <c r="E322" s="403">
        <f t="shared" si="268"/>
        <v>-0.4</v>
      </c>
      <c r="F322" s="403">
        <f t="shared" si="268"/>
        <v>0</v>
      </c>
      <c r="G322" s="343"/>
      <c r="H322" s="1118"/>
      <c r="I322" s="402">
        <v>8</v>
      </c>
      <c r="J322" s="403">
        <f>I88</f>
        <v>90</v>
      </c>
      <c r="K322" s="403">
        <f t="shared" ref="K322:M322" si="269">J88</f>
        <v>-1.3</v>
      </c>
      <c r="L322" s="403">
        <f t="shared" si="269"/>
        <v>2.6</v>
      </c>
      <c r="M322" s="403">
        <f t="shared" si="269"/>
        <v>1.9500000000000002</v>
      </c>
      <c r="N322" s="343"/>
      <c r="O322" s="343"/>
      <c r="P322" s="421"/>
    </row>
    <row r="323" spans="1:16">
      <c r="A323" s="1117"/>
      <c r="B323" s="402">
        <v>9</v>
      </c>
      <c r="C323" s="403">
        <f>C99</f>
        <v>40</v>
      </c>
      <c r="D323" s="403">
        <f t="shared" ref="D323:F323" si="270">D99</f>
        <v>-0.4</v>
      </c>
      <c r="E323" s="403" t="str">
        <f t="shared" si="270"/>
        <v>-</v>
      </c>
      <c r="F323" s="403">
        <f t="shared" si="270"/>
        <v>0</v>
      </c>
      <c r="G323" s="343"/>
      <c r="H323" s="1118"/>
      <c r="I323" s="402">
        <v>9</v>
      </c>
      <c r="J323" s="403">
        <f>I99</f>
        <v>90</v>
      </c>
      <c r="K323" s="403">
        <f t="shared" ref="K323:M323" si="271">J99</f>
        <v>-0.2</v>
      </c>
      <c r="L323" s="403" t="str">
        <f t="shared" si="271"/>
        <v>-</v>
      </c>
      <c r="M323" s="403">
        <f t="shared" si="271"/>
        <v>0</v>
      </c>
      <c r="N323" s="343"/>
      <c r="O323" s="343"/>
      <c r="P323" s="421"/>
    </row>
    <row r="324" spans="1:16">
      <c r="A324" s="1117"/>
      <c r="B324" s="402">
        <v>10</v>
      </c>
      <c r="C324" s="403">
        <f>C110</f>
        <v>40</v>
      </c>
      <c r="D324" s="403">
        <f t="shared" ref="D324:F324" si="272">D110</f>
        <v>0.2</v>
      </c>
      <c r="E324" s="403">
        <f t="shared" si="272"/>
        <v>0</v>
      </c>
      <c r="F324" s="403">
        <f t="shared" si="272"/>
        <v>0.1</v>
      </c>
      <c r="G324" s="343"/>
      <c r="H324" s="1118"/>
      <c r="I324" s="402">
        <v>10</v>
      </c>
      <c r="J324" s="403">
        <f>I110</f>
        <v>90</v>
      </c>
      <c r="K324" s="403">
        <f t="shared" ref="K324:M324" si="273">J110</f>
        <v>5.4</v>
      </c>
      <c r="L324" s="403">
        <f t="shared" si="273"/>
        <v>0</v>
      </c>
      <c r="M324" s="403">
        <f t="shared" si="273"/>
        <v>2.7</v>
      </c>
      <c r="N324" s="343"/>
      <c r="O324" s="343"/>
      <c r="P324" s="421"/>
    </row>
    <row r="325" spans="1:16">
      <c r="A325" s="1117"/>
      <c r="B325" s="402">
        <v>11</v>
      </c>
      <c r="C325" s="403">
        <f>C121</f>
        <v>40</v>
      </c>
      <c r="D325" s="403">
        <f t="shared" ref="D325:F325" si="274">D121</f>
        <v>0.5</v>
      </c>
      <c r="E325" s="403" t="str">
        <f t="shared" si="274"/>
        <v>-</v>
      </c>
      <c r="F325" s="403">
        <f t="shared" si="274"/>
        <v>0</v>
      </c>
      <c r="G325" s="343"/>
      <c r="H325" s="1118"/>
      <c r="I325" s="402">
        <v>11</v>
      </c>
      <c r="J325" s="403">
        <f>I121</f>
        <v>90</v>
      </c>
      <c r="K325" s="403">
        <f t="shared" ref="K325:M325" si="275">J121</f>
        <v>1.3</v>
      </c>
      <c r="L325" s="403" t="str">
        <f t="shared" si="275"/>
        <v>-</v>
      </c>
      <c r="M325" s="403">
        <f t="shared" si="275"/>
        <v>0</v>
      </c>
      <c r="N325" s="343"/>
      <c r="O325" s="343"/>
      <c r="P325" s="421"/>
    </row>
    <row r="326" spans="1:16">
      <c r="A326" s="1117"/>
      <c r="B326" s="402">
        <v>12</v>
      </c>
      <c r="C326" s="403">
        <f>C132</f>
        <v>40</v>
      </c>
      <c r="D326" s="403">
        <f t="shared" ref="D326:F326" si="276">D132</f>
        <v>-0.8</v>
      </c>
      <c r="E326" s="403">
        <f t="shared" si="276"/>
        <v>-1.1000000000000001</v>
      </c>
      <c r="F326" s="403">
        <f t="shared" si="276"/>
        <v>0.15000000000000002</v>
      </c>
      <c r="G326" s="343"/>
      <c r="H326" s="1118"/>
      <c r="I326" s="402">
        <v>12</v>
      </c>
      <c r="J326" s="403">
        <f>I132</f>
        <v>90</v>
      </c>
      <c r="K326" s="403">
        <f t="shared" ref="K326:M326" si="277">J132</f>
        <v>1.5</v>
      </c>
      <c r="L326" s="403">
        <f t="shared" si="277"/>
        <v>-0.8</v>
      </c>
      <c r="M326" s="403">
        <f t="shared" si="277"/>
        <v>1.1499999999999999</v>
      </c>
      <c r="N326" s="343"/>
      <c r="O326" s="343"/>
      <c r="P326" s="421"/>
    </row>
    <row r="327" spans="1:16">
      <c r="A327" s="1117"/>
      <c r="B327" s="402">
        <v>13</v>
      </c>
      <c r="C327" s="403">
        <f>C143</f>
        <v>40</v>
      </c>
      <c r="D327" s="403">
        <f t="shared" ref="D327:F327" si="278">D143</f>
        <v>-0.2</v>
      </c>
      <c r="E327" s="403">
        <f t="shared" si="278"/>
        <v>0.5</v>
      </c>
      <c r="F327" s="403">
        <f t="shared" si="278"/>
        <v>0.35</v>
      </c>
      <c r="G327" s="343"/>
      <c r="H327" s="1118"/>
      <c r="I327" s="402">
        <v>13</v>
      </c>
      <c r="J327" s="403">
        <f>I143</f>
        <v>90</v>
      </c>
      <c r="K327" s="403">
        <f t="shared" ref="K327:M327" si="279">J143</f>
        <v>-1</v>
      </c>
      <c r="L327" s="403">
        <f t="shared" si="279"/>
        <v>-3.2</v>
      </c>
      <c r="M327" s="403">
        <f t="shared" si="279"/>
        <v>1.1000000000000001</v>
      </c>
      <c r="N327" s="343"/>
      <c r="O327" s="343"/>
      <c r="P327" s="421"/>
    </row>
    <row r="328" spans="1:16">
      <c r="A328" s="1117"/>
      <c r="B328" s="402">
        <v>14</v>
      </c>
      <c r="C328" s="403">
        <f>C154</f>
        <v>40</v>
      </c>
      <c r="D328" s="403">
        <f t="shared" ref="D328:F328" si="280">D154</f>
        <v>1.4</v>
      </c>
      <c r="E328" s="403">
        <f t="shared" si="280"/>
        <v>0</v>
      </c>
      <c r="F328" s="424">
        <f t="shared" si="280"/>
        <v>0.7</v>
      </c>
      <c r="G328" s="343"/>
      <c r="H328" s="1118"/>
      <c r="I328" s="402">
        <v>14</v>
      </c>
      <c r="J328" s="403">
        <f>I154</f>
        <v>90</v>
      </c>
      <c r="K328" s="403">
        <f t="shared" ref="K328:M328" si="281">J154</f>
        <v>-0.1</v>
      </c>
      <c r="L328" s="403">
        <f t="shared" si="281"/>
        <v>-2</v>
      </c>
      <c r="M328" s="403">
        <f t="shared" si="281"/>
        <v>0.95</v>
      </c>
      <c r="N328" s="343"/>
      <c r="O328" s="343"/>
      <c r="P328" s="421"/>
    </row>
    <row r="329" spans="1:16">
      <c r="A329" s="1117"/>
      <c r="B329" s="402">
        <v>15</v>
      </c>
      <c r="C329" s="403">
        <f>C165</f>
        <v>40</v>
      </c>
      <c r="D329" s="403">
        <f t="shared" ref="D329:F329" si="282">D165</f>
        <v>9.9999999999999995E-7</v>
      </c>
      <c r="E329" s="425" t="str">
        <f t="shared" si="282"/>
        <v>-</v>
      </c>
      <c r="F329" s="403">
        <f t="shared" si="282"/>
        <v>0</v>
      </c>
      <c r="G329" s="426"/>
      <c r="H329" s="1118"/>
      <c r="I329" s="402">
        <v>15</v>
      </c>
      <c r="J329" s="403">
        <f>I165</f>
        <v>90</v>
      </c>
      <c r="K329" s="403">
        <f t="shared" ref="K329:M329" si="283">J165</f>
        <v>-3</v>
      </c>
      <c r="L329" s="403" t="str">
        <f t="shared" si="283"/>
        <v>-</v>
      </c>
      <c r="M329" s="403">
        <f t="shared" si="283"/>
        <v>0</v>
      </c>
      <c r="N329" s="343"/>
      <c r="O329" s="343"/>
      <c r="P329" s="421"/>
    </row>
    <row r="330" spans="1:16">
      <c r="A330" s="1117"/>
      <c r="B330" s="402">
        <v>16</v>
      </c>
      <c r="C330" s="403">
        <f>C176</f>
        <v>40</v>
      </c>
      <c r="D330" s="403">
        <f t="shared" ref="D330:F330" si="284">D176</f>
        <v>-0.8</v>
      </c>
      <c r="E330" s="403" t="str">
        <f t="shared" si="284"/>
        <v>-</v>
      </c>
      <c r="F330" s="427">
        <f t="shared" si="284"/>
        <v>0</v>
      </c>
      <c r="G330" s="343"/>
      <c r="H330" s="1118"/>
      <c r="I330" s="402">
        <v>16</v>
      </c>
      <c r="J330" s="403">
        <f>I176</f>
        <v>90</v>
      </c>
      <c r="K330" s="403">
        <f t="shared" ref="K330:M330" si="285">J176</f>
        <v>-1.4</v>
      </c>
      <c r="L330" s="403" t="str">
        <f t="shared" si="285"/>
        <v>-</v>
      </c>
      <c r="M330" s="403">
        <f t="shared" si="285"/>
        <v>0</v>
      </c>
      <c r="N330" s="343"/>
      <c r="O330" s="343"/>
      <c r="P330" s="421"/>
    </row>
    <row r="331" spans="1:16">
      <c r="A331" s="1117"/>
      <c r="B331" s="402">
        <v>17</v>
      </c>
      <c r="C331" s="403">
        <f>C186</f>
        <v>40</v>
      </c>
      <c r="D331" s="403">
        <f t="shared" ref="D331:F331" si="286">D186</f>
        <v>-0.4</v>
      </c>
      <c r="E331" s="403" t="str">
        <f t="shared" si="286"/>
        <v>-</v>
      </c>
      <c r="F331" s="403">
        <f t="shared" si="286"/>
        <v>0</v>
      </c>
      <c r="G331" s="343"/>
      <c r="H331" s="1118"/>
      <c r="I331" s="402">
        <v>17</v>
      </c>
      <c r="J331" s="403">
        <f>I186</f>
        <v>90</v>
      </c>
      <c r="K331" s="403">
        <f t="shared" ref="K331:M331" si="287">J186</f>
        <v>-0.8</v>
      </c>
      <c r="L331" s="403" t="str">
        <f t="shared" si="287"/>
        <v>-</v>
      </c>
      <c r="M331" s="403">
        <f t="shared" si="287"/>
        <v>0</v>
      </c>
      <c r="N331" s="343"/>
      <c r="O331" s="343"/>
      <c r="P331" s="421"/>
    </row>
    <row r="332" spans="1:16">
      <c r="A332" s="1117"/>
      <c r="B332" s="402">
        <v>18</v>
      </c>
      <c r="C332" s="403">
        <f>C196</f>
        <v>40</v>
      </c>
      <c r="D332" s="403">
        <f t="shared" ref="D332:F332" si="288">D196</f>
        <v>-0.4</v>
      </c>
      <c r="E332" s="403" t="str">
        <f t="shared" si="288"/>
        <v>-</v>
      </c>
      <c r="F332" s="403">
        <f t="shared" si="288"/>
        <v>0</v>
      </c>
      <c r="G332" s="343"/>
      <c r="H332" s="1118"/>
      <c r="I332" s="402">
        <v>18</v>
      </c>
      <c r="J332" s="403">
        <f>I196</f>
        <v>90</v>
      </c>
      <c r="K332" s="403">
        <f t="shared" ref="K332:M332" si="289">J196</f>
        <v>-0.9</v>
      </c>
      <c r="L332" s="403" t="str">
        <f t="shared" si="289"/>
        <v>-</v>
      </c>
      <c r="M332" s="403">
        <f t="shared" si="289"/>
        <v>0</v>
      </c>
      <c r="N332" s="343"/>
      <c r="O332" s="343"/>
      <c r="P332" s="421"/>
    </row>
    <row r="333" spans="1:16" ht="13.8" thickBot="1">
      <c r="A333" s="428"/>
      <c r="B333" s="429"/>
      <c r="C333" s="413"/>
      <c r="D333" s="413"/>
      <c r="E333" s="413"/>
      <c r="F333" s="413"/>
      <c r="G333" s="413"/>
      <c r="H333" s="343"/>
      <c r="I333" s="430"/>
      <c r="J333" s="429"/>
      <c r="K333" s="413"/>
      <c r="L333" s="413"/>
      <c r="M333" s="413"/>
      <c r="N333" s="413"/>
      <c r="O333" s="413"/>
      <c r="P333" s="421"/>
    </row>
    <row r="334" spans="1:16">
      <c r="A334" s="28">
        <f>A372</f>
        <v>18</v>
      </c>
      <c r="B334" s="1124" t="str">
        <f>A353</f>
        <v>Digital Thermohygro Barometer : EXTECH, SD700, SN : A.100586</v>
      </c>
      <c r="C334" s="1124"/>
      <c r="D334" s="1125"/>
      <c r="E334" s="29"/>
      <c r="F334" s="28">
        <f>A334</f>
        <v>18</v>
      </c>
      <c r="G334" s="1124" t="str">
        <f>B334</f>
        <v>Digital Thermohygro Barometer : EXTECH, SD700, SN : A.100586</v>
      </c>
      <c r="H334" s="1124"/>
      <c r="I334" s="1125"/>
      <c r="J334" s="29"/>
      <c r="K334" s="28">
        <f>A334</f>
        <v>18</v>
      </c>
      <c r="L334" s="1126" t="str">
        <f>G334</f>
        <v>Digital Thermohygro Barometer : EXTECH, SD700, SN : A.100586</v>
      </c>
      <c r="M334" s="1127"/>
      <c r="N334" s="1127"/>
      <c r="O334" s="1128"/>
      <c r="P334" s="421"/>
    </row>
    <row r="335" spans="1:16" ht="13.8">
      <c r="A335" s="431" t="s">
        <v>163</v>
      </c>
      <c r="B335" s="1141" t="s">
        <v>200</v>
      </c>
      <c r="C335" s="1141"/>
      <c r="D335" s="1142" t="s">
        <v>170</v>
      </c>
      <c r="E335" s="413"/>
      <c r="F335" s="431" t="s">
        <v>164</v>
      </c>
      <c r="G335" s="1141" t="s">
        <v>200</v>
      </c>
      <c r="H335" s="1141"/>
      <c r="I335" s="1142" t="s">
        <v>170</v>
      </c>
      <c r="J335" s="413"/>
      <c r="K335" s="1143"/>
      <c r="L335" s="1146" t="s">
        <v>222</v>
      </c>
      <c r="M335" s="1146" t="s">
        <v>223</v>
      </c>
      <c r="N335" s="1146" t="s">
        <v>224</v>
      </c>
      <c r="O335" s="1123" t="s">
        <v>94</v>
      </c>
      <c r="P335" s="421"/>
    </row>
    <row r="336" spans="1:16" ht="14.4">
      <c r="A336" s="18" t="s">
        <v>214</v>
      </c>
      <c r="B336" s="432">
        <f>VLOOKUP(B334,A354:K371,9,FALSE)</f>
        <v>2020</v>
      </c>
      <c r="C336" s="432" t="str">
        <f>VLOOKUP(B334,A354:K371,10,FALSE)</f>
        <v>-</v>
      </c>
      <c r="D336" s="1142"/>
      <c r="E336" s="413"/>
      <c r="F336" s="30" t="s">
        <v>73</v>
      </c>
      <c r="G336" s="432">
        <f>B336</f>
        <v>2020</v>
      </c>
      <c r="H336" s="432" t="str">
        <f>C336</f>
        <v>-</v>
      </c>
      <c r="I336" s="1142"/>
      <c r="J336" s="413"/>
      <c r="K336" s="1144"/>
      <c r="L336" s="1146"/>
      <c r="M336" s="1146"/>
      <c r="N336" s="1146"/>
      <c r="O336" s="1123"/>
      <c r="P336" s="421"/>
    </row>
    <row r="337" spans="1:17">
      <c r="A337" s="433">
        <f>VLOOKUP($A$334,$B$201:$F$218,2,FALSE)</f>
        <v>15</v>
      </c>
      <c r="B337" s="434">
        <f>VLOOKUP($A$334,$B$201:$F$218,3,FALSE)</f>
        <v>9.9999999999999995E-7</v>
      </c>
      <c r="C337" s="434" t="str">
        <f>VLOOKUP($A$334,$B$201:$F$218,4,FALSE)</f>
        <v>-</v>
      </c>
      <c r="D337" s="435">
        <f>VLOOKUP($A$334,$B$201:$F$218,5,FALSE)</f>
        <v>0</v>
      </c>
      <c r="E337" s="413"/>
      <c r="F337" s="433">
        <f>VLOOKUP($F$334,$I$201:$M$218,2,FALSE)</f>
        <v>30</v>
      </c>
      <c r="G337" s="434">
        <f>VLOOKUP($F$334,$I$201:$M$218,3,FALSE)</f>
        <v>-0.4</v>
      </c>
      <c r="H337" s="434" t="str">
        <f>VLOOKUP($F$334,$I$201:$M$218,4,FALSE)</f>
        <v>-</v>
      </c>
      <c r="I337" s="435">
        <f>VLOOKUP($F$334,$I$201:$M$218,5,FALSE)</f>
        <v>0</v>
      </c>
      <c r="J337" s="413"/>
      <c r="K337" s="1145"/>
      <c r="L337" s="1146"/>
      <c r="M337" s="1146"/>
      <c r="N337" s="1146"/>
      <c r="O337" s="1123"/>
      <c r="P337" s="421"/>
      <c r="Q337" s="547">
        <f>O338</f>
        <v>0.3</v>
      </c>
    </row>
    <row r="338" spans="1:17">
      <c r="A338" s="433">
        <f>VLOOKUP($A$334,$B$220:$F$237,2,FALSE)</f>
        <v>20</v>
      </c>
      <c r="B338" s="434">
        <f>VLOOKUP($A$334,$B$220:$F$237,3,FALSE)</f>
        <v>9.9999999999999995E-7</v>
      </c>
      <c r="C338" s="434" t="str">
        <f>VLOOKUP($A$334,$B$220:$F$237,4,FALSE)</f>
        <v>-</v>
      </c>
      <c r="D338" s="435">
        <f>VLOOKUP($A$334,$B$220:$F$237,5,FALSE)</f>
        <v>0</v>
      </c>
      <c r="E338" s="413"/>
      <c r="F338" s="433">
        <f>VLOOKUP($F$334,$I$220:$M$237,2,FALSE)</f>
        <v>40</v>
      </c>
      <c r="G338" s="434">
        <f>VLOOKUP($F$334,$I$220:$M$237,3,FALSE)</f>
        <v>-0.1</v>
      </c>
      <c r="H338" s="434" t="str">
        <f>VLOOKUP($F$334,$I$220:$M$237,4,FALSE)</f>
        <v>-</v>
      </c>
      <c r="I338" s="435">
        <f>VLOOKUP($F$334,$I$220:$M$237,5,FALSE)</f>
        <v>0</v>
      </c>
      <c r="J338" s="413"/>
      <c r="K338" s="436" t="s">
        <v>163</v>
      </c>
      <c r="L338" s="437">
        <f>AVERAGE(ID!E16:F16)</f>
        <v>24.5</v>
      </c>
      <c r="M338" s="438">
        <f>L338+C347</f>
        <v>24.500001000000001</v>
      </c>
      <c r="N338" s="437">
        <f>STDEV(ID!E16:F16)</f>
        <v>0.70710678118654757</v>
      </c>
      <c r="O338" s="32">
        <f>VLOOKUP(K334,$O$200:$P$217,2,(FALSE))</f>
        <v>0.3</v>
      </c>
      <c r="P338" s="33"/>
    </row>
    <row r="339" spans="1:17" ht="13.8" thickBot="1">
      <c r="A339" s="433">
        <f>VLOOKUP($A$334,$B$239:$F$256,2,FALSE)</f>
        <v>25</v>
      </c>
      <c r="B339" s="434">
        <f>VLOOKUP($A$334,$B$239:$F$256,3,FALSE)</f>
        <v>9.9999999999999995E-7</v>
      </c>
      <c r="C339" s="434" t="str">
        <f>VLOOKUP($A$334,$B$239:$F$256,4,FALSE)</f>
        <v>-</v>
      </c>
      <c r="D339" s="435">
        <f>VLOOKUP($A$334,$B$239:$F$256,5,FALSE)</f>
        <v>0</v>
      </c>
      <c r="E339" s="413"/>
      <c r="F339" s="433">
        <f>VLOOKUP($F$334,$I$239:$M$256,2,FALSE)</f>
        <v>50</v>
      </c>
      <c r="G339" s="434">
        <f>VLOOKUP($F$334,$I$239:$M$256,3,FALSE)</f>
        <v>9.9999999999999995E-7</v>
      </c>
      <c r="H339" s="434" t="str">
        <f>VLOOKUP($F$334,$I$239:$M$256,4,FALSE)</f>
        <v>-</v>
      </c>
      <c r="I339" s="435">
        <f>VLOOKUP($F$334,$I$239:$M$256,5,FALSE)</f>
        <v>0</v>
      </c>
      <c r="J339" s="413"/>
      <c r="K339" s="439" t="s">
        <v>73</v>
      </c>
      <c r="L339" s="440">
        <f>AVERAGE(ID!E17:F17)</f>
        <v>79.5</v>
      </c>
      <c r="M339" s="441">
        <f>L339+H347</f>
        <v>79.02</v>
      </c>
      <c r="N339" s="437">
        <f>STDEV(ID!E17:F17)</f>
        <v>0.70710678118654757</v>
      </c>
      <c r="O339" s="34">
        <f>VLOOKUP(K334,$O$222:$P$239,2,(FALSE))</f>
        <v>2</v>
      </c>
      <c r="P339" s="33"/>
      <c r="Q339" s="547">
        <f>O339</f>
        <v>2</v>
      </c>
    </row>
    <row r="340" spans="1:17">
      <c r="A340" s="433">
        <f>VLOOKUP($A$334,$B$258:$F$275,2,FALSE)</f>
        <v>30</v>
      </c>
      <c r="B340" s="434">
        <f>VLOOKUP($A$334,$B$258:$F$275,3,FALSE)</f>
        <v>-0.1</v>
      </c>
      <c r="C340" s="434" t="str">
        <f>VLOOKUP($A$334,$B$258:$F$275,4,FALSE)</f>
        <v>-</v>
      </c>
      <c r="D340" s="435">
        <f>VLOOKUP($A$334,$B$258:$F$275,5,FALSE)</f>
        <v>0</v>
      </c>
      <c r="E340" s="413"/>
      <c r="F340" s="433">
        <f>VLOOKUP($F$334,$I$258:$M$275,2,FALSE)</f>
        <v>60</v>
      </c>
      <c r="G340" s="434">
        <f>VLOOKUP($F$334,$I$258:$M$275,3,FALSE)</f>
        <v>9.9999999999999995E-7</v>
      </c>
      <c r="H340" s="434" t="str">
        <f>VLOOKUP($F$334,$I$258:$M$275,4,FALSE)</f>
        <v>-</v>
      </c>
      <c r="I340" s="435">
        <f>VLOOKUP($F$334,$I$258:$M$275,5,FALSE)</f>
        <v>0</v>
      </c>
      <c r="J340" s="413"/>
      <c r="K340" s="413"/>
      <c r="L340" s="35"/>
      <c r="M340" s="36"/>
      <c r="N340" s="35"/>
      <c r="O340" s="37"/>
      <c r="P340" s="33"/>
    </row>
    <row r="341" spans="1:17">
      <c r="A341" s="433">
        <f>VLOOKUP($A$334,$B$277:$F$294,2,FALSE)</f>
        <v>35</v>
      </c>
      <c r="B341" s="434">
        <f>VLOOKUP($A$334,$B$277:$F$294,3,FALSE)</f>
        <v>-0.2</v>
      </c>
      <c r="C341" s="434" t="str">
        <f>VLOOKUP($A$334,$B$277:$F$294,4,FALSE)</f>
        <v>-</v>
      </c>
      <c r="D341" s="435">
        <f>VLOOKUP($A$334,$B$277:$F$294,5,FALSE)</f>
        <v>0</v>
      </c>
      <c r="E341" s="413"/>
      <c r="F341" s="433">
        <f>VLOOKUP($F$334,$I$277:$M$294,2,FALSE)</f>
        <v>70</v>
      </c>
      <c r="G341" s="434">
        <f>VLOOKUP($F$334,$I$277:$M$294,3,FALSE)</f>
        <v>-0.1</v>
      </c>
      <c r="H341" s="434" t="str">
        <f>VLOOKUP($F$334,$I$277:$M$294,4,FALSE)</f>
        <v>-</v>
      </c>
      <c r="I341" s="435">
        <f>VLOOKUP($F$334,$I$277:$M$294,5,FALSE)</f>
        <v>0</v>
      </c>
      <c r="J341" s="413"/>
      <c r="K341" s="413"/>
      <c r="L341" s="1129" t="s">
        <v>225</v>
      </c>
      <c r="M341" s="1129"/>
      <c r="N341" s="1129"/>
      <c r="O341" s="38"/>
      <c r="P341" s="33"/>
    </row>
    <row r="342" spans="1:17" ht="15.6">
      <c r="A342" s="433">
        <f>VLOOKUP($A$334,$B$296:$F$313,2,FALSE)</f>
        <v>37</v>
      </c>
      <c r="B342" s="434">
        <f>VLOOKUP($A$334,$B$296:$F$313,3,FALSE)</f>
        <v>-0.3</v>
      </c>
      <c r="C342" s="434" t="str">
        <f>VLOOKUP($A$334,$B$296:$F$313,4,FALSE)</f>
        <v>-</v>
      </c>
      <c r="D342" s="435">
        <f>VLOOKUP($A$334,$B$296:$F$313,5,FALSE)</f>
        <v>0</v>
      </c>
      <c r="E342" s="413"/>
      <c r="F342" s="433">
        <f>VLOOKUP($F$334,$I$296:$M$313,2,FALSE)</f>
        <v>80</v>
      </c>
      <c r="G342" s="434">
        <f>VLOOKUP($F$334,$I$296:$M$313,3,FALSE)</f>
        <v>-0.5</v>
      </c>
      <c r="H342" s="434" t="str">
        <f>VLOOKUP($F$334,$I$296:$M$313,4,FALSE)</f>
        <v>-</v>
      </c>
      <c r="I342" s="435">
        <f>VLOOKUP($F$334,$I$296:$M$313,5,FALSE)</f>
        <v>0</v>
      </c>
      <c r="J342" s="413"/>
      <c r="K342" s="413"/>
      <c r="L342" s="39" t="str">
        <f>TEXT(M338,"0.0")</f>
        <v>24.5</v>
      </c>
      <c r="M342" s="39" t="str">
        <f>TEXT(O338,"0.0")</f>
        <v>0.3</v>
      </c>
      <c r="N342" s="442" t="s">
        <v>226</v>
      </c>
      <c r="O342" s="40"/>
      <c r="P342" s="41"/>
    </row>
    <row r="343" spans="1:17" ht="16.2" thickBot="1">
      <c r="A343" s="443">
        <f>VLOOKUP($A$334,$B$315:$F$332,2,FALSE)</f>
        <v>40</v>
      </c>
      <c r="B343" s="444">
        <f>VLOOKUP($A$334,$B$315:$F$332,3,FALSE)</f>
        <v>-0.4</v>
      </c>
      <c r="C343" s="444" t="str">
        <f>VLOOKUP($A$334,$B$315:$F$332,4,FALSE)</f>
        <v>-</v>
      </c>
      <c r="D343" s="445">
        <f>VLOOKUP($A$334,$B$315:$F$332,5,FALSE)</f>
        <v>0</v>
      </c>
      <c r="E343" s="413"/>
      <c r="F343" s="443">
        <f>VLOOKUP($F$334,$I$315:$M$332,2,FALSE)</f>
        <v>90</v>
      </c>
      <c r="G343" s="444">
        <f>VLOOKUP($F$334,$I$315:$M$332,3,FALSE)</f>
        <v>-0.9</v>
      </c>
      <c r="H343" s="444" t="str">
        <f>VLOOKUP($F$334,$I$315:$M$332,4,FALSE)</f>
        <v>-</v>
      </c>
      <c r="I343" s="445">
        <f>VLOOKUP($F$334,$I$315:$M$332,5,FALSE)</f>
        <v>0</v>
      </c>
      <c r="J343" s="413"/>
      <c r="K343" s="413"/>
      <c r="L343" s="39" t="str">
        <f>TEXT(M339,"0.0")</f>
        <v>79.0</v>
      </c>
      <c r="M343" s="39" t="str">
        <f>TEXT(O339,"0.0")</f>
        <v>2.0</v>
      </c>
      <c r="N343" s="442" t="s">
        <v>227</v>
      </c>
      <c r="O343" s="40"/>
      <c r="P343" s="33"/>
    </row>
    <row r="344" spans="1:17" ht="16.2" thickBot="1">
      <c r="A344" s="446"/>
      <c r="B344" s="413"/>
      <c r="C344" s="413"/>
      <c r="D344" s="413"/>
      <c r="E344" s="413"/>
      <c r="F344" s="413"/>
      <c r="G344" s="413"/>
      <c r="H344" s="413"/>
      <c r="I344" s="413"/>
      <c r="J344" s="413"/>
      <c r="K344" s="413"/>
      <c r="L344" s="447" t="s">
        <v>228</v>
      </c>
      <c r="M344" s="448" t="s">
        <v>229</v>
      </c>
      <c r="N344" s="448" t="s">
        <v>230</v>
      </c>
      <c r="O344" s="40"/>
      <c r="P344" s="43"/>
    </row>
    <row r="345" spans="1:17" ht="14.4" thickBot="1">
      <c r="A345" s="1130" t="s">
        <v>231</v>
      </c>
      <c r="B345" s="1131"/>
      <c r="C345" s="1131"/>
      <c r="D345" s="1132"/>
      <c r="E345" s="31"/>
      <c r="F345" s="1130" t="s">
        <v>232</v>
      </c>
      <c r="G345" s="1131"/>
      <c r="H345" s="1131"/>
      <c r="I345" s="1132"/>
      <c r="J345" s="413"/>
      <c r="K345" s="413"/>
      <c r="L345" s="413"/>
      <c r="M345" s="44"/>
      <c r="N345" s="12"/>
      <c r="O345" s="40"/>
      <c r="P345" s="45"/>
    </row>
    <row r="346" spans="1:17" ht="13.8">
      <c r="A346" s="28"/>
      <c r="B346" s="449">
        <f>IF(A347&lt;=A338,A337,IF(A347&lt;=A339,A338,IF(A347&lt;=A340,A339,IF(A347&lt;=A341,A340,IF(A347&lt;=A342,A341,IF(A347&lt;=A343,A342))))))</f>
        <v>20</v>
      </c>
      <c r="C346" s="449"/>
      <c r="D346" s="450">
        <f>IF(A347&lt;=A338,B337,IF(A347&lt;=A339,B338,IF(A347&lt;=A340,B339,IF(A347&lt;=A341,B340,IF(A347&lt;=A342,B341,IF(A347&lt;=A343,B342))))))</f>
        <v>9.9999999999999995E-7</v>
      </c>
      <c r="E346" s="451"/>
      <c r="F346" s="452"/>
      <c r="G346" s="449">
        <f>IF(F347&lt;=F338,F337,IF(F347&lt;=F339,F338,IF(F347&lt;=F340,F339,IF(F347&lt;=F341,F340,IF(F347&lt;=F342,F341,IF(F347&lt;=F343,F342))))))</f>
        <v>70</v>
      </c>
      <c r="H346" s="449"/>
      <c r="I346" s="450">
        <f>IF(F347&lt;=F338,G337,IF(F347&lt;=F339,G338,IF(F347&lt;=F340,G339,IF(F347&lt;=F341,G340,IF(F347&lt;=F342,G341,IF(F347&lt;=F343,G342))))))</f>
        <v>-0.1</v>
      </c>
      <c r="J346" s="413"/>
      <c r="K346" s="413"/>
      <c r="L346" s="413"/>
      <c r="M346" s="413"/>
      <c r="N346" s="413"/>
      <c r="O346" s="46"/>
      <c r="P346" s="46"/>
    </row>
    <row r="347" spans="1:17" ht="14.4">
      <c r="A347" s="453">
        <f>L338</f>
        <v>24.5</v>
      </c>
      <c r="B347" s="454"/>
      <c r="C347" s="454">
        <f>((A347-B346)/(B348-B346)*(D348-D346)+D346)</f>
        <v>9.9999999999999995E-7</v>
      </c>
      <c r="D347" s="455"/>
      <c r="E347" s="451"/>
      <c r="F347" s="453">
        <f>L339</f>
        <v>79.5</v>
      </c>
      <c r="G347" s="454"/>
      <c r="H347" s="454">
        <f>((F347-G346)/(G348-G346)*(I348-I346)+I346)</f>
        <v>-0.48</v>
      </c>
      <c r="I347" s="455"/>
      <c r="J347" s="413"/>
      <c r="K347" s="413" t="str">
        <f>L344&amp;L342&amp;M344&amp;M342&amp;N344&amp;N342</f>
        <v>( 24.5 ± 0.3 ) °C</v>
      </c>
      <c r="L347" s="413"/>
      <c r="M347" s="413"/>
      <c r="N347" s="413"/>
      <c r="O347" s="46"/>
      <c r="P347" s="47"/>
    </row>
    <row r="348" spans="1:17" ht="13.8" thickBot="1">
      <c r="A348" s="456"/>
      <c r="B348" s="457">
        <f>IF(A347&lt;=A338,A338,IF(A347&lt;=A339,A339,IF(A347&lt;=A340,A340,IF(A347&lt;=A341,A341,IF(A347&lt;=A342,A342,IF(A347&lt;=A343,A343))))))</f>
        <v>25</v>
      </c>
      <c r="C348" s="458"/>
      <c r="D348" s="459">
        <f>IF(A347&lt;=A338,B338,IF(A347&lt;=A339,B339,IF(A347&lt;=A340,B340,IF(A347&lt;=A341,B341,IF(A347&lt;=A342,B342,IF(A347&lt;=A343,B343))))))</f>
        <v>9.9999999999999995E-7</v>
      </c>
      <c r="E348" s="460"/>
      <c r="F348" s="456"/>
      <c r="G348" s="457">
        <f>IF(F347&lt;=F338,F338,IF(F347&lt;=F339,F339,IF(F347&lt;=F340,F340,IF(F347&lt;=F341,F341,IF(F347&lt;=F342,F342,IF(F347&lt;=F343,F343))))))</f>
        <v>80</v>
      </c>
      <c r="H348" s="458"/>
      <c r="I348" s="459">
        <f>IF(F347&lt;=F338,G338,IF(F347&lt;=F339,G339,IF(F347&lt;=F340,G340,IF(F347&lt;=F341,G341,IF(F347&lt;=F342,G342,IF(F347&lt;=F343,G343))))))</f>
        <v>-0.5</v>
      </c>
      <c r="J348" s="461"/>
      <c r="K348" s="461" t="str">
        <f>L344&amp;L343&amp;M344&amp;M343&amp;N344&amp;N343</f>
        <v>( 79.0 ± 2.0 ) %RH</v>
      </c>
      <c r="L348" s="461"/>
      <c r="M348" s="461"/>
      <c r="N348" s="461"/>
      <c r="O348" s="462"/>
      <c r="P348" s="48"/>
    </row>
    <row r="349" spans="1:17">
      <c r="A349" s="408"/>
      <c r="B349" s="408"/>
      <c r="C349" s="408"/>
      <c r="D349" s="408"/>
      <c r="E349" s="408"/>
      <c r="F349" s="408"/>
      <c r="G349" s="408"/>
      <c r="H349" s="408"/>
      <c r="I349" s="408"/>
      <c r="J349" s="408"/>
      <c r="K349" s="408"/>
      <c r="L349" s="408"/>
      <c r="M349" s="408"/>
      <c r="N349" s="408"/>
      <c r="O349" s="408"/>
      <c r="P349" s="408"/>
    </row>
    <row r="350" spans="1:17">
      <c r="A350" s="408"/>
      <c r="B350" s="408"/>
      <c r="C350" s="408"/>
      <c r="D350" s="408"/>
      <c r="E350" s="408"/>
      <c r="F350" s="408"/>
      <c r="G350" s="408"/>
      <c r="H350" s="408"/>
      <c r="I350" s="408"/>
      <c r="J350" s="408"/>
      <c r="K350" s="408"/>
      <c r="L350" s="408"/>
      <c r="M350" s="408"/>
      <c r="N350" s="408"/>
      <c r="O350" s="408"/>
      <c r="P350" s="408"/>
    </row>
    <row r="351" spans="1:17">
      <c r="A351" s="408"/>
      <c r="B351" s="408"/>
      <c r="C351" s="408"/>
      <c r="D351" s="408"/>
      <c r="E351" s="408"/>
      <c r="F351" s="408"/>
      <c r="G351" s="408"/>
      <c r="H351" s="408"/>
      <c r="I351" s="408"/>
      <c r="J351" s="408"/>
      <c r="K351" s="408"/>
      <c r="L351" s="408"/>
      <c r="M351" s="408"/>
      <c r="N351" s="408"/>
      <c r="O351" s="408"/>
      <c r="P351" s="408"/>
    </row>
    <row r="352" spans="1:17" ht="13.8" thickBot="1">
      <c r="A352" s="408"/>
      <c r="B352" s="408"/>
      <c r="C352" s="408"/>
      <c r="D352" s="408"/>
      <c r="E352" s="408"/>
      <c r="F352" s="408"/>
      <c r="G352" s="408"/>
      <c r="H352" s="408"/>
      <c r="I352" s="408"/>
      <c r="J352" s="408"/>
      <c r="K352" s="408"/>
      <c r="L352" s="408"/>
      <c r="M352" s="408"/>
      <c r="N352" s="408"/>
      <c r="O352" s="408"/>
      <c r="P352" s="408"/>
    </row>
    <row r="353" spans="1:16" ht="14.4" thickBot="1">
      <c r="A353" s="1133" t="str">
        <f>ID!B52</f>
        <v>Digital Thermohygro Barometer : EXTECH, SD700, SN : A.100586</v>
      </c>
      <c r="B353" s="1134"/>
      <c r="C353" s="1134"/>
      <c r="D353" s="1134"/>
      <c r="E353" s="1134"/>
      <c r="F353" s="1134"/>
      <c r="G353" s="1134"/>
      <c r="H353" s="1134"/>
      <c r="I353" s="1135"/>
      <c r="J353" s="1135"/>
      <c r="K353" s="1136"/>
      <c r="L353" s="345"/>
      <c r="M353" s="345"/>
      <c r="N353" s="345"/>
      <c r="O353" s="345"/>
      <c r="P353" s="345"/>
    </row>
    <row r="354" spans="1:16" ht="13.8">
      <c r="A354" s="861" t="s">
        <v>471</v>
      </c>
      <c r="B354" s="862"/>
      <c r="C354" s="862"/>
      <c r="D354" s="863"/>
      <c r="E354" s="863"/>
      <c r="F354" s="863"/>
      <c r="G354" s="864"/>
      <c r="H354" s="865"/>
      <c r="I354" s="866">
        <f>D4</f>
        <v>2020</v>
      </c>
      <c r="J354" s="867">
        <f>E4</f>
        <v>2017</v>
      </c>
      <c r="K354" s="868">
        <v>1</v>
      </c>
      <c r="L354" s="345"/>
      <c r="M354" s="345"/>
      <c r="N354" s="345"/>
      <c r="O354" s="345"/>
      <c r="P354" s="345"/>
    </row>
    <row r="355" spans="1:16" ht="13.8">
      <c r="A355" s="861" t="s">
        <v>472</v>
      </c>
      <c r="B355" s="862"/>
      <c r="C355" s="862"/>
      <c r="D355" s="863"/>
      <c r="E355" s="863"/>
      <c r="F355" s="863"/>
      <c r="G355" s="864"/>
      <c r="H355" s="865"/>
      <c r="I355" s="869">
        <f>D15</f>
        <v>2018</v>
      </c>
      <c r="J355" s="870">
        <f>E15</f>
        <v>2017</v>
      </c>
      <c r="K355" s="868">
        <v>2</v>
      </c>
      <c r="L355" s="345"/>
      <c r="M355" s="345"/>
      <c r="N355" s="345"/>
      <c r="O355" s="345"/>
      <c r="P355" s="345"/>
    </row>
    <row r="356" spans="1:16" ht="13.8">
      <c r="A356" s="861" t="s">
        <v>233</v>
      </c>
      <c r="B356" s="862"/>
      <c r="C356" s="862"/>
      <c r="D356" s="863"/>
      <c r="E356" s="863"/>
      <c r="F356" s="863"/>
      <c r="G356" s="864"/>
      <c r="H356" s="865"/>
      <c r="I356" s="869">
        <f>D26</f>
        <v>2018</v>
      </c>
      <c r="J356" s="870">
        <f>E26</f>
        <v>2017</v>
      </c>
      <c r="K356" s="868">
        <v>3</v>
      </c>
      <c r="L356" s="345"/>
      <c r="M356" s="345"/>
      <c r="N356" s="345"/>
      <c r="O356" s="345"/>
      <c r="P356" s="345"/>
    </row>
    <row r="357" spans="1:16" ht="13.8">
      <c r="A357" s="861" t="s">
        <v>473</v>
      </c>
      <c r="B357" s="862"/>
      <c r="C357" s="862"/>
      <c r="D357" s="863"/>
      <c r="E357" s="863"/>
      <c r="F357" s="863"/>
      <c r="G357" s="864"/>
      <c r="H357" s="865"/>
      <c r="I357" s="869">
        <f>D37</f>
        <v>2017</v>
      </c>
      <c r="J357" s="870">
        <f>E37</f>
        <v>2015</v>
      </c>
      <c r="K357" s="868">
        <v>4</v>
      </c>
      <c r="L357" s="345"/>
      <c r="M357" s="345"/>
      <c r="N357" s="345"/>
      <c r="O357" s="345"/>
      <c r="P357" s="345"/>
    </row>
    <row r="358" spans="1:16" ht="13.8">
      <c r="A358" s="861" t="s">
        <v>474</v>
      </c>
      <c r="B358" s="862"/>
      <c r="C358" s="862"/>
      <c r="D358" s="863"/>
      <c r="E358" s="863"/>
      <c r="F358" s="863"/>
      <c r="G358" s="864"/>
      <c r="H358" s="865"/>
      <c r="I358" s="869">
        <f>D48</f>
        <v>2017</v>
      </c>
      <c r="J358" s="870">
        <f>E48</f>
        <v>2015</v>
      </c>
      <c r="K358" s="868">
        <v>5</v>
      </c>
      <c r="L358" s="345"/>
      <c r="M358" s="345"/>
      <c r="N358" s="345"/>
      <c r="O358" s="345"/>
      <c r="P358" s="345"/>
    </row>
    <row r="359" spans="1:16" ht="13.8">
      <c r="A359" s="861" t="s">
        <v>234</v>
      </c>
      <c r="B359" s="862"/>
      <c r="C359" s="862"/>
      <c r="D359" s="863"/>
      <c r="E359" s="863"/>
      <c r="F359" s="863"/>
      <c r="G359" s="864"/>
      <c r="H359" s="865"/>
      <c r="I359" s="869">
        <f>D59</f>
        <v>2018</v>
      </c>
      <c r="J359" s="870">
        <f>E59</f>
        <v>2017</v>
      </c>
      <c r="K359" s="868">
        <v>6</v>
      </c>
      <c r="L359" s="345"/>
      <c r="M359" s="345"/>
      <c r="N359" s="345"/>
      <c r="O359" s="345"/>
      <c r="P359" s="345"/>
    </row>
    <row r="360" spans="1:16" ht="13.8">
      <c r="A360" s="861" t="s">
        <v>84</v>
      </c>
      <c r="B360" s="862"/>
      <c r="C360" s="862"/>
      <c r="D360" s="863"/>
      <c r="E360" s="863"/>
      <c r="F360" s="863"/>
      <c r="G360" s="864"/>
      <c r="H360" s="865"/>
      <c r="I360" s="869">
        <f>D70</f>
        <v>2018</v>
      </c>
      <c r="J360" s="870">
        <f>E70</f>
        <v>2017</v>
      </c>
      <c r="K360" s="868">
        <v>7</v>
      </c>
      <c r="L360" s="345"/>
      <c r="M360" s="345"/>
      <c r="N360" s="345"/>
      <c r="O360" s="345"/>
      <c r="P360" s="345"/>
    </row>
    <row r="361" spans="1:16" ht="13.8">
      <c r="A361" s="861" t="s">
        <v>392</v>
      </c>
      <c r="B361" s="862"/>
      <c r="C361" s="862"/>
      <c r="D361" s="863"/>
      <c r="E361" s="863"/>
      <c r="F361" s="863"/>
      <c r="G361" s="864"/>
      <c r="H361" s="865"/>
      <c r="I361" s="869">
        <f>D81</f>
        <v>2019</v>
      </c>
      <c r="J361" s="870">
        <f>E81</f>
        <v>2017</v>
      </c>
      <c r="K361" s="868">
        <v>8</v>
      </c>
      <c r="L361" s="345"/>
      <c r="M361" s="345"/>
      <c r="N361" s="345"/>
      <c r="O361" s="345"/>
      <c r="P361" s="345"/>
    </row>
    <row r="362" spans="1:16" ht="13.8">
      <c r="A362" s="861" t="s">
        <v>235</v>
      </c>
      <c r="B362" s="862"/>
      <c r="C362" s="862"/>
      <c r="D362" s="863"/>
      <c r="E362" s="863"/>
      <c r="F362" s="863"/>
      <c r="G362" s="864"/>
      <c r="H362" s="865"/>
      <c r="I362" s="869">
        <f>D92</f>
        <v>2019</v>
      </c>
      <c r="J362" s="870" t="str">
        <f>E92</f>
        <v>-</v>
      </c>
      <c r="K362" s="868">
        <v>9</v>
      </c>
      <c r="L362" s="345"/>
      <c r="M362" s="345"/>
      <c r="N362" s="345"/>
      <c r="O362" s="345"/>
      <c r="P362" s="345"/>
    </row>
    <row r="363" spans="1:16" ht="13.8">
      <c r="A363" s="861" t="s">
        <v>236</v>
      </c>
      <c r="B363" s="862"/>
      <c r="C363" s="862"/>
      <c r="D363" s="863"/>
      <c r="E363" s="863"/>
      <c r="F363" s="863"/>
      <c r="G363" s="864"/>
      <c r="H363" s="865"/>
      <c r="I363" s="869">
        <f>D103</f>
        <v>2019</v>
      </c>
      <c r="J363" s="870">
        <f>E103</f>
        <v>2016</v>
      </c>
      <c r="K363" s="868">
        <v>10</v>
      </c>
      <c r="L363" s="345"/>
      <c r="M363" s="345"/>
      <c r="N363" s="345"/>
      <c r="O363" s="345"/>
      <c r="P363" s="345"/>
    </row>
    <row r="364" spans="1:16" ht="13.8">
      <c r="A364" s="861" t="s">
        <v>237</v>
      </c>
      <c r="B364" s="862"/>
      <c r="C364" s="862"/>
      <c r="D364" s="863"/>
      <c r="E364" s="863"/>
      <c r="F364" s="863"/>
      <c r="G364" s="864"/>
      <c r="H364" s="865"/>
      <c r="I364" s="869">
        <f>D114</f>
        <v>2020</v>
      </c>
      <c r="J364" s="870" t="str">
        <f>E114</f>
        <v>-</v>
      </c>
      <c r="K364" s="868">
        <v>11</v>
      </c>
      <c r="L364" s="345"/>
      <c r="M364" s="345"/>
      <c r="N364" s="345"/>
      <c r="O364" s="345"/>
      <c r="P364" s="345"/>
    </row>
    <row r="365" spans="1:16" ht="13.8">
      <c r="A365" s="861" t="s">
        <v>393</v>
      </c>
      <c r="B365" s="862"/>
      <c r="C365" s="862"/>
      <c r="D365" s="863"/>
      <c r="E365" s="863"/>
      <c r="F365" s="863"/>
      <c r="G365" s="864"/>
      <c r="H365" s="865"/>
      <c r="I365" s="871">
        <v>2020</v>
      </c>
      <c r="J365" s="872" t="s">
        <v>171</v>
      </c>
      <c r="K365" s="868">
        <v>12</v>
      </c>
      <c r="L365" s="345"/>
      <c r="M365" s="345"/>
      <c r="N365" s="345"/>
      <c r="O365" s="345"/>
      <c r="P365" s="345"/>
    </row>
    <row r="366" spans="1:16" ht="13.8">
      <c r="A366" s="861" t="s">
        <v>394</v>
      </c>
      <c r="B366" s="862"/>
      <c r="C366" s="862"/>
      <c r="D366" s="863"/>
      <c r="E366" s="863"/>
      <c r="F366" s="863"/>
      <c r="G366" s="864"/>
      <c r="H366" s="865"/>
      <c r="I366" s="871">
        <v>2020</v>
      </c>
      <c r="J366" s="872" t="s">
        <v>171</v>
      </c>
      <c r="K366" s="868">
        <v>13</v>
      </c>
      <c r="L366" s="345"/>
      <c r="M366" s="345"/>
      <c r="N366" s="345"/>
      <c r="O366" s="345"/>
      <c r="P366" s="345"/>
    </row>
    <row r="367" spans="1:16" ht="13.8">
      <c r="A367" s="861" t="s">
        <v>395</v>
      </c>
      <c r="B367" s="862"/>
      <c r="C367" s="862"/>
      <c r="D367" s="863"/>
      <c r="E367" s="863"/>
      <c r="F367" s="863"/>
      <c r="G367" s="864"/>
      <c r="H367" s="865"/>
      <c r="I367" s="871">
        <v>2020</v>
      </c>
      <c r="J367" s="872" t="s">
        <v>171</v>
      </c>
      <c r="K367" s="868">
        <v>14</v>
      </c>
      <c r="L367" s="345"/>
      <c r="M367" s="345"/>
      <c r="N367" s="345"/>
      <c r="O367" s="345"/>
      <c r="P367" s="345"/>
    </row>
    <row r="368" spans="1:16" ht="13.8">
      <c r="A368" s="861" t="s">
        <v>396</v>
      </c>
      <c r="B368" s="862"/>
      <c r="C368" s="862"/>
      <c r="D368" s="863"/>
      <c r="E368" s="863"/>
      <c r="F368" s="863"/>
      <c r="G368" s="864"/>
      <c r="H368" s="865"/>
      <c r="I368" s="871">
        <v>2020</v>
      </c>
      <c r="J368" s="872" t="s">
        <v>171</v>
      </c>
      <c r="K368" s="868">
        <v>15</v>
      </c>
      <c r="L368" s="345"/>
      <c r="M368" s="345"/>
      <c r="N368" s="345"/>
      <c r="O368" s="345"/>
      <c r="P368" s="345"/>
    </row>
    <row r="369" spans="1:16" ht="13.8">
      <c r="A369" s="861" t="s">
        <v>397</v>
      </c>
      <c r="B369" s="862"/>
      <c r="C369" s="862"/>
      <c r="D369" s="863"/>
      <c r="E369" s="863"/>
      <c r="F369" s="863"/>
      <c r="G369" s="864"/>
      <c r="H369" s="865"/>
      <c r="I369" s="871">
        <v>2020</v>
      </c>
      <c r="J369" s="872" t="s">
        <v>171</v>
      </c>
      <c r="K369" s="868">
        <v>16</v>
      </c>
      <c r="L369" s="345"/>
      <c r="M369" s="345"/>
      <c r="N369" s="345"/>
      <c r="O369" s="345"/>
      <c r="P369" s="345"/>
    </row>
    <row r="370" spans="1:16" ht="13.8">
      <c r="A370" s="861" t="s">
        <v>398</v>
      </c>
      <c r="B370" s="862"/>
      <c r="C370" s="862"/>
      <c r="D370" s="863"/>
      <c r="E370" s="863"/>
      <c r="F370" s="863"/>
      <c r="G370" s="864"/>
      <c r="H370" s="865"/>
      <c r="I370" s="871">
        <v>2020</v>
      </c>
      <c r="J370" s="872" t="s">
        <v>171</v>
      </c>
      <c r="K370" s="868">
        <v>17</v>
      </c>
      <c r="L370" s="345"/>
      <c r="M370" s="345"/>
      <c r="N370" s="345"/>
      <c r="O370" s="345"/>
      <c r="P370" s="345"/>
    </row>
    <row r="371" spans="1:16" ht="13.8">
      <c r="A371" s="861" t="s">
        <v>399</v>
      </c>
      <c r="B371" s="862"/>
      <c r="C371" s="862"/>
      <c r="D371" s="863"/>
      <c r="E371" s="863"/>
      <c r="F371" s="863"/>
      <c r="G371" s="864"/>
      <c r="H371" s="865"/>
      <c r="I371" s="869">
        <v>2020</v>
      </c>
      <c r="J371" s="873" t="s">
        <v>171</v>
      </c>
      <c r="K371" s="868">
        <v>18</v>
      </c>
      <c r="L371" s="345"/>
      <c r="M371" s="345"/>
      <c r="N371" s="345"/>
      <c r="O371" s="345"/>
      <c r="P371" s="345"/>
    </row>
    <row r="372" spans="1:16" ht="14.4" thickBot="1">
      <c r="A372" s="1137">
        <f>VLOOKUP(A353,A354:K371,11,(FALSE))</f>
        <v>18</v>
      </c>
      <c r="B372" s="1138"/>
      <c r="C372" s="1138"/>
      <c r="D372" s="1138"/>
      <c r="E372" s="1138"/>
      <c r="F372" s="1138"/>
      <c r="G372" s="1138"/>
      <c r="H372" s="1138"/>
      <c r="I372" s="1139"/>
      <c r="J372" s="1139"/>
      <c r="K372" s="1140"/>
      <c r="L372" s="345"/>
      <c r="M372" s="345"/>
      <c r="N372" s="345"/>
      <c r="O372" s="345"/>
      <c r="P372" s="345"/>
    </row>
  </sheetData>
  <mergeCells count="262">
    <mergeCell ref="L341:N341"/>
    <mergeCell ref="A345:D345"/>
    <mergeCell ref="F345:I345"/>
    <mergeCell ref="A353:K353"/>
    <mergeCell ref="A372:K372"/>
    <mergeCell ref="B335:C335"/>
    <mergeCell ref="D335:D336"/>
    <mergeCell ref="G335:H335"/>
    <mergeCell ref="I335:I336"/>
    <mergeCell ref="K335:K337"/>
    <mergeCell ref="L335:L337"/>
    <mergeCell ref="M335:M337"/>
    <mergeCell ref="N335:N337"/>
    <mergeCell ref="O335:O337"/>
    <mergeCell ref="A277:A294"/>
    <mergeCell ref="H277:H294"/>
    <mergeCell ref="A296:A313"/>
    <mergeCell ref="H296:H313"/>
    <mergeCell ref="A315:A332"/>
    <mergeCell ref="H315:H332"/>
    <mergeCell ref="B334:D334"/>
    <mergeCell ref="G334:I334"/>
    <mergeCell ref="L334:O334"/>
    <mergeCell ref="A201:A218"/>
    <mergeCell ref="H201:H218"/>
    <mergeCell ref="A220:A237"/>
    <mergeCell ref="H220:H237"/>
    <mergeCell ref="O220:P220"/>
    <mergeCell ref="O221:P221"/>
    <mergeCell ref="A239:A256"/>
    <mergeCell ref="H239:H256"/>
    <mergeCell ref="A258:A275"/>
    <mergeCell ref="H258:H275"/>
    <mergeCell ref="A198:A200"/>
    <mergeCell ref="B198:B200"/>
    <mergeCell ref="C198:F198"/>
    <mergeCell ref="H198:H200"/>
    <mergeCell ref="I198:I200"/>
    <mergeCell ref="J198:M198"/>
    <mergeCell ref="O198:P198"/>
    <mergeCell ref="D199:E199"/>
    <mergeCell ref="F199:F200"/>
    <mergeCell ref="K199:L199"/>
    <mergeCell ref="M199:M200"/>
    <mergeCell ref="O199:P199"/>
    <mergeCell ref="A187:A196"/>
    <mergeCell ref="B187:F187"/>
    <mergeCell ref="H187:L187"/>
    <mergeCell ref="N187:O187"/>
    <mergeCell ref="B188:C188"/>
    <mergeCell ref="D188:E188"/>
    <mergeCell ref="F188:F189"/>
    <mergeCell ref="H188:I188"/>
    <mergeCell ref="J188:K188"/>
    <mergeCell ref="L188:L189"/>
    <mergeCell ref="B189:C189"/>
    <mergeCell ref="H189:I189"/>
    <mergeCell ref="A177:A186"/>
    <mergeCell ref="B177:F177"/>
    <mergeCell ref="H177:L177"/>
    <mergeCell ref="N177:O177"/>
    <mergeCell ref="B178:C178"/>
    <mergeCell ref="D178:E178"/>
    <mergeCell ref="F178:F179"/>
    <mergeCell ref="H178:I178"/>
    <mergeCell ref="J178:K178"/>
    <mergeCell ref="L178:L179"/>
    <mergeCell ref="B179:C179"/>
    <mergeCell ref="H179:I179"/>
    <mergeCell ref="A167:A176"/>
    <mergeCell ref="B167:F167"/>
    <mergeCell ref="H167:L167"/>
    <mergeCell ref="N167:O167"/>
    <mergeCell ref="B168:C168"/>
    <mergeCell ref="D168:E168"/>
    <mergeCell ref="F168:F169"/>
    <mergeCell ref="H168:I168"/>
    <mergeCell ref="J168:K168"/>
    <mergeCell ref="L168:L169"/>
    <mergeCell ref="B169:C169"/>
    <mergeCell ref="H169:I169"/>
    <mergeCell ref="A156:A165"/>
    <mergeCell ref="B156:F156"/>
    <mergeCell ref="H156:L156"/>
    <mergeCell ref="N156:O156"/>
    <mergeCell ref="B157:C157"/>
    <mergeCell ref="D157:E157"/>
    <mergeCell ref="F157:F158"/>
    <mergeCell ref="H157:I157"/>
    <mergeCell ref="J157:K157"/>
    <mergeCell ref="L157:L158"/>
    <mergeCell ref="B158:C158"/>
    <mergeCell ref="H158:I158"/>
    <mergeCell ref="A145:A154"/>
    <mergeCell ref="B145:F145"/>
    <mergeCell ref="H145:L145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A134:A143"/>
    <mergeCell ref="B134:F134"/>
    <mergeCell ref="H134:L134"/>
    <mergeCell ref="N134:O134"/>
    <mergeCell ref="B135:C135"/>
    <mergeCell ref="D135:E135"/>
    <mergeCell ref="F135:F136"/>
    <mergeCell ref="H135:I135"/>
    <mergeCell ref="J135:K135"/>
    <mergeCell ref="L135:L136"/>
    <mergeCell ref="B136:C136"/>
    <mergeCell ref="H136:I136"/>
    <mergeCell ref="A13:A22"/>
    <mergeCell ref="A24:A33"/>
    <mergeCell ref="A35:A44"/>
    <mergeCell ref="A46:A55"/>
    <mergeCell ref="A57:A66"/>
    <mergeCell ref="A68:A77"/>
    <mergeCell ref="A79:A88"/>
    <mergeCell ref="A90:A99"/>
    <mergeCell ref="L102:L103"/>
    <mergeCell ref="L14:L15"/>
    <mergeCell ref="L25:L26"/>
    <mergeCell ref="L36:L37"/>
    <mergeCell ref="L47:L48"/>
    <mergeCell ref="L58:L59"/>
    <mergeCell ref="L69:L70"/>
    <mergeCell ref="L80:L81"/>
    <mergeCell ref="L91:L92"/>
    <mergeCell ref="A101:A110"/>
    <mergeCell ref="H101:L101"/>
    <mergeCell ref="H79:L79"/>
    <mergeCell ref="B57:F57"/>
    <mergeCell ref="H57:L57"/>
    <mergeCell ref="B35:F35"/>
    <mergeCell ref="H35:L35"/>
    <mergeCell ref="A112:A121"/>
    <mergeCell ref="A123:A132"/>
    <mergeCell ref="H123:L123"/>
    <mergeCell ref="N123:O123"/>
    <mergeCell ref="B124:C124"/>
    <mergeCell ref="D124:E124"/>
    <mergeCell ref="H124:I124"/>
    <mergeCell ref="J124:K124"/>
    <mergeCell ref="B125:C125"/>
    <mergeCell ref="H125:I125"/>
    <mergeCell ref="B112:F112"/>
    <mergeCell ref="H112:L112"/>
    <mergeCell ref="N112:O112"/>
    <mergeCell ref="B113:C113"/>
    <mergeCell ref="D113:E113"/>
    <mergeCell ref="H113:I113"/>
    <mergeCell ref="J113:K113"/>
    <mergeCell ref="B114:C114"/>
    <mergeCell ref="H114:I114"/>
    <mergeCell ref="L113:L114"/>
    <mergeCell ref="L124:L125"/>
    <mergeCell ref="F113:F114"/>
    <mergeCell ref="F124:F125"/>
    <mergeCell ref="B123:F123"/>
    <mergeCell ref="N101:O101"/>
    <mergeCell ref="B102:C102"/>
    <mergeCell ref="D102:E102"/>
    <mergeCell ref="N90:O90"/>
    <mergeCell ref="B91:C91"/>
    <mergeCell ref="D91:E91"/>
    <mergeCell ref="H91:I91"/>
    <mergeCell ref="J91:K91"/>
    <mergeCell ref="B92:C92"/>
    <mergeCell ref="H92:I92"/>
    <mergeCell ref="F91:F92"/>
    <mergeCell ref="F102:F103"/>
    <mergeCell ref="B101:F101"/>
    <mergeCell ref="H102:I102"/>
    <mergeCell ref="J102:K102"/>
    <mergeCell ref="B103:C103"/>
    <mergeCell ref="H103:I103"/>
    <mergeCell ref="B90:F90"/>
    <mergeCell ref="H90:L90"/>
    <mergeCell ref="N79:O79"/>
    <mergeCell ref="B80:C80"/>
    <mergeCell ref="D80:E80"/>
    <mergeCell ref="H80:I80"/>
    <mergeCell ref="J80:K80"/>
    <mergeCell ref="B81:C81"/>
    <mergeCell ref="H81:I81"/>
    <mergeCell ref="B68:F68"/>
    <mergeCell ref="H68:L68"/>
    <mergeCell ref="N68:O68"/>
    <mergeCell ref="B69:C69"/>
    <mergeCell ref="D69:E69"/>
    <mergeCell ref="H69:I69"/>
    <mergeCell ref="J69:K69"/>
    <mergeCell ref="B70:C70"/>
    <mergeCell ref="H70:I70"/>
    <mergeCell ref="F69:F70"/>
    <mergeCell ref="F80:F81"/>
    <mergeCell ref="B79:F79"/>
    <mergeCell ref="N57:O57"/>
    <mergeCell ref="B58:C58"/>
    <mergeCell ref="D58:E58"/>
    <mergeCell ref="H58:I58"/>
    <mergeCell ref="J58:K58"/>
    <mergeCell ref="B59:C59"/>
    <mergeCell ref="H59:I59"/>
    <mergeCell ref="B46:F46"/>
    <mergeCell ref="H46:L46"/>
    <mergeCell ref="N46:O46"/>
    <mergeCell ref="B47:C47"/>
    <mergeCell ref="D47:E47"/>
    <mergeCell ref="H47:I47"/>
    <mergeCell ref="J47:K47"/>
    <mergeCell ref="B48:C48"/>
    <mergeCell ref="H48:I48"/>
    <mergeCell ref="F47:F48"/>
    <mergeCell ref="F58:F59"/>
    <mergeCell ref="N35:O35"/>
    <mergeCell ref="B36:C36"/>
    <mergeCell ref="D36:E36"/>
    <mergeCell ref="H36:I36"/>
    <mergeCell ref="J36:K36"/>
    <mergeCell ref="B37:C37"/>
    <mergeCell ref="H37:I37"/>
    <mergeCell ref="B24:F24"/>
    <mergeCell ref="H24:L24"/>
    <mergeCell ref="N24:O24"/>
    <mergeCell ref="B25:C25"/>
    <mergeCell ref="D25:E25"/>
    <mergeCell ref="H25:I25"/>
    <mergeCell ref="J25:K25"/>
    <mergeCell ref="B26:C26"/>
    <mergeCell ref="H26:I26"/>
    <mergeCell ref="F25:F26"/>
    <mergeCell ref="F36:F37"/>
    <mergeCell ref="B13:F13"/>
    <mergeCell ref="H13:L13"/>
    <mergeCell ref="N13:O13"/>
    <mergeCell ref="B14:C14"/>
    <mergeCell ref="D14:E14"/>
    <mergeCell ref="H14:I14"/>
    <mergeCell ref="J14:K14"/>
    <mergeCell ref="B15:C15"/>
    <mergeCell ref="H15:I15"/>
    <mergeCell ref="F14:F15"/>
    <mergeCell ref="A1:O1"/>
    <mergeCell ref="B2:F2"/>
    <mergeCell ref="H2:L2"/>
    <mergeCell ref="N2:O2"/>
    <mergeCell ref="B3:C3"/>
    <mergeCell ref="D3:E3"/>
    <mergeCell ref="H3:I3"/>
    <mergeCell ref="J3:K3"/>
    <mergeCell ref="B4:C4"/>
    <mergeCell ref="H4:I4"/>
    <mergeCell ref="A2:A11"/>
    <mergeCell ref="F3:F4"/>
    <mergeCell ref="L3:L4"/>
  </mergeCells>
  <pageMargins left="0.69930555555555596" right="0.69930555555555596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X249"/>
  <sheetViews>
    <sheetView topLeftCell="A227" zoomScale="90" zoomScaleNormal="90" workbookViewId="0">
      <selection activeCell="D232" sqref="D232"/>
    </sheetView>
  </sheetViews>
  <sheetFormatPr defaultColWidth="9" defaultRowHeight="13.2"/>
  <cols>
    <col min="1" max="1" width="10.33203125" style="628" customWidth="1"/>
    <col min="2" max="2" width="10.44140625" style="628" bestFit="1" customWidth="1"/>
    <col min="3" max="3" width="10.5546875" style="628" bestFit="1" customWidth="1"/>
    <col min="4" max="4" width="30" style="628" bestFit="1" customWidth="1"/>
    <col min="5" max="11" width="9" style="628"/>
    <col min="12" max="12" width="12.109375" style="628" customWidth="1"/>
    <col min="13" max="13" width="12.33203125" style="628" customWidth="1"/>
    <col min="14" max="23" width="9" style="628"/>
    <col min="24" max="24" width="12.88671875" style="628" customWidth="1"/>
    <col min="25" max="16384" width="9" style="628"/>
  </cols>
  <sheetData>
    <row r="1" spans="1:22" ht="17.399999999999999">
      <c r="A1" s="1197" t="s">
        <v>238</v>
      </c>
      <c r="B1" s="1198"/>
      <c r="C1" s="1198"/>
      <c r="D1" s="1198"/>
      <c r="E1" s="1198"/>
      <c r="F1" s="1198"/>
      <c r="G1" s="1198"/>
      <c r="H1" s="1198"/>
      <c r="I1" s="1198"/>
      <c r="J1" s="1198"/>
      <c r="K1" s="1198"/>
      <c r="L1" s="1198"/>
      <c r="M1" s="1198"/>
      <c r="N1" s="1198"/>
      <c r="O1" s="1198"/>
      <c r="P1" s="1198"/>
      <c r="Q1" s="1198"/>
      <c r="R1" s="1198"/>
      <c r="S1" s="1198"/>
      <c r="T1" s="1199"/>
      <c r="V1" s="628" t="s">
        <v>55</v>
      </c>
    </row>
    <row r="2" spans="1:22" ht="15" customHeight="1">
      <c r="A2" s="1193" t="s">
        <v>215</v>
      </c>
      <c r="B2" s="1194" t="s">
        <v>239</v>
      </c>
      <c r="C2" s="1194"/>
      <c r="D2" s="1194"/>
      <c r="E2" s="1194"/>
      <c r="F2" s="1194"/>
      <c r="G2" s="475"/>
      <c r="H2" s="1193" t="s">
        <v>216</v>
      </c>
      <c r="I2" s="1194" t="s">
        <v>240</v>
      </c>
      <c r="J2" s="1194"/>
      <c r="K2" s="1194"/>
      <c r="L2" s="1194"/>
      <c r="M2" s="1194"/>
      <c r="N2" s="476"/>
      <c r="O2" s="1193" t="s">
        <v>217</v>
      </c>
      <c r="P2" s="1194" t="s">
        <v>241</v>
      </c>
      <c r="Q2" s="1194"/>
      <c r="R2" s="1194"/>
      <c r="S2" s="1194"/>
      <c r="T2" s="1194"/>
    </row>
    <row r="3" spans="1:22" ht="15" customHeight="1">
      <c r="A3" s="1193"/>
      <c r="B3" s="1195" t="s">
        <v>242</v>
      </c>
      <c r="C3" s="1195"/>
      <c r="D3" s="1195"/>
      <c r="E3" s="1195"/>
      <c r="F3" s="1195"/>
      <c r="G3" s="629"/>
      <c r="H3" s="1193"/>
      <c r="I3" s="1195" t="s">
        <v>242</v>
      </c>
      <c r="J3" s="1195"/>
      <c r="K3" s="1195"/>
      <c r="L3" s="1195"/>
      <c r="M3" s="1195"/>
      <c r="N3" s="630"/>
      <c r="O3" s="1193"/>
      <c r="P3" s="1196" t="s">
        <v>242</v>
      </c>
      <c r="Q3" s="1196"/>
      <c r="R3" s="1196"/>
      <c r="S3" s="1196"/>
      <c r="T3" s="1196"/>
    </row>
    <row r="4" spans="1:22" ht="12.75" customHeight="1">
      <c r="A4" s="1193"/>
      <c r="B4" s="1190" t="s">
        <v>243</v>
      </c>
      <c r="C4" s="1190"/>
      <c r="D4" s="1190"/>
      <c r="E4" s="1190" t="s">
        <v>244</v>
      </c>
      <c r="F4" s="1190" t="s">
        <v>94</v>
      </c>
      <c r="G4" s="631"/>
      <c r="H4" s="1193"/>
      <c r="I4" s="1190" t="str">
        <f>B4</f>
        <v>Setting VAC</v>
      </c>
      <c r="J4" s="1190"/>
      <c r="K4" s="1190"/>
      <c r="L4" s="1190" t="s">
        <v>244</v>
      </c>
      <c r="M4" s="1190" t="s">
        <v>94</v>
      </c>
      <c r="N4" s="631"/>
      <c r="O4" s="1193"/>
      <c r="P4" s="1190" t="str">
        <f>B4</f>
        <v>Setting VAC</v>
      </c>
      <c r="Q4" s="1190"/>
      <c r="R4" s="1190"/>
      <c r="S4" s="1190" t="s">
        <v>244</v>
      </c>
      <c r="T4" s="1190" t="s">
        <v>94</v>
      </c>
    </row>
    <row r="5" spans="1:22" ht="15" customHeight="1">
      <c r="A5" s="1193"/>
      <c r="B5" s="632" t="s">
        <v>245</v>
      </c>
      <c r="C5" s="623">
        <v>2019</v>
      </c>
      <c r="D5" s="623">
        <v>2020</v>
      </c>
      <c r="E5" s="1190"/>
      <c r="F5" s="1190"/>
      <c r="G5" s="631"/>
      <c r="H5" s="1193"/>
      <c r="I5" s="632" t="s">
        <v>245</v>
      </c>
      <c r="J5" s="623">
        <v>2017</v>
      </c>
      <c r="K5" s="623">
        <v>2019</v>
      </c>
      <c r="L5" s="1190"/>
      <c r="M5" s="1190"/>
      <c r="N5" s="631"/>
      <c r="O5" s="1193"/>
      <c r="P5" s="632" t="s">
        <v>245</v>
      </c>
      <c r="Q5" s="623">
        <v>2018</v>
      </c>
      <c r="R5" s="623">
        <v>2022</v>
      </c>
      <c r="S5" s="1190"/>
      <c r="T5" s="1190"/>
    </row>
    <row r="6" spans="1:22" ht="15" customHeight="1">
      <c r="A6" s="1193"/>
      <c r="B6" s="633">
        <v>150</v>
      </c>
      <c r="C6" s="634">
        <v>0.76</v>
      </c>
      <c r="D6" s="634">
        <v>0.31</v>
      </c>
      <c r="E6" s="635">
        <f t="shared" ref="E6:E11" si="0">0.5*(MAX(C6:D6)-MIN(C6:D6))</f>
        <v>0.22500000000000001</v>
      </c>
      <c r="F6" s="636">
        <v>0.47</v>
      </c>
      <c r="G6" s="631"/>
      <c r="H6" s="1193"/>
      <c r="I6" s="633">
        <v>150</v>
      </c>
      <c r="J6" s="636">
        <v>0.23</v>
      </c>
      <c r="K6" s="634">
        <v>0.15</v>
      </c>
      <c r="L6" s="635">
        <f t="shared" ref="L6:L11" si="1">0.5*(MAX(J6:K6)-MIN(J6:K6))</f>
        <v>4.0000000000000008E-2</v>
      </c>
      <c r="M6" s="636">
        <v>0.47</v>
      </c>
      <c r="N6" s="631" t="s">
        <v>55</v>
      </c>
      <c r="O6" s="1193"/>
      <c r="P6" s="477">
        <v>150</v>
      </c>
      <c r="Q6" s="636">
        <v>-7.0000000000000007E-2</v>
      </c>
      <c r="R6" s="636">
        <v>-1.43</v>
      </c>
      <c r="S6" s="635">
        <f t="shared" ref="S6:S11" si="2">0.5*(MAX(Q6:R6)-MIN(Q6:R6))</f>
        <v>0.67999999999999994</v>
      </c>
      <c r="T6" s="637">
        <v>1.2</v>
      </c>
    </row>
    <row r="7" spans="1:22" ht="12.75" customHeight="1">
      <c r="A7" s="1193"/>
      <c r="B7" s="633">
        <v>180</v>
      </c>
      <c r="C7" s="634">
        <v>-0.13</v>
      </c>
      <c r="D7" s="634">
        <v>0.1</v>
      </c>
      <c r="E7" s="635">
        <f t="shared" si="0"/>
        <v>0.115</v>
      </c>
      <c r="F7" s="636">
        <v>0.47</v>
      </c>
      <c r="G7" s="631"/>
      <c r="H7" s="1193"/>
      <c r="I7" s="633">
        <v>180</v>
      </c>
      <c r="J7" s="636">
        <v>-0.06</v>
      </c>
      <c r="K7" s="634">
        <v>0.12</v>
      </c>
      <c r="L7" s="635">
        <f t="shared" si="1"/>
        <v>0.09</v>
      </c>
      <c r="M7" s="636">
        <v>0.47</v>
      </c>
      <c r="N7" s="631"/>
      <c r="O7" s="1193"/>
      <c r="P7" s="638">
        <v>180</v>
      </c>
      <c r="Q7" s="636">
        <v>-0.13</v>
      </c>
      <c r="R7" s="636">
        <v>-1.81</v>
      </c>
      <c r="S7" s="635">
        <f t="shared" si="2"/>
        <v>0.84000000000000008</v>
      </c>
      <c r="T7" s="637">
        <v>1.2</v>
      </c>
    </row>
    <row r="8" spans="1:22" ht="12.75" customHeight="1">
      <c r="A8" s="1193"/>
      <c r="B8" s="633">
        <v>200</v>
      </c>
      <c r="C8" s="634">
        <v>-0.16</v>
      </c>
      <c r="D8" s="634">
        <v>-0.04</v>
      </c>
      <c r="E8" s="635">
        <f t="shared" si="0"/>
        <v>0.06</v>
      </c>
      <c r="F8" s="636">
        <v>0.47</v>
      </c>
      <c r="G8" s="631"/>
      <c r="H8" s="1193"/>
      <c r="I8" s="633">
        <v>200</v>
      </c>
      <c r="J8" s="636">
        <v>-0.18</v>
      </c>
      <c r="K8" s="634">
        <v>0.06</v>
      </c>
      <c r="L8" s="635">
        <f t="shared" si="1"/>
        <v>0.12</v>
      </c>
      <c r="M8" s="636">
        <v>0.47</v>
      </c>
      <c r="N8" s="631"/>
      <c r="O8" s="1193"/>
      <c r="P8" s="638">
        <v>200</v>
      </c>
      <c r="Q8" s="636">
        <v>-0.26</v>
      </c>
      <c r="R8" s="636">
        <v>-2.0499999999999998</v>
      </c>
      <c r="S8" s="635">
        <f t="shared" si="2"/>
        <v>0.89499999999999991</v>
      </c>
      <c r="T8" s="637">
        <v>1.2</v>
      </c>
    </row>
    <row r="9" spans="1:22" ht="12.75" customHeight="1">
      <c r="A9" s="1193"/>
      <c r="B9" s="633">
        <v>220</v>
      </c>
      <c r="C9" s="634">
        <v>-0.18</v>
      </c>
      <c r="D9" s="634">
        <v>-0.28000000000000003</v>
      </c>
      <c r="E9" s="635">
        <f t="shared" si="0"/>
        <v>5.0000000000000017E-2</v>
      </c>
      <c r="F9" s="636">
        <v>0.47</v>
      </c>
      <c r="G9" s="631"/>
      <c r="H9" s="1193"/>
      <c r="I9" s="633">
        <v>220</v>
      </c>
      <c r="J9" s="636">
        <v>-0.03</v>
      </c>
      <c r="K9" s="634">
        <v>0.05</v>
      </c>
      <c r="L9" s="635">
        <f t="shared" si="1"/>
        <v>0.04</v>
      </c>
      <c r="M9" s="636">
        <v>0.47</v>
      </c>
      <c r="N9" s="631"/>
      <c r="O9" s="1193"/>
      <c r="P9" s="638">
        <v>220</v>
      </c>
      <c r="Q9" s="636">
        <v>-0.28999999999999998</v>
      </c>
      <c r="R9" s="636">
        <v>-2.29</v>
      </c>
      <c r="S9" s="635">
        <f t="shared" si="2"/>
        <v>1</v>
      </c>
      <c r="T9" s="637">
        <v>1.2</v>
      </c>
    </row>
    <row r="10" spans="1:22" ht="12.75" customHeight="1">
      <c r="A10" s="1193"/>
      <c r="B10" s="633">
        <v>230</v>
      </c>
      <c r="C10" s="634">
        <v>-0.26</v>
      </c>
      <c r="D10" s="634">
        <v>-0.2</v>
      </c>
      <c r="E10" s="635">
        <f t="shared" si="0"/>
        <v>0.03</v>
      </c>
      <c r="F10" s="636">
        <v>0.47</v>
      </c>
      <c r="G10" s="631"/>
      <c r="H10" s="1193"/>
      <c r="I10" s="633">
        <v>230</v>
      </c>
      <c r="J10" s="636">
        <v>-10.02</v>
      </c>
      <c r="K10" s="634">
        <v>0.05</v>
      </c>
      <c r="L10" s="635">
        <f t="shared" si="1"/>
        <v>5.0350000000000001</v>
      </c>
      <c r="M10" s="636">
        <v>0.47</v>
      </c>
      <c r="N10" s="631"/>
      <c r="O10" s="1193"/>
      <c r="P10" s="638">
        <v>230</v>
      </c>
      <c r="Q10" s="636">
        <v>-0.23</v>
      </c>
      <c r="R10" s="636">
        <v>-11.79</v>
      </c>
      <c r="S10" s="635">
        <f t="shared" si="2"/>
        <v>5.7799999999999994</v>
      </c>
      <c r="T10" s="637">
        <v>1.2</v>
      </c>
    </row>
    <row r="11" spans="1:22" ht="12.75" customHeight="1">
      <c r="A11" s="1193"/>
      <c r="B11" s="633">
        <v>250</v>
      </c>
      <c r="C11" s="634">
        <v>9.9999999999999995E-7</v>
      </c>
      <c r="D11" s="634">
        <v>9.9999999999999995E-7</v>
      </c>
      <c r="E11" s="635">
        <f t="shared" si="0"/>
        <v>0</v>
      </c>
      <c r="F11" s="636">
        <v>0.47</v>
      </c>
      <c r="G11" s="631"/>
      <c r="H11" s="1193"/>
      <c r="I11" s="633">
        <v>250</v>
      </c>
      <c r="J11" s="636">
        <v>9.9999999999999995E-7</v>
      </c>
      <c r="K11" s="634">
        <v>9.9999999999999995E-7</v>
      </c>
      <c r="L11" s="635">
        <f t="shared" si="1"/>
        <v>0</v>
      </c>
      <c r="M11" s="636">
        <v>0.47</v>
      </c>
      <c r="N11" s="631"/>
      <c r="O11" s="1193"/>
      <c r="P11" s="638">
        <v>250</v>
      </c>
      <c r="Q11" s="636">
        <v>9.9999999999999995E-7</v>
      </c>
      <c r="R11" s="636">
        <v>9.9999999999999995E-7</v>
      </c>
      <c r="S11" s="635">
        <f t="shared" si="2"/>
        <v>0</v>
      </c>
      <c r="T11" s="637">
        <v>1.2</v>
      </c>
    </row>
    <row r="12" spans="1:22" ht="12.75" customHeight="1">
      <c r="A12" s="1193"/>
      <c r="B12" s="1189" t="s">
        <v>246</v>
      </c>
      <c r="C12" s="1189"/>
      <c r="D12" s="1189"/>
      <c r="E12" s="1190" t="s">
        <v>244</v>
      </c>
      <c r="F12" s="1190" t="s">
        <v>94</v>
      </c>
      <c r="G12" s="631"/>
      <c r="H12" s="1193"/>
      <c r="I12" s="1189" t="str">
        <f>B12</f>
        <v>Current Leakage</v>
      </c>
      <c r="J12" s="1189"/>
      <c r="K12" s="1189"/>
      <c r="L12" s="1190" t="s">
        <v>244</v>
      </c>
      <c r="M12" s="1190" t="s">
        <v>94</v>
      </c>
      <c r="N12" s="631"/>
      <c r="O12" s="1193"/>
      <c r="P12" s="1189" t="str">
        <f>B12</f>
        <v>Current Leakage</v>
      </c>
      <c r="Q12" s="1189"/>
      <c r="R12" s="1189"/>
      <c r="S12" s="1190" t="s">
        <v>244</v>
      </c>
      <c r="T12" s="1190" t="s">
        <v>94</v>
      </c>
    </row>
    <row r="13" spans="1:22" ht="15" customHeight="1">
      <c r="A13" s="1193"/>
      <c r="B13" s="632" t="s">
        <v>247</v>
      </c>
      <c r="C13" s="623">
        <f>C5</f>
        <v>2019</v>
      </c>
      <c r="D13" s="623">
        <f>D5</f>
        <v>2020</v>
      </c>
      <c r="E13" s="1190"/>
      <c r="F13" s="1190"/>
      <c r="G13" s="631"/>
      <c r="H13" s="1193"/>
      <c r="I13" s="632" t="s">
        <v>247</v>
      </c>
      <c r="J13" s="623">
        <f>J5</f>
        <v>2017</v>
      </c>
      <c r="K13" s="623">
        <f>K5</f>
        <v>2019</v>
      </c>
      <c r="L13" s="1190"/>
      <c r="M13" s="1190"/>
      <c r="N13" s="631"/>
      <c r="O13" s="1193"/>
      <c r="P13" s="632" t="s">
        <v>247</v>
      </c>
      <c r="Q13" s="623">
        <f>Q5</f>
        <v>2018</v>
      </c>
      <c r="R13" s="623">
        <f>R5</f>
        <v>2022</v>
      </c>
      <c r="S13" s="1190"/>
      <c r="T13" s="1190"/>
    </row>
    <row r="14" spans="1:22" ht="12.75" customHeight="1">
      <c r="A14" s="1193"/>
      <c r="B14" s="638">
        <v>0</v>
      </c>
      <c r="C14" s="687">
        <v>9.9999999999999995E-7</v>
      </c>
      <c r="D14" s="687">
        <v>9.9999999999999995E-7</v>
      </c>
      <c r="E14" s="635">
        <f t="shared" ref="E14:E19" si="3">0.5*(MAX(C14:D14)-MIN(C14:D14))</f>
        <v>0</v>
      </c>
      <c r="F14" s="638">
        <v>0.28999999999999998</v>
      </c>
      <c r="G14" s="631"/>
      <c r="H14" s="1193"/>
      <c r="I14" s="638">
        <v>0</v>
      </c>
      <c r="J14" s="687">
        <v>9.9999999999999995E-7</v>
      </c>
      <c r="K14" s="687">
        <v>9.9999999999999995E-7</v>
      </c>
      <c r="L14" s="635">
        <f t="shared" ref="L14:L19" si="4">0.5*(MAX(J14:K14)-MIN(J14:K14))</f>
        <v>0</v>
      </c>
      <c r="M14" s="638">
        <v>0.28999999999999998</v>
      </c>
      <c r="N14" s="631"/>
      <c r="O14" s="1193"/>
      <c r="P14" s="638">
        <v>0</v>
      </c>
      <c r="Q14" s="687">
        <v>9.9999999999999995E-7</v>
      </c>
      <c r="R14" s="687">
        <v>9.9999999999999995E-7</v>
      </c>
      <c r="S14" s="635">
        <f t="shared" ref="S14:S19" si="5">0.5*(MAX(Q14:R14)-MIN(Q14:R14))</f>
        <v>0</v>
      </c>
      <c r="T14" s="638">
        <v>0.59</v>
      </c>
    </row>
    <row r="15" spans="1:22" ht="12.75" customHeight="1">
      <c r="A15" s="1193"/>
      <c r="B15" s="638">
        <v>50</v>
      </c>
      <c r="C15" s="634">
        <v>-0.06</v>
      </c>
      <c r="D15" s="634">
        <v>0.1</v>
      </c>
      <c r="E15" s="635">
        <f t="shared" si="3"/>
        <v>0.08</v>
      </c>
      <c r="F15" s="638">
        <v>0.28999999999999998</v>
      </c>
      <c r="G15" s="631"/>
      <c r="H15" s="1193"/>
      <c r="I15" s="638">
        <v>50</v>
      </c>
      <c r="J15" s="636">
        <v>0.1</v>
      </c>
      <c r="K15" s="634">
        <v>0.1</v>
      </c>
      <c r="L15" s="635">
        <f t="shared" si="4"/>
        <v>0</v>
      </c>
      <c r="M15" s="638">
        <v>0.28999999999999998</v>
      </c>
      <c r="N15" s="631"/>
      <c r="O15" s="1193"/>
      <c r="P15" s="638">
        <v>50</v>
      </c>
      <c r="Q15" s="636">
        <v>2</v>
      </c>
      <c r="R15" s="636">
        <v>9.1</v>
      </c>
      <c r="S15" s="635">
        <f t="shared" si="5"/>
        <v>3.55</v>
      </c>
      <c r="T15" s="638">
        <v>0.59</v>
      </c>
    </row>
    <row r="16" spans="1:22" ht="12.75" customHeight="1">
      <c r="A16" s="1193"/>
      <c r="B16" s="638">
        <v>100</v>
      </c>
      <c r="C16" s="634">
        <v>-0.06</v>
      </c>
      <c r="D16" s="634">
        <v>0.2</v>
      </c>
      <c r="E16" s="635">
        <f t="shared" si="3"/>
        <v>0.13</v>
      </c>
      <c r="F16" s="638">
        <v>0.28999999999999998</v>
      </c>
      <c r="G16" s="631"/>
      <c r="H16" s="1193"/>
      <c r="I16" s="638">
        <v>100</v>
      </c>
      <c r="J16" s="636">
        <v>2.2000000000000002</v>
      </c>
      <c r="K16" s="634">
        <v>0.4</v>
      </c>
      <c r="L16" s="635">
        <f t="shared" si="4"/>
        <v>0.90000000000000013</v>
      </c>
      <c r="M16" s="638">
        <v>0.28999999999999998</v>
      </c>
      <c r="N16" s="631"/>
      <c r="O16" s="1193"/>
      <c r="P16" s="638">
        <v>100</v>
      </c>
      <c r="Q16" s="636">
        <v>2</v>
      </c>
      <c r="R16" s="636">
        <v>6</v>
      </c>
      <c r="S16" s="635">
        <f t="shared" si="5"/>
        <v>2</v>
      </c>
      <c r="T16" s="638">
        <v>0.59</v>
      </c>
    </row>
    <row r="17" spans="1:20" ht="12.75" customHeight="1">
      <c r="A17" s="1193"/>
      <c r="B17" s="638">
        <v>200</v>
      </c>
      <c r="C17" s="634">
        <v>0</v>
      </c>
      <c r="D17" s="634">
        <v>0.4</v>
      </c>
      <c r="E17" s="635">
        <f t="shared" si="3"/>
        <v>0.2</v>
      </c>
      <c r="F17" s="638">
        <v>0.28999999999999998</v>
      </c>
      <c r="G17" s="631"/>
      <c r="H17" s="1193"/>
      <c r="I17" s="638">
        <v>200</v>
      </c>
      <c r="J17" s="636">
        <v>3.3</v>
      </c>
      <c r="K17" s="634">
        <v>0.7</v>
      </c>
      <c r="L17" s="635">
        <f t="shared" si="4"/>
        <v>1.2999999999999998</v>
      </c>
      <c r="M17" s="638">
        <v>0.28999999999999998</v>
      </c>
      <c r="N17" s="631"/>
      <c r="O17" s="1193"/>
      <c r="P17" s="638">
        <v>200</v>
      </c>
      <c r="Q17" s="636">
        <v>3.6</v>
      </c>
      <c r="R17" s="636">
        <v>-3.6</v>
      </c>
      <c r="S17" s="635">
        <f t="shared" si="5"/>
        <v>3.6</v>
      </c>
      <c r="T17" s="638">
        <v>0.59</v>
      </c>
    </row>
    <row r="18" spans="1:20" ht="12.75" customHeight="1">
      <c r="A18" s="1193"/>
      <c r="B18" s="638">
        <v>500</v>
      </c>
      <c r="C18" s="634">
        <v>-0.9</v>
      </c>
      <c r="D18" s="634">
        <v>3.8</v>
      </c>
      <c r="E18" s="635">
        <f t="shared" si="3"/>
        <v>2.35</v>
      </c>
      <c r="F18" s="638">
        <v>0.28999999999999998</v>
      </c>
      <c r="G18" s="631"/>
      <c r="H18" s="1193"/>
      <c r="I18" s="638">
        <v>500</v>
      </c>
      <c r="J18" s="636">
        <v>20</v>
      </c>
      <c r="K18" s="634">
        <v>0.8</v>
      </c>
      <c r="L18" s="635">
        <f t="shared" si="4"/>
        <v>9.6</v>
      </c>
      <c r="M18" s="638">
        <v>0.28999999999999998</v>
      </c>
      <c r="N18" s="631"/>
      <c r="O18" s="1193"/>
      <c r="P18" s="638">
        <v>500</v>
      </c>
      <c r="Q18" s="636">
        <v>2.9</v>
      </c>
      <c r="R18" s="636">
        <v>-18.8</v>
      </c>
      <c r="S18" s="635">
        <f t="shared" si="5"/>
        <v>10.85</v>
      </c>
      <c r="T18" s="638">
        <v>0.59</v>
      </c>
    </row>
    <row r="19" spans="1:20" ht="12.75" customHeight="1">
      <c r="A19" s="1193"/>
      <c r="B19" s="638">
        <v>1000</v>
      </c>
      <c r="C19" s="634">
        <v>-3.0000000000000001E-3</v>
      </c>
      <c r="D19" s="634">
        <v>9</v>
      </c>
      <c r="E19" s="635">
        <f t="shared" si="3"/>
        <v>4.5015000000000001</v>
      </c>
      <c r="F19" s="638">
        <v>0.28999999999999998</v>
      </c>
      <c r="G19" s="631"/>
      <c r="H19" s="1193"/>
      <c r="I19" s="638">
        <v>1000</v>
      </c>
      <c r="J19" s="640">
        <v>2</v>
      </c>
      <c r="K19" s="634">
        <v>8.0000000000000002E-3</v>
      </c>
      <c r="L19" s="635">
        <f t="shared" si="4"/>
        <v>0.996</v>
      </c>
      <c r="M19" s="638">
        <v>0.28999999999999998</v>
      </c>
      <c r="N19" s="631"/>
      <c r="O19" s="1193"/>
      <c r="P19" s="638">
        <v>1000</v>
      </c>
      <c r="Q19" s="636">
        <v>3</v>
      </c>
      <c r="R19" s="636">
        <v>-47</v>
      </c>
      <c r="S19" s="635">
        <f t="shared" si="5"/>
        <v>25</v>
      </c>
      <c r="T19" s="638">
        <v>0.59</v>
      </c>
    </row>
    <row r="20" spans="1:20" ht="12.75" customHeight="1">
      <c r="A20" s="1193"/>
      <c r="B20" s="1189" t="s">
        <v>248</v>
      </c>
      <c r="C20" s="1189"/>
      <c r="D20" s="1189"/>
      <c r="E20" s="1190" t="s">
        <v>244</v>
      </c>
      <c r="F20" s="1190" t="s">
        <v>94</v>
      </c>
      <c r="G20" s="631"/>
      <c r="H20" s="1193"/>
      <c r="I20" s="1189" t="str">
        <f>B20</f>
        <v>Main-PE</v>
      </c>
      <c r="J20" s="1189"/>
      <c r="K20" s="1189"/>
      <c r="L20" s="1190" t="s">
        <v>244</v>
      </c>
      <c r="M20" s="1190" t="s">
        <v>94</v>
      </c>
      <c r="N20" s="631"/>
      <c r="O20" s="1193"/>
      <c r="P20" s="1189" t="str">
        <f>B20</f>
        <v>Main-PE</v>
      </c>
      <c r="Q20" s="1189"/>
      <c r="R20" s="1189"/>
      <c r="S20" s="1190" t="s">
        <v>244</v>
      </c>
      <c r="T20" s="1190" t="s">
        <v>94</v>
      </c>
    </row>
    <row r="21" spans="1:20" ht="15" customHeight="1">
      <c r="A21" s="1193"/>
      <c r="B21" s="632" t="s">
        <v>512</v>
      </c>
      <c r="C21" s="623">
        <v>2019</v>
      </c>
      <c r="D21" s="623">
        <v>2015</v>
      </c>
      <c r="E21" s="1190"/>
      <c r="F21" s="1190"/>
      <c r="G21" s="631"/>
      <c r="H21" s="1193"/>
      <c r="I21" s="632" t="s">
        <v>512</v>
      </c>
      <c r="J21" s="623">
        <f>J5</f>
        <v>2017</v>
      </c>
      <c r="K21" s="623">
        <f>K5</f>
        <v>2019</v>
      </c>
      <c r="L21" s="1190"/>
      <c r="M21" s="1190"/>
      <c r="N21" s="631"/>
      <c r="O21" s="1193"/>
      <c r="P21" s="632" t="s">
        <v>512</v>
      </c>
      <c r="Q21" s="623">
        <f>Q5</f>
        <v>2018</v>
      </c>
      <c r="R21" s="623">
        <f>R5</f>
        <v>2022</v>
      </c>
      <c r="S21" s="1190"/>
      <c r="T21" s="1190"/>
    </row>
    <row r="22" spans="1:20" ht="12.75" customHeight="1">
      <c r="A22" s="1193"/>
      <c r="B22" s="638">
        <v>10</v>
      </c>
      <c r="C22" s="636" t="s">
        <v>171</v>
      </c>
      <c r="D22" s="634">
        <v>9.9999999999999995E-7</v>
      </c>
      <c r="E22" s="635">
        <f t="shared" ref="E22:E25" si="6">0.5*(MAX(C22:D22)-MIN(C22:D22))</f>
        <v>0</v>
      </c>
      <c r="F22" s="637">
        <v>1.4</v>
      </c>
      <c r="G22" s="631"/>
      <c r="H22" s="1193"/>
      <c r="I22" s="638">
        <v>10</v>
      </c>
      <c r="J22" s="636">
        <v>0</v>
      </c>
      <c r="K22" s="634">
        <v>0.1</v>
      </c>
      <c r="L22" s="635">
        <f t="shared" ref="L22:L25" si="7">0.5*(MAX(J22:K22)-MIN(J22:K22))</f>
        <v>0.05</v>
      </c>
      <c r="M22" s="636">
        <v>1.3</v>
      </c>
      <c r="N22" s="631"/>
      <c r="O22" s="1193"/>
      <c r="P22" s="638">
        <v>10</v>
      </c>
      <c r="Q22" s="634">
        <v>9.9999999999999995E-7</v>
      </c>
      <c r="R22" s="634">
        <v>9.9999999999999995E-7</v>
      </c>
      <c r="S22" s="635">
        <f t="shared" ref="S22:S25" si="8">0.5*(MAX(Q22:R22)-MIN(Q22:R22))</f>
        <v>0</v>
      </c>
      <c r="T22" s="637">
        <v>5.1000000000000004E-2</v>
      </c>
    </row>
    <row r="23" spans="1:20" ht="12.75" customHeight="1">
      <c r="A23" s="1193"/>
      <c r="B23" s="638">
        <v>20</v>
      </c>
      <c r="C23" s="636" t="s">
        <v>171</v>
      </c>
      <c r="D23" s="634">
        <v>9.9999999999999995E-7</v>
      </c>
      <c r="E23" s="635">
        <f t="shared" si="6"/>
        <v>0</v>
      </c>
      <c r="F23" s="637">
        <v>1.4</v>
      </c>
      <c r="G23" s="631"/>
      <c r="H23" s="1193"/>
      <c r="I23" s="638">
        <v>20</v>
      </c>
      <c r="J23" s="636">
        <v>0.1</v>
      </c>
      <c r="K23" s="634">
        <v>0.2</v>
      </c>
      <c r="L23" s="635">
        <f t="shared" si="7"/>
        <v>0.05</v>
      </c>
      <c r="M23" s="636">
        <v>1.3</v>
      </c>
      <c r="N23" s="631"/>
      <c r="O23" s="1193"/>
      <c r="P23" s="638">
        <v>20</v>
      </c>
      <c r="Q23" s="634">
        <v>9.9999999999999995E-7</v>
      </c>
      <c r="R23" s="634">
        <v>9.9999999999999995E-7</v>
      </c>
      <c r="S23" s="635">
        <f t="shared" si="8"/>
        <v>0</v>
      </c>
      <c r="T23" s="637">
        <v>5.1000000000000004E-2</v>
      </c>
    </row>
    <row r="24" spans="1:20" ht="12.75" customHeight="1">
      <c r="A24" s="1193"/>
      <c r="B24" s="638">
        <v>50</v>
      </c>
      <c r="C24" s="636" t="s">
        <v>171</v>
      </c>
      <c r="D24" s="634">
        <v>9.9999999999999995E-7</v>
      </c>
      <c r="E24" s="635">
        <f t="shared" si="6"/>
        <v>0</v>
      </c>
      <c r="F24" s="637">
        <v>1.4</v>
      </c>
      <c r="G24" s="631"/>
      <c r="H24" s="1193"/>
      <c r="I24" s="638">
        <v>50</v>
      </c>
      <c r="J24" s="636">
        <v>0.1</v>
      </c>
      <c r="K24" s="634">
        <v>0.3</v>
      </c>
      <c r="L24" s="635">
        <f t="shared" si="7"/>
        <v>9.9999999999999992E-2</v>
      </c>
      <c r="M24" s="636">
        <v>1.3</v>
      </c>
      <c r="N24" s="631"/>
      <c r="O24" s="1193"/>
      <c r="P24" s="638">
        <v>50</v>
      </c>
      <c r="Q24" s="636">
        <v>0.3</v>
      </c>
      <c r="R24" s="636">
        <v>0.1</v>
      </c>
      <c r="S24" s="635">
        <f t="shared" si="8"/>
        <v>9.9999999999999992E-2</v>
      </c>
      <c r="T24" s="637">
        <v>5.1000000000000004E-2</v>
      </c>
    </row>
    <row r="25" spans="1:20" ht="12.75" customHeight="1">
      <c r="A25" s="1193"/>
      <c r="B25" s="638">
        <v>100</v>
      </c>
      <c r="C25" s="636" t="s">
        <v>171</v>
      </c>
      <c r="D25" s="636">
        <v>-0.3</v>
      </c>
      <c r="E25" s="635">
        <f t="shared" si="6"/>
        <v>0</v>
      </c>
      <c r="F25" s="637">
        <v>1.4</v>
      </c>
      <c r="G25" s="631"/>
      <c r="H25" s="1193"/>
      <c r="I25" s="638">
        <v>100</v>
      </c>
      <c r="J25" s="634">
        <v>9.9999999999999995E-7</v>
      </c>
      <c r="K25" s="634">
        <v>0.3</v>
      </c>
      <c r="L25" s="635">
        <f t="shared" si="7"/>
        <v>0.14999950000000001</v>
      </c>
      <c r="M25" s="636">
        <v>1.3</v>
      </c>
      <c r="N25" s="631"/>
      <c r="O25" s="1193"/>
      <c r="P25" s="638">
        <v>100</v>
      </c>
      <c r="Q25" s="636">
        <v>0.6</v>
      </c>
      <c r="R25" s="636">
        <v>0.1</v>
      </c>
      <c r="S25" s="635">
        <f t="shared" si="8"/>
        <v>0.25</v>
      </c>
      <c r="T25" s="637">
        <v>5.1000000000000004E-2</v>
      </c>
    </row>
    <row r="26" spans="1:20" ht="12.75" customHeight="1">
      <c r="A26" s="1193"/>
      <c r="B26" s="1189" t="s">
        <v>249</v>
      </c>
      <c r="C26" s="1189"/>
      <c r="D26" s="1189"/>
      <c r="E26" s="1190" t="s">
        <v>244</v>
      </c>
      <c r="F26" s="1190" t="s">
        <v>94</v>
      </c>
      <c r="G26" s="631"/>
      <c r="H26" s="1193"/>
      <c r="I26" s="1189" t="str">
        <f>B26</f>
        <v>Resistance</v>
      </c>
      <c r="J26" s="1189"/>
      <c r="K26" s="1189"/>
      <c r="L26" s="1190" t="s">
        <v>244</v>
      </c>
      <c r="M26" s="1190" t="s">
        <v>94</v>
      </c>
      <c r="N26" s="631"/>
      <c r="O26" s="1193"/>
      <c r="P26" s="1189" t="str">
        <f>B26</f>
        <v>Resistance</v>
      </c>
      <c r="Q26" s="1189"/>
      <c r="R26" s="1189"/>
      <c r="S26" s="1190" t="s">
        <v>244</v>
      </c>
      <c r="T26" s="1190" t="s">
        <v>94</v>
      </c>
    </row>
    <row r="27" spans="1:20" ht="15" customHeight="1">
      <c r="A27" s="1193"/>
      <c r="B27" s="632" t="s">
        <v>513</v>
      </c>
      <c r="C27" s="623">
        <f>C5</f>
        <v>2019</v>
      </c>
      <c r="D27" s="623">
        <f>D5</f>
        <v>2020</v>
      </c>
      <c r="E27" s="1190"/>
      <c r="F27" s="1190"/>
      <c r="G27" s="631"/>
      <c r="H27" s="1193"/>
      <c r="I27" s="632" t="s">
        <v>513</v>
      </c>
      <c r="J27" s="623">
        <f>J5</f>
        <v>2017</v>
      </c>
      <c r="K27" s="623">
        <f>K5</f>
        <v>2019</v>
      </c>
      <c r="L27" s="1190"/>
      <c r="M27" s="1190"/>
      <c r="N27" s="631"/>
      <c r="O27" s="1193"/>
      <c r="P27" s="632" t="s">
        <v>513</v>
      </c>
      <c r="Q27" s="623">
        <f>Q5</f>
        <v>2018</v>
      </c>
      <c r="R27" s="623">
        <f>R5</f>
        <v>2022</v>
      </c>
      <c r="S27" s="1190"/>
      <c r="T27" s="1190"/>
    </row>
    <row r="28" spans="1:20" ht="12.75" customHeight="1">
      <c r="A28" s="1193"/>
      <c r="B28" s="638">
        <v>0.01</v>
      </c>
      <c r="C28" s="634">
        <v>9.9999999999999995E-7</v>
      </c>
      <c r="D28" s="634">
        <v>9.9999999999999995E-7</v>
      </c>
      <c r="E28" s="635">
        <f t="shared" ref="E28:E31" si="9">0.5*(MAX(C28:D28)-MIN(C28:D28))</f>
        <v>0</v>
      </c>
      <c r="F28" s="638">
        <v>0.43</v>
      </c>
      <c r="G28" s="631"/>
      <c r="H28" s="1193"/>
      <c r="I28" s="638">
        <v>0.01</v>
      </c>
      <c r="J28" s="634">
        <v>9.9999999999999995E-7</v>
      </c>
      <c r="K28" s="634">
        <v>9.9999999999999995E-7</v>
      </c>
      <c r="L28" s="635">
        <f t="shared" ref="L28:L31" si="10">0.5*(MAX(J28:K28)-MIN(J28:K28))</f>
        <v>0</v>
      </c>
      <c r="M28" s="638">
        <v>0.43</v>
      </c>
      <c r="N28" s="631"/>
      <c r="O28" s="1193"/>
      <c r="P28" s="638">
        <v>0.01</v>
      </c>
      <c r="Q28" s="634">
        <v>9.9999999999999995E-7</v>
      </c>
      <c r="R28" s="634">
        <v>9.9999999999999995E-7</v>
      </c>
      <c r="S28" s="635">
        <f t="shared" ref="S28:S31" si="11">0.5*(MAX(Q28:R28)-MIN(Q28:R28))</f>
        <v>0</v>
      </c>
      <c r="T28" s="640">
        <v>1.2</v>
      </c>
    </row>
    <row r="29" spans="1:20" ht="12.75" customHeight="1">
      <c r="A29" s="1193"/>
      <c r="B29" s="638">
        <v>0.1</v>
      </c>
      <c r="C29" s="641">
        <v>2E-3</v>
      </c>
      <c r="D29" s="641">
        <v>-1E-3</v>
      </c>
      <c r="E29" s="635">
        <f t="shared" si="9"/>
        <v>1.5E-3</v>
      </c>
      <c r="F29" s="638">
        <v>0.43</v>
      </c>
      <c r="G29" s="631"/>
      <c r="H29" s="1193"/>
      <c r="I29" s="638">
        <v>0.1</v>
      </c>
      <c r="J29" s="640">
        <v>5.0000000000000001E-3</v>
      </c>
      <c r="K29" s="641">
        <v>6.0000000000000001E-3</v>
      </c>
      <c r="L29" s="635">
        <f t="shared" si="10"/>
        <v>5.0000000000000001E-4</v>
      </c>
      <c r="M29" s="638">
        <v>0.43</v>
      </c>
      <c r="N29" s="631"/>
      <c r="O29" s="1193"/>
      <c r="P29" s="638">
        <v>0.1</v>
      </c>
      <c r="Q29" s="634">
        <v>9.9999999999999995E-7</v>
      </c>
      <c r="R29" s="634">
        <v>9.9999999999999995E-7</v>
      </c>
      <c r="S29" s="635">
        <f t="shared" si="11"/>
        <v>0</v>
      </c>
      <c r="T29" s="640">
        <v>1.2</v>
      </c>
    </row>
    <row r="30" spans="1:20" ht="12.75" customHeight="1">
      <c r="A30" s="1193"/>
      <c r="B30" s="638">
        <v>1</v>
      </c>
      <c r="C30" s="641">
        <v>1.2E-2</v>
      </c>
      <c r="D30" s="641">
        <v>4.0000000000000001E-3</v>
      </c>
      <c r="E30" s="635">
        <f t="shared" si="9"/>
        <v>4.0000000000000001E-3</v>
      </c>
      <c r="F30" s="638">
        <v>0.43</v>
      </c>
      <c r="G30" s="631"/>
      <c r="H30" s="1193"/>
      <c r="I30" s="638">
        <v>1</v>
      </c>
      <c r="J30" s="640">
        <v>5.5E-2</v>
      </c>
      <c r="K30" s="641">
        <v>4.4999999999999998E-2</v>
      </c>
      <c r="L30" s="635">
        <f t="shared" si="10"/>
        <v>5.000000000000001E-3</v>
      </c>
      <c r="M30" s="638">
        <v>0.43</v>
      </c>
      <c r="N30" s="631"/>
      <c r="O30" s="1193"/>
      <c r="P30" s="638">
        <v>1</v>
      </c>
      <c r="Q30" s="634">
        <v>9.9999999999999995E-7</v>
      </c>
      <c r="R30" s="640">
        <v>3.0000000000000001E-3</v>
      </c>
      <c r="S30" s="635">
        <f t="shared" si="11"/>
        <v>1.4995E-3</v>
      </c>
      <c r="T30" s="640">
        <v>1.2</v>
      </c>
    </row>
    <row r="31" spans="1:20" ht="12.75" customHeight="1">
      <c r="A31" s="1193"/>
      <c r="B31" s="638">
        <v>2</v>
      </c>
      <c r="C31" s="634">
        <v>9.9999999999999995E-7</v>
      </c>
      <c r="D31" s="641">
        <v>7.0000000000000001E-3</v>
      </c>
      <c r="E31" s="635">
        <f t="shared" si="9"/>
        <v>3.4995E-3</v>
      </c>
      <c r="F31" s="638">
        <v>0.43</v>
      </c>
      <c r="G31" s="631"/>
      <c r="H31" s="1193"/>
      <c r="I31" s="638">
        <v>2</v>
      </c>
      <c r="J31" s="634">
        <v>9.9999999999999995E-7</v>
      </c>
      <c r="K31" s="634">
        <v>9.9999999999999995E-7</v>
      </c>
      <c r="L31" s="635">
        <f t="shared" si="10"/>
        <v>0</v>
      </c>
      <c r="M31" s="638">
        <v>0.43</v>
      </c>
      <c r="N31" s="631"/>
      <c r="O31" s="1193"/>
      <c r="P31" s="638">
        <v>2</v>
      </c>
      <c r="Q31" s="634">
        <v>9.9999999999999995E-7</v>
      </c>
      <c r="R31" s="640">
        <v>4.0000000000000001E-3</v>
      </c>
      <c r="S31" s="635">
        <f t="shared" si="11"/>
        <v>1.9995E-3</v>
      </c>
      <c r="T31" s="640">
        <v>1.2</v>
      </c>
    </row>
    <row r="32" spans="1:20">
      <c r="A32" s="642"/>
      <c r="B32" s="631"/>
      <c r="C32" s="631"/>
      <c r="D32" s="631"/>
      <c r="E32" s="631"/>
      <c r="F32" s="631"/>
      <c r="G32" s="631"/>
      <c r="H32" s="631"/>
      <c r="I32" s="631"/>
      <c r="J32" s="631"/>
      <c r="K32" s="631"/>
      <c r="L32" s="631"/>
      <c r="M32" s="631"/>
      <c r="N32" s="631"/>
      <c r="O32" s="631"/>
      <c r="P32" s="631"/>
      <c r="Q32" s="631"/>
      <c r="R32" s="631"/>
      <c r="S32" s="631"/>
      <c r="T32" s="643"/>
    </row>
    <row r="33" spans="1:20" ht="15" customHeight="1">
      <c r="A33" s="1193" t="s">
        <v>218</v>
      </c>
      <c r="B33" s="1190" t="s">
        <v>250</v>
      </c>
      <c r="C33" s="1190"/>
      <c r="D33" s="1190"/>
      <c r="E33" s="1190"/>
      <c r="F33" s="1190"/>
      <c r="G33" s="478"/>
      <c r="H33" s="1193" t="s">
        <v>219</v>
      </c>
      <c r="I33" s="1194" t="s">
        <v>251</v>
      </c>
      <c r="J33" s="1194"/>
      <c r="K33" s="1194"/>
      <c r="L33" s="1194"/>
      <c r="M33" s="1194"/>
      <c r="N33" s="476"/>
      <c r="O33" s="1193" t="s">
        <v>220</v>
      </c>
      <c r="P33" s="1190" t="s">
        <v>252</v>
      </c>
      <c r="Q33" s="1190"/>
      <c r="R33" s="1190"/>
      <c r="S33" s="1190"/>
      <c r="T33" s="1190"/>
    </row>
    <row r="34" spans="1:20" ht="15" customHeight="1">
      <c r="A34" s="1193"/>
      <c r="B34" s="1195" t="s">
        <v>242</v>
      </c>
      <c r="C34" s="1195"/>
      <c r="D34" s="1195"/>
      <c r="E34" s="1195"/>
      <c r="F34" s="1195"/>
      <c r="G34" s="629"/>
      <c r="H34" s="1193"/>
      <c r="I34" s="1195" t="s">
        <v>242</v>
      </c>
      <c r="J34" s="1195"/>
      <c r="K34" s="1195"/>
      <c r="L34" s="1195"/>
      <c r="M34" s="1195"/>
      <c r="N34" s="630"/>
      <c r="O34" s="1193"/>
      <c r="P34" s="1195" t="s">
        <v>242</v>
      </c>
      <c r="Q34" s="1195"/>
      <c r="R34" s="1195"/>
      <c r="S34" s="1195"/>
      <c r="T34" s="1195"/>
    </row>
    <row r="35" spans="1:20" ht="12.75" customHeight="1">
      <c r="A35" s="1193"/>
      <c r="B35" s="1190" t="str">
        <f>B4</f>
        <v>Setting VAC</v>
      </c>
      <c r="C35" s="1190"/>
      <c r="D35" s="1190"/>
      <c r="E35" s="623" t="s">
        <v>244</v>
      </c>
      <c r="F35" s="623" t="s">
        <v>94</v>
      </c>
      <c r="G35" s="631"/>
      <c r="H35" s="1193"/>
      <c r="I35" s="1190" t="str">
        <f>B35</f>
        <v>Setting VAC</v>
      </c>
      <c r="J35" s="1190"/>
      <c r="K35" s="1190"/>
      <c r="L35" s="623" t="s">
        <v>244</v>
      </c>
      <c r="M35" s="623" t="s">
        <v>94</v>
      </c>
      <c r="N35" s="631"/>
      <c r="O35" s="1193"/>
      <c r="P35" s="1190" t="str">
        <f>I35</f>
        <v>Setting VAC</v>
      </c>
      <c r="Q35" s="1190"/>
      <c r="R35" s="1190"/>
      <c r="S35" s="1190" t="s">
        <v>244</v>
      </c>
      <c r="T35" s="1190" t="s">
        <v>94</v>
      </c>
    </row>
    <row r="36" spans="1:20" ht="15" customHeight="1">
      <c r="A36" s="1193"/>
      <c r="B36" s="632" t="s">
        <v>245</v>
      </c>
      <c r="C36" s="623">
        <v>2017</v>
      </c>
      <c r="D36" s="623">
        <v>2019</v>
      </c>
      <c r="E36" s="623"/>
      <c r="F36" s="623"/>
      <c r="G36" s="631"/>
      <c r="H36" s="1193"/>
      <c r="I36" s="632" t="s">
        <v>245</v>
      </c>
      <c r="J36" s="623">
        <v>2017</v>
      </c>
      <c r="K36" s="623">
        <v>2019</v>
      </c>
      <c r="L36" s="623"/>
      <c r="M36" s="623"/>
      <c r="N36" s="631"/>
      <c r="O36" s="1193"/>
      <c r="P36" s="632" t="s">
        <v>245</v>
      </c>
      <c r="Q36" s="623">
        <v>2018</v>
      </c>
      <c r="R36" s="623">
        <v>2019</v>
      </c>
      <c r="S36" s="1190"/>
      <c r="T36" s="1190"/>
    </row>
    <row r="37" spans="1:20" ht="12.75" customHeight="1">
      <c r="A37" s="1193"/>
      <c r="B37" s="638">
        <v>150</v>
      </c>
      <c r="C37" s="636">
        <v>-0.09</v>
      </c>
      <c r="D37" s="636">
        <v>0.11</v>
      </c>
      <c r="E37" s="635">
        <f>0.5*(MAX(C37:D37)-MIN(C37:D37))</f>
        <v>0.1</v>
      </c>
      <c r="F37" s="638">
        <v>0.47</v>
      </c>
      <c r="G37" s="631"/>
      <c r="H37" s="1193"/>
      <c r="I37" s="644">
        <v>150</v>
      </c>
      <c r="J37" s="636">
        <v>-0.06</v>
      </c>
      <c r="K37" s="636">
        <v>0.02</v>
      </c>
      <c r="L37" s="635">
        <f t="shared" ref="L37:L42" si="12">0.5*(MAX(J37:K37)-MIN(J37:K37))</f>
        <v>0.04</v>
      </c>
      <c r="M37" s="638">
        <v>0.47</v>
      </c>
      <c r="N37" s="631"/>
      <c r="O37" s="1193"/>
      <c r="P37" s="633">
        <v>150</v>
      </c>
      <c r="Q37" s="636">
        <v>0.03</v>
      </c>
      <c r="R37" s="636">
        <v>-0.15</v>
      </c>
      <c r="S37" s="635">
        <f t="shared" ref="S37:S42" si="13">0.5*(MAX(Q37:R37)-MIN(Q37:R37))</f>
        <v>0.09</v>
      </c>
      <c r="T37" s="637">
        <v>1.2</v>
      </c>
    </row>
    <row r="38" spans="1:20" ht="12.75" customHeight="1">
      <c r="A38" s="1193"/>
      <c r="B38" s="638">
        <v>180</v>
      </c>
      <c r="C38" s="636">
        <v>-0.09</v>
      </c>
      <c r="D38" s="636">
        <v>0.03</v>
      </c>
      <c r="E38" s="635">
        <f t="shared" ref="E38:E42" si="14">0.5*(MAX(C38:D38)-MIN(C38:D38))</f>
        <v>0.06</v>
      </c>
      <c r="F38" s="638">
        <v>0.47</v>
      </c>
      <c r="G38" s="631"/>
      <c r="H38" s="1193"/>
      <c r="I38" s="644">
        <v>180</v>
      </c>
      <c r="J38" s="636">
        <v>-0.11</v>
      </c>
      <c r="K38" s="636">
        <v>0.1</v>
      </c>
      <c r="L38" s="635">
        <f t="shared" si="12"/>
        <v>0.10500000000000001</v>
      </c>
      <c r="M38" s="638">
        <v>0.47</v>
      </c>
      <c r="N38" s="631"/>
      <c r="O38" s="1193"/>
      <c r="P38" s="633">
        <v>180</v>
      </c>
      <c r="Q38" s="634">
        <v>9.9999999999999995E-7</v>
      </c>
      <c r="R38" s="636">
        <v>-0.11</v>
      </c>
      <c r="S38" s="635">
        <f t="shared" si="13"/>
        <v>5.5000500000000001E-2</v>
      </c>
      <c r="T38" s="637">
        <v>1.2</v>
      </c>
    </row>
    <row r="39" spans="1:20" ht="12.75" customHeight="1">
      <c r="A39" s="1193"/>
      <c r="B39" s="638">
        <v>200</v>
      </c>
      <c r="C39" s="636">
        <v>-0.14000000000000001</v>
      </c>
      <c r="D39" s="636">
        <v>0.05</v>
      </c>
      <c r="E39" s="635">
        <f t="shared" si="14"/>
        <v>9.5000000000000001E-2</v>
      </c>
      <c r="F39" s="638">
        <v>0.47</v>
      </c>
      <c r="G39" s="631"/>
      <c r="H39" s="1193"/>
      <c r="I39" s="644">
        <v>200</v>
      </c>
      <c r="J39" s="636">
        <v>-0.17</v>
      </c>
      <c r="K39" s="636">
        <v>-0.03</v>
      </c>
      <c r="L39" s="635">
        <f t="shared" si="12"/>
        <v>7.0000000000000007E-2</v>
      </c>
      <c r="M39" s="638">
        <v>0.47</v>
      </c>
      <c r="N39" s="631"/>
      <c r="O39" s="1193"/>
      <c r="P39" s="633">
        <v>200</v>
      </c>
      <c r="Q39" s="636">
        <v>0.05</v>
      </c>
      <c r="R39" s="636">
        <v>-0.1</v>
      </c>
      <c r="S39" s="635">
        <f t="shared" si="13"/>
        <v>7.5000000000000011E-2</v>
      </c>
      <c r="T39" s="637">
        <v>1.2</v>
      </c>
    </row>
    <row r="40" spans="1:20" ht="12.75" customHeight="1">
      <c r="A40" s="1193"/>
      <c r="B40" s="638">
        <v>220</v>
      </c>
      <c r="C40" s="636">
        <v>-0.19</v>
      </c>
      <c r="D40" s="636">
        <v>0.1</v>
      </c>
      <c r="E40" s="635">
        <f t="shared" si="14"/>
        <v>0.14500000000000002</v>
      </c>
      <c r="F40" s="638">
        <v>0.47</v>
      </c>
      <c r="G40" s="631"/>
      <c r="H40" s="1193"/>
      <c r="I40" s="644">
        <v>220</v>
      </c>
      <c r="J40" s="636">
        <v>-0.25</v>
      </c>
      <c r="K40" s="636">
        <v>0.38</v>
      </c>
      <c r="L40" s="635">
        <f t="shared" si="12"/>
        <v>0.315</v>
      </c>
      <c r="M40" s="638">
        <v>0.47</v>
      </c>
      <c r="N40" s="631"/>
      <c r="O40" s="1193"/>
      <c r="P40" s="633">
        <v>220</v>
      </c>
      <c r="Q40" s="636">
        <v>0.05</v>
      </c>
      <c r="R40" s="636">
        <v>-0.13</v>
      </c>
      <c r="S40" s="635">
        <f t="shared" si="13"/>
        <v>0.09</v>
      </c>
      <c r="T40" s="637">
        <v>1.2</v>
      </c>
    </row>
    <row r="41" spans="1:20" ht="12.75" customHeight="1">
      <c r="A41" s="1193"/>
      <c r="B41" s="638">
        <v>230</v>
      </c>
      <c r="C41" s="636">
        <v>-0.2</v>
      </c>
      <c r="D41" s="636">
        <v>0.36799999999999999</v>
      </c>
      <c r="E41" s="635">
        <f t="shared" si="14"/>
        <v>0.28400000000000003</v>
      </c>
      <c r="F41" s="638">
        <v>0.47</v>
      </c>
      <c r="G41" s="631"/>
      <c r="H41" s="1193"/>
      <c r="I41" s="644">
        <v>230</v>
      </c>
      <c r="J41" s="636">
        <v>-0.23</v>
      </c>
      <c r="K41" s="636">
        <v>-0.16</v>
      </c>
      <c r="L41" s="635">
        <f t="shared" si="12"/>
        <v>3.5000000000000003E-2</v>
      </c>
      <c r="M41" s="638">
        <v>0.47</v>
      </c>
      <c r="N41" s="631"/>
      <c r="O41" s="1193"/>
      <c r="P41" s="633">
        <v>230</v>
      </c>
      <c r="Q41" s="636">
        <v>-0.05</v>
      </c>
      <c r="R41" s="636">
        <v>-0.15</v>
      </c>
      <c r="S41" s="635">
        <f t="shared" si="13"/>
        <v>4.9999999999999996E-2</v>
      </c>
      <c r="T41" s="637">
        <v>1.2</v>
      </c>
    </row>
    <row r="42" spans="1:20" ht="12.75" customHeight="1">
      <c r="A42" s="1193"/>
      <c r="B42" s="638">
        <v>250</v>
      </c>
      <c r="C42" s="634">
        <v>9.9999999999999995E-7</v>
      </c>
      <c r="D42" s="634">
        <v>9.9999999999999995E-7</v>
      </c>
      <c r="E42" s="635">
        <f t="shared" si="14"/>
        <v>0</v>
      </c>
      <c r="F42" s="638">
        <v>0.47</v>
      </c>
      <c r="G42" s="631"/>
      <c r="H42" s="1193"/>
      <c r="I42" s="644">
        <v>250</v>
      </c>
      <c r="J42" s="634">
        <v>9.9999999999999995E-7</v>
      </c>
      <c r="K42" s="634">
        <v>9.9999999999999995E-7</v>
      </c>
      <c r="L42" s="635">
        <f t="shared" si="12"/>
        <v>0</v>
      </c>
      <c r="M42" s="638">
        <v>0.47</v>
      </c>
      <c r="N42" s="631"/>
      <c r="O42" s="1193"/>
      <c r="P42" s="633">
        <v>250</v>
      </c>
      <c r="Q42" s="634">
        <v>9.9999999999999995E-7</v>
      </c>
      <c r="R42" s="634">
        <v>9.9999999999999995E-7</v>
      </c>
      <c r="S42" s="635">
        <f t="shared" si="13"/>
        <v>0</v>
      </c>
      <c r="T42" s="637">
        <v>1.2</v>
      </c>
    </row>
    <row r="43" spans="1:20" ht="12.75" customHeight="1">
      <c r="A43" s="1193"/>
      <c r="B43" s="1189" t="str">
        <f>B12</f>
        <v>Current Leakage</v>
      </c>
      <c r="C43" s="1189"/>
      <c r="D43" s="1189"/>
      <c r="E43" s="623" t="s">
        <v>244</v>
      </c>
      <c r="F43" s="623" t="s">
        <v>94</v>
      </c>
      <c r="G43" s="631"/>
      <c r="H43" s="1193"/>
      <c r="I43" s="1189" t="str">
        <f>B43</f>
        <v>Current Leakage</v>
      </c>
      <c r="J43" s="1189"/>
      <c r="K43" s="1189"/>
      <c r="L43" s="623" t="s">
        <v>244</v>
      </c>
      <c r="M43" s="623" t="s">
        <v>94</v>
      </c>
      <c r="N43" s="631"/>
      <c r="O43" s="1193"/>
      <c r="P43" s="1189" t="str">
        <f>I43</f>
        <v>Current Leakage</v>
      </c>
      <c r="Q43" s="1189"/>
      <c r="R43" s="1189"/>
      <c r="S43" s="1190" t="s">
        <v>244</v>
      </c>
      <c r="T43" s="1190" t="s">
        <v>94</v>
      </c>
    </row>
    <row r="44" spans="1:20" ht="15" customHeight="1">
      <c r="A44" s="1193"/>
      <c r="B44" s="632" t="s">
        <v>247</v>
      </c>
      <c r="C44" s="623">
        <f>C36</f>
        <v>2017</v>
      </c>
      <c r="D44" s="623">
        <f>D36</f>
        <v>2019</v>
      </c>
      <c r="E44" s="623"/>
      <c r="F44" s="623"/>
      <c r="G44" s="631"/>
      <c r="H44" s="1193"/>
      <c r="I44" s="632" t="s">
        <v>247</v>
      </c>
      <c r="J44" s="623">
        <f>J36</f>
        <v>2017</v>
      </c>
      <c r="K44" s="623">
        <f>K36</f>
        <v>2019</v>
      </c>
      <c r="L44" s="623"/>
      <c r="M44" s="623"/>
      <c r="N44" s="631"/>
      <c r="O44" s="1193"/>
      <c r="P44" s="632" t="s">
        <v>247</v>
      </c>
      <c r="Q44" s="623">
        <f>Q36</f>
        <v>2018</v>
      </c>
      <c r="R44" s="623">
        <f>R36</f>
        <v>2019</v>
      </c>
      <c r="S44" s="1190"/>
      <c r="T44" s="1190"/>
    </row>
    <row r="45" spans="1:20" ht="12.75" customHeight="1">
      <c r="A45" s="1193"/>
      <c r="B45" s="638">
        <v>0</v>
      </c>
      <c r="C45" s="634">
        <v>9.9999999999999995E-7</v>
      </c>
      <c r="D45" s="634">
        <v>9.9999999999999995E-7</v>
      </c>
      <c r="E45" s="635">
        <f>0.5*(MAX(C45:D45)-MIN(C45:D45))</f>
        <v>0</v>
      </c>
      <c r="F45" s="638">
        <v>0.28999999999999998</v>
      </c>
      <c r="G45" s="631"/>
      <c r="H45" s="1193"/>
      <c r="I45" s="644">
        <v>0</v>
      </c>
      <c r="J45" s="634">
        <v>9.9999999999999995E-7</v>
      </c>
      <c r="K45" s="634">
        <v>9.9999999999999995E-7</v>
      </c>
      <c r="L45" s="635">
        <f t="shared" ref="L45:L50" si="15">0.5*(MAX(J45:K45)-MIN(J45:K45))</f>
        <v>0</v>
      </c>
      <c r="M45" s="638">
        <v>0.28999999999999998</v>
      </c>
      <c r="N45" s="631"/>
      <c r="O45" s="1193"/>
      <c r="P45" s="638">
        <v>0</v>
      </c>
      <c r="Q45" s="634">
        <v>9.9999999999999995E-7</v>
      </c>
      <c r="R45" s="634">
        <v>9.9999999999999995E-7</v>
      </c>
      <c r="S45" s="635">
        <f t="shared" ref="S45:S50" si="16">0.5*(MAX(Q45:R45)-MIN(Q45:R45))</f>
        <v>0</v>
      </c>
      <c r="T45" s="638">
        <v>0.59</v>
      </c>
    </row>
    <row r="46" spans="1:20" ht="12.75" customHeight="1">
      <c r="A46" s="1193"/>
      <c r="B46" s="638">
        <v>50</v>
      </c>
      <c r="C46" s="636">
        <v>-0.1</v>
      </c>
      <c r="D46" s="636">
        <v>0.2</v>
      </c>
      <c r="E46" s="635">
        <f t="shared" ref="E46:E50" si="17">0.5*(MAX(C46:D46)-MIN(C46:D46))</f>
        <v>0.15000000000000002</v>
      </c>
      <c r="F46" s="638">
        <v>0.28999999999999998</v>
      </c>
      <c r="G46" s="631"/>
      <c r="H46" s="1193"/>
      <c r="I46" s="644">
        <v>50</v>
      </c>
      <c r="J46" s="636">
        <v>4.7</v>
      </c>
      <c r="K46" s="636">
        <v>-0.33</v>
      </c>
      <c r="L46" s="635">
        <f t="shared" si="15"/>
        <v>2.5150000000000001</v>
      </c>
      <c r="M46" s="638">
        <v>0.28999999999999998</v>
      </c>
      <c r="N46" s="631"/>
      <c r="O46" s="1193"/>
      <c r="P46" s="638">
        <v>50</v>
      </c>
      <c r="Q46" s="636">
        <v>2.1</v>
      </c>
      <c r="R46" s="636">
        <v>2.6</v>
      </c>
      <c r="S46" s="635">
        <f t="shared" si="16"/>
        <v>0.25</v>
      </c>
      <c r="T46" s="638">
        <v>0.59</v>
      </c>
    </row>
    <row r="47" spans="1:20" ht="12.75" customHeight="1">
      <c r="A47" s="1193"/>
      <c r="B47" s="638">
        <v>100</v>
      </c>
      <c r="C47" s="636">
        <v>-0.1</v>
      </c>
      <c r="D47" s="636">
        <v>0.3</v>
      </c>
      <c r="E47" s="635">
        <f t="shared" si="17"/>
        <v>0.2</v>
      </c>
      <c r="F47" s="638">
        <v>0.28999999999999998</v>
      </c>
      <c r="G47" s="631"/>
      <c r="H47" s="1193"/>
      <c r="I47" s="644">
        <v>100</v>
      </c>
      <c r="J47" s="636">
        <v>4.4000000000000004</v>
      </c>
      <c r="K47" s="636">
        <v>-0.42</v>
      </c>
      <c r="L47" s="635">
        <f t="shared" si="15"/>
        <v>2.41</v>
      </c>
      <c r="M47" s="638">
        <v>0.28999999999999998</v>
      </c>
      <c r="N47" s="631"/>
      <c r="O47" s="1193"/>
      <c r="P47" s="638">
        <v>100</v>
      </c>
      <c r="Q47" s="636">
        <v>2.2999999999999998</v>
      </c>
      <c r="R47" s="636">
        <v>2.6</v>
      </c>
      <c r="S47" s="635">
        <f t="shared" si="16"/>
        <v>0.15000000000000013</v>
      </c>
      <c r="T47" s="638">
        <v>0.59</v>
      </c>
    </row>
    <row r="48" spans="1:20" ht="12.75" customHeight="1">
      <c r="A48" s="1193"/>
      <c r="B48" s="638">
        <v>200</v>
      </c>
      <c r="C48" s="636">
        <v>1.1000000000000001</v>
      </c>
      <c r="D48" s="636">
        <v>1.4</v>
      </c>
      <c r="E48" s="635">
        <f t="shared" si="17"/>
        <v>0.14999999999999991</v>
      </c>
      <c r="F48" s="638">
        <v>0.28999999999999998</v>
      </c>
      <c r="G48" s="631"/>
      <c r="H48" s="1193"/>
      <c r="I48" s="644">
        <v>200</v>
      </c>
      <c r="J48" s="636">
        <v>15.6</v>
      </c>
      <c r="K48" s="636">
        <v>1.3</v>
      </c>
      <c r="L48" s="635">
        <f t="shared" si="15"/>
        <v>7.1499999999999995</v>
      </c>
      <c r="M48" s="638">
        <v>0.28999999999999998</v>
      </c>
      <c r="N48" s="631"/>
      <c r="O48" s="1193"/>
      <c r="P48" s="638">
        <v>200</v>
      </c>
      <c r="Q48" s="636">
        <v>0.2</v>
      </c>
      <c r="R48" s="636">
        <v>3.1</v>
      </c>
      <c r="S48" s="635">
        <f t="shared" si="16"/>
        <v>1.45</v>
      </c>
      <c r="T48" s="638">
        <v>0.59</v>
      </c>
    </row>
    <row r="49" spans="1:20" ht="12.75" customHeight="1">
      <c r="A49" s="1193"/>
      <c r="B49" s="638">
        <v>500</v>
      </c>
      <c r="C49" s="636">
        <v>0.9</v>
      </c>
      <c r="D49" s="636">
        <v>2.8</v>
      </c>
      <c r="E49" s="635">
        <f t="shared" si="17"/>
        <v>0.95</v>
      </c>
      <c r="F49" s="638">
        <v>0.28999999999999998</v>
      </c>
      <c r="G49" s="631"/>
      <c r="H49" s="1193"/>
      <c r="I49" s="644">
        <v>500</v>
      </c>
      <c r="J49" s="636">
        <v>14.3</v>
      </c>
      <c r="K49" s="636">
        <v>0.7</v>
      </c>
      <c r="L49" s="635">
        <f t="shared" si="15"/>
        <v>6.8000000000000007</v>
      </c>
      <c r="M49" s="638">
        <v>0.28999999999999998</v>
      </c>
      <c r="N49" s="631"/>
      <c r="O49" s="1193"/>
      <c r="P49" s="638">
        <v>500</v>
      </c>
      <c r="Q49" s="636">
        <v>2.8</v>
      </c>
      <c r="R49" s="636">
        <v>3.9</v>
      </c>
      <c r="S49" s="635">
        <f t="shared" si="16"/>
        <v>0.55000000000000004</v>
      </c>
      <c r="T49" s="638">
        <v>0.59</v>
      </c>
    </row>
    <row r="50" spans="1:20" ht="12.75" customHeight="1">
      <c r="A50" s="1193"/>
      <c r="B50" s="638">
        <v>1000</v>
      </c>
      <c r="C50" s="636">
        <v>2</v>
      </c>
      <c r="D50" s="636">
        <v>1.2E-2</v>
      </c>
      <c r="E50" s="635">
        <f t="shared" si="17"/>
        <v>0.99399999999999999</v>
      </c>
      <c r="F50" s="638">
        <v>0.28999999999999998</v>
      </c>
      <c r="G50" s="631"/>
      <c r="H50" s="1193"/>
      <c r="I50" s="644">
        <v>1000</v>
      </c>
      <c r="J50" s="636">
        <v>15</v>
      </c>
      <c r="K50" s="636">
        <v>2E-3</v>
      </c>
      <c r="L50" s="635">
        <f t="shared" si="15"/>
        <v>7.4989999999999997</v>
      </c>
      <c r="M50" s="638">
        <v>0.28999999999999998</v>
      </c>
      <c r="N50" s="631"/>
      <c r="O50" s="1193"/>
      <c r="P50" s="638">
        <v>1000</v>
      </c>
      <c r="Q50" s="640">
        <v>13</v>
      </c>
      <c r="R50" s="640">
        <v>5.0000000000000001E-3</v>
      </c>
      <c r="S50" s="635">
        <f t="shared" si="16"/>
        <v>6.4974999999999996</v>
      </c>
      <c r="T50" s="638">
        <v>0.59</v>
      </c>
    </row>
    <row r="51" spans="1:20" ht="12.75" customHeight="1">
      <c r="A51" s="1193"/>
      <c r="B51" s="1189" t="str">
        <f>B20</f>
        <v>Main-PE</v>
      </c>
      <c r="C51" s="1189"/>
      <c r="D51" s="1189"/>
      <c r="E51" s="623" t="s">
        <v>244</v>
      </c>
      <c r="F51" s="623" t="s">
        <v>94</v>
      </c>
      <c r="G51" s="631"/>
      <c r="H51" s="1193"/>
      <c r="I51" s="1189" t="str">
        <f>B51</f>
        <v>Main-PE</v>
      </c>
      <c r="J51" s="1189"/>
      <c r="K51" s="1189"/>
      <c r="L51" s="623" t="s">
        <v>244</v>
      </c>
      <c r="M51" s="623" t="s">
        <v>94</v>
      </c>
      <c r="N51" s="631"/>
      <c r="O51" s="1193"/>
      <c r="P51" s="1189" t="str">
        <f>I51</f>
        <v>Main-PE</v>
      </c>
      <c r="Q51" s="1189"/>
      <c r="R51" s="1189"/>
      <c r="S51" s="1190" t="s">
        <v>244</v>
      </c>
      <c r="T51" s="1190" t="s">
        <v>94</v>
      </c>
    </row>
    <row r="52" spans="1:20" ht="15" customHeight="1">
      <c r="A52" s="1193"/>
      <c r="B52" s="632" t="s">
        <v>512</v>
      </c>
      <c r="C52" s="623">
        <f>C36</f>
        <v>2017</v>
      </c>
      <c r="D52" s="623">
        <f>D36</f>
        <v>2019</v>
      </c>
      <c r="E52" s="623"/>
      <c r="F52" s="623"/>
      <c r="G52" s="631"/>
      <c r="H52" s="1193"/>
      <c r="I52" s="632" t="s">
        <v>512</v>
      </c>
      <c r="J52" s="623">
        <f>J36</f>
        <v>2017</v>
      </c>
      <c r="K52" s="623">
        <f>K36</f>
        <v>2019</v>
      </c>
      <c r="L52" s="623"/>
      <c r="M52" s="623"/>
      <c r="N52" s="631"/>
      <c r="O52" s="1193"/>
      <c r="P52" s="632" t="s">
        <v>512</v>
      </c>
      <c r="Q52" s="623">
        <f>Q36</f>
        <v>2018</v>
      </c>
      <c r="R52" s="623">
        <f>R36</f>
        <v>2019</v>
      </c>
      <c r="S52" s="1190"/>
      <c r="T52" s="1190"/>
    </row>
    <row r="53" spans="1:20" ht="12.75" customHeight="1">
      <c r="A53" s="1193"/>
      <c r="B53" s="638">
        <v>10</v>
      </c>
      <c r="C53" s="634">
        <v>9.9999999999999995E-7</v>
      </c>
      <c r="D53" s="636">
        <v>0.1</v>
      </c>
      <c r="E53" s="635">
        <f>0.5*(MAX(C53:D53)-MIN(C53:D53))</f>
        <v>4.9999500000000002E-2</v>
      </c>
      <c r="F53" s="637">
        <v>1.3</v>
      </c>
      <c r="G53" s="631"/>
      <c r="H53" s="1193"/>
      <c r="I53" s="638">
        <v>10</v>
      </c>
      <c r="J53" s="634">
        <v>9.9999999999999995E-7</v>
      </c>
      <c r="K53" s="636">
        <v>0.1</v>
      </c>
      <c r="L53" s="635">
        <f>0.5*(MAX(J53:K53)-MIN(J53:K53))</f>
        <v>4.9999500000000002E-2</v>
      </c>
      <c r="M53" s="637">
        <v>1.3</v>
      </c>
      <c r="N53" s="631"/>
      <c r="O53" s="1193"/>
      <c r="P53" s="638">
        <v>10</v>
      </c>
      <c r="Q53" s="634">
        <v>9.9999999999999995E-7</v>
      </c>
      <c r="R53" s="636">
        <v>0.1</v>
      </c>
      <c r="S53" s="635">
        <f t="shared" ref="S53:S56" si="18">0.5*(MAX(Q53:R53)-MIN(Q53:R53))</f>
        <v>4.9999500000000002E-2</v>
      </c>
      <c r="T53" s="637">
        <v>1.7</v>
      </c>
    </row>
    <row r="54" spans="1:20" ht="12.75" customHeight="1">
      <c r="A54" s="1193"/>
      <c r="B54" s="638">
        <v>20</v>
      </c>
      <c r="C54" s="636">
        <v>0.1</v>
      </c>
      <c r="D54" s="636">
        <v>0.2</v>
      </c>
      <c r="E54" s="635">
        <f t="shared" ref="E54:E56" si="19">0.5*(MAX(C54:D54)-MIN(C54:D54))</f>
        <v>0.05</v>
      </c>
      <c r="F54" s="637">
        <v>1.3</v>
      </c>
      <c r="G54" s="631"/>
      <c r="H54" s="1193"/>
      <c r="I54" s="638">
        <v>20</v>
      </c>
      <c r="J54" s="636">
        <v>0.1</v>
      </c>
      <c r="K54" s="636">
        <v>0.1</v>
      </c>
      <c r="L54" s="635">
        <f>0.5*(MAX(J54:K54)-MIN(J54:K54))</f>
        <v>0</v>
      </c>
      <c r="M54" s="637">
        <v>1.3</v>
      </c>
      <c r="N54" s="631"/>
      <c r="O54" s="1193"/>
      <c r="P54" s="638">
        <v>20</v>
      </c>
      <c r="Q54" s="636">
        <v>0.1</v>
      </c>
      <c r="R54" s="636">
        <v>0.1</v>
      </c>
      <c r="S54" s="635">
        <f t="shared" si="18"/>
        <v>0</v>
      </c>
      <c r="T54" s="637">
        <v>1.7</v>
      </c>
    </row>
    <row r="55" spans="1:20" ht="12.75" customHeight="1">
      <c r="A55" s="1193"/>
      <c r="B55" s="638">
        <v>50</v>
      </c>
      <c r="C55" s="636">
        <v>0.3</v>
      </c>
      <c r="D55" s="636">
        <v>0.5</v>
      </c>
      <c r="E55" s="635">
        <f t="shared" si="19"/>
        <v>0.1</v>
      </c>
      <c r="F55" s="637">
        <v>1.3</v>
      </c>
      <c r="G55" s="631"/>
      <c r="H55" s="1193"/>
      <c r="I55" s="638">
        <v>50</v>
      </c>
      <c r="J55" s="636">
        <v>0.3</v>
      </c>
      <c r="K55" s="636">
        <v>0.4</v>
      </c>
      <c r="L55" s="635">
        <f>0.5*(MAX(J55:K55)-MIN(J55:K55))</f>
        <v>5.0000000000000017E-2</v>
      </c>
      <c r="M55" s="637">
        <v>1.3</v>
      </c>
      <c r="N55" s="631"/>
      <c r="O55" s="1193"/>
      <c r="P55" s="638">
        <v>50</v>
      </c>
      <c r="Q55" s="636">
        <v>0.3</v>
      </c>
      <c r="R55" s="636">
        <v>0.3</v>
      </c>
      <c r="S55" s="635">
        <f t="shared" si="18"/>
        <v>0</v>
      </c>
      <c r="T55" s="637">
        <v>1.7</v>
      </c>
    </row>
    <row r="56" spans="1:20" ht="12.75" customHeight="1">
      <c r="A56" s="1193"/>
      <c r="B56" s="638">
        <v>100</v>
      </c>
      <c r="C56" s="636">
        <v>0.6</v>
      </c>
      <c r="D56" s="636">
        <v>1</v>
      </c>
      <c r="E56" s="635">
        <f t="shared" si="19"/>
        <v>0.2</v>
      </c>
      <c r="F56" s="637">
        <v>1.3</v>
      </c>
      <c r="G56" s="631"/>
      <c r="H56" s="1193"/>
      <c r="I56" s="638">
        <v>100</v>
      </c>
      <c r="J56" s="636">
        <v>1.3</v>
      </c>
      <c r="K56" s="636">
        <v>0.8</v>
      </c>
      <c r="L56" s="635">
        <f>0.5*(MAX(J56:K56)-MIN(J56:K56))</f>
        <v>0.25</v>
      </c>
      <c r="M56" s="637">
        <v>1.3</v>
      </c>
      <c r="N56" s="631"/>
      <c r="O56" s="1193"/>
      <c r="P56" s="638">
        <v>100</v>
      </c>
      <c r="Q56" s="636">
        <v>0.9</v>
      </c>
      <c r="R56" s="636">
        <v>0.6</v>
      </c>
      <c r="S56" s="635">
        <f t="shared" si="18"/>
        <v>0.15000000000000002</v>
      </c>
      <c r="T56" s="637">
        <v>1.7</v>
      </c>
    </row>
    <row r="57" spans="1:20" ht="12.75" customHeight="1">
      <c r="A57" s="1193"/>
      <c r="B57" s="1189" t="str">
        <f>B26</f>
        <v>Resistance</v>
      </c>
      <c r="C57" s="1189"/>
      <c r="D57" s="1189"/>
      <c r="E57" s="623" t="s">
        <v>244</v>
      </c>
      <c r="F57" s="623" t="s">
        <v>94</v>
      </c>
      <c r="G57" s="631"/>
      <c r="H57" s="1193"/>
      <c r="I57" s="1189" t="str">
        <f>B57</f>
        <v>Resistance</v>
      </c>
      <c r="J57" s="1189"/>
      <c r="K57" s="1189"/>
      <c r="L57" s="623" t="s">
        <v>244</v>
      </c>
      <c r="M57" s="623" t="s">
        <v>94</v>
      </c>
      <c r="N57" s="631"/>
      <c r="O57" s="1193"/>
      <c r="P57" s="1189" t="str">
        <f>I57</f>
        <v>Resistance</v>
      </c>
      <c r="Q57" s="1189"/>
      <c r="R57" s="1189"/>
      <c r="S57" s="1190" t="s">
        <v>244</v>
      </c>
      <c r="T57" s="1190" t="s">
        <v>94</v>
      </c>
    </row>
    <row r="58" spans="1:20" ht="15" customHeight="1">
      <c r="A58" s="1193"/>
      <c r="B58" s="632" t="s">
        <v>513</v>
      </c>
      <c r="C58" s="623">
        <f>C36</f>
        <v>2017</v>
      </c>
      <c r="D58" s="623">
        <f>D36</f>
        <v>2019</v>
      </c>
      <c r="E58" s="623"/>
      <c r="F58" s="623"/>
      <c r="G58" s="631"/>
      <c r="H58" s="1193"/>
      <c r="I58" s="632" t="s">
        <v>513</v>
      </c>
      <c r="J58" s="623">
        <f>J36</f>
        <v>2017</v>
      </c>
      <c r="K58" s="623">
        <f>K36</f>
        <v>2019</v>
      </c>
      <c r="L58" s="623"/>
      <c r="M58" s="623"/>
      <c r="N58" s="631"/>
      <c r="O58" s="1193"/>
      <c r="P58" s="632" t="s">
        <v>513</v>
      </c>
      <c r="Q58" s="623">
        <f>Q36</f>
        <v>2018</v>
      </c>
      <c r="R58" s="623">
        <f>R36</f>
        <v>2019</v>
      </c>
      <c r="S58" s="1190"/>
      <c r="T58" s="1190"/>
    </row>
    <row r="59" spans="1:20" ht="12.75" customHeight="1">
      <c r="A59" s="1193"/>
      <c r="B59" s="638">
        <v>0.01</v>
      </c>
      <c r="C59" s="634">
        <v>9.9999999999999995E-7</v>
      </c>
      <c r="D59" s="634">
        <v>9.9999999999999995E-7</v>
      </c>
      <c r="E59" s="635">
        <f>0.5*(MAX(C59:D59)-MIN(C59:D59))</f>
        <v>0</v>
      </c>
      <c r="F59" s="638">
        <v>0.43</v>
      </c>
      <c r="G59" s="631"/>
      <c r="H59" s="1193"/>
      <c r="I59" s="644">
        <v>0.01</v>
      </c>
      <c r="J59" s="634">
        <v>9.9999999999999995E-7</v>
      </c>
      <c r="K59" s="634">
        <v>9.9999999999999995E-7</v>
      </c>
      <c r="L59" s="635">
        <f>0.5*(MAX(J59:K59)-MIN(J59:K59))</f>
        <v>0</v>
      </c>
      <c r="M59" s="638">
        <v>0.43</v>
      </c>
      <c r="N59" s="631"/>
      <c r="O59" s="1193"/>
      <c r="P59" s="638">
        <v>0.01</v>
      </c>
      <c r="Q59" s="634">
        <v>9.9999999999999995E-7</v>
      </c>
      <c r="R59" s="634">
        <v>9.9999999999999995E-7</v>
      </c>
      <c r="S59" s="635">
        <f t="shared" ref="S59:S62" si="20">0.5*(MAX(Q59:R59)-MIN(Q59:R59))</f>
        <v>0</v>
      </c>
      <c r="T59" s="638">
        <v>1.2</v>
      </c>
    </row>
    <row r="60" spans="1:20" ht="12.75" customHeight="1">
      <c r="A60" s="1193"/>
      <c r="B60" s="638">
        <v>0.1</v>
      </c>
      <c r="C60" s="640">
        <v>6.0000000000000001E-3</v>
      </c>
      <c r="D60" s="634">
        <v>9.9999999999999995E-7</v>
      </c>
      <c r="E60" s="635">
        <f t="shared" ref="E60:E62" si="21">0.5*(MAX(C60:D60)-MIN(C60:D60))</f>
        <v>2.9995E-3</v>
      </c>
      <c r="F60" s="638">
        <v>0.43</v>
      </c>
      <c r="G60" s="631"/>
      <c r="H60" s="1193"/>
      <c r="I60" s="644">
        <v>0.1</v>
      </c>
      <c r="J60" s="640">
        <v>2E-3</v>
      </c>
      <c r="K60" s="640">
        <v>2E-3</v>
      </c>
      <c r="L60" s="635">
        <f>0.5*(MAX(J60:K60)-MIN(J60:K60))</f>
        <v>0</v>
      </c>
      <c r="M60" s="638">
        <v>0.43</v>
      </c>
      <c r="N60" s="631"/>
      <c r="O60" s="1193"/>
      <c r="P60" s="638">
        <v>0.1</v>
      </c>
      <c r="Q60" s="640">
        <v>1E-3</v>
      </c>
      <c r="R60" s="640">
        <v>-2E-3</v>
      </c>
      <c r="S60" s="635">
        <f t="shared" si="20"/>
        <v>1.5E-3</v>
      </c>
      <c r="T60" s="638">
        <v>1.2</v>
      </c>
    </row>
    <row r="61" spans="1:20" ht="12.75" customHeight="1">
      <c r="A61" s="1193"/>
      <c r="B61" s="638">
        <v>1</v>
      </c>
      <c r="C61" s="640">
        <v>7.0000000000000001E-3</v>
      </c>
      <c r="D61" s="640">
        <v>-1E-3</v>
      </c>
      <c r="E61" s="635">
        <f t="shared" si="21"/>
        <v>4.0000000000000001E-3</v>
      </c>
      <c r="F61" s="638">
        <v>0.43</v>
      </c>
      <c r="G61" s="631"/>
      <c r="H61" s="1193"/>
      <c r="I61" s="644">
        <v>1</v>
      </c>
      <c r="J61" s="640">
        <v>3.0000000000000001E-3</v>
      </c>
      <c r="K61" s="640">
        <v>1.2E-2</v>
      </c>
      <c r="L61" s="635">
        <f t="shared" ref="L61:L62" si="22">0.5*(MAX(J61:K61)-MIN(J61:K61))</f>
        <v>4.5000000000000005E-3</v>
      </c>
      <c r="M61" s="638">
        <v>0.43</v>
      </c>
      <c r="N61" s="631"/>
      <c r="O61" s="1193"/>
      <c r="P61" s="638">
        <v>1</v>
      </c>
      <c r="Q61" s="640">
        <v>2E-3</v>
      </c>
      <c r="R61" s="640">
        <v>-1E-3</v>
      </c>
      <c r="S61" s="635">
        <f t="shared" si="20"/>
        <v>1.5E-3</v>
      </c>
      <c r="T61" s="638">
        <v>1.2</v>
      </c>
    </row>
    <row r="62" spans="1:20" ht="12.75" customHeight="1">
      <c r="A62" s="1193"/>
      <c r="B62" s="638">
        <v>2</v>
      </c>
      <c r="C62" s="634">
        <v>9.9999999999999995E-7</v>
      </c>
      <c r="D62" s="634">
        <v>9.9999999999999995E-7</v>
      </c>
      <c r="E62" s="635">
        <f t="shared" si="21"/>
        <v>0</v>
      </c>
      <c r="F62" s="638">
        <v>0.43</v>
      </c>
      <c r="G62" s="631"/>
      <c r="H62" s="1193"/>
      <c r="I62" s="644">
        <v>2</v>
      </c>
      <c r="J62" s="634">
        <v>9.9999999999999995E-7</v>
      </c>
      <c r="K62" s="634">
        <v>9.9999999999999995E-7</v>
      </c>
      <c r="L62" s="635">
        <f t="shared" si="22"/>
        <v>0</v>
      </c>
      <c r="M62" s="638">
        <v>0.43</v>
      </c>
      <c r="N62" s="631"/>
      <c r="O62" s="1193"/>
      <c r="P62" s="638">
        <v>2</v>
      </c>
      <c r="Q62" s="634">
        <v>9.9999999999999995E-7</v>
      </c>
      <c r="R62" s="634">
        <v>9.9999999999999995E-7</v>
      </c>
      <c r="S62" s="635">
        <f t="shared" si="20"/>
        <v>0</v>
      </c>
      <c r="T62" s="638">
        <v>1.2</v>
      </c>
    </row>
    <row r="63" spans="1:20" ht="15.6">
      <c r="A63" s="479"/>
      <c r="B63" s="645"/>
      <c r="C63" s="646"/>
      <c r="D63" s="646"/>
      <c r="E63" s="646"/>
      <c r="F63" s="646"/>
      <c r="G63" s="631"/>
      <c r="H63" s="480"/>
      <c r="I63" s="647"/>
      <c r="J63" s="646"/>
      <c r="K63" s="646"/>
      <c r="L63" s="646"/>
      <c r="M63" s="646"/>
      <c r="N63" s="631"/>
      <c r="O63" s="480"/>
      <c r="P63" s="645"/>
      <c r="Q63" s="646"/>
      <c r="R63" s="631"/>
      <c r="S63" s="631"/>
      <c r="T63" s="643"/>
    </row>
    <row r="64" spans="1:20" ht="15" customHeight="1">
      <c r="A64" s="1193" t="s">
        <v>221</v>
      </c>
      <c r="B64" s="1190" t="s">
        <v>253</v>
      </c>
      <c r="C64" s="1190"/>
      <c r="D64" s="1190"/>
      <c r="E64" s="1190"/>
      <c r="F64" s="1190"/>
      <c r="G64" s="475"/>
      <c r="H64" s="1193" t="s">
        <v>254</v>
      </c>
      <c r="I64" s="1194" t="s">
        <v>407</v>
      </c>
      <c r="J64" s="1194"/>
      <c r="K64" s="1194"/>
      <c r="L64" s="1194"/>
      <c r="M64" s="1194"/>
      <c r="N64" s="476"/>
      <c r="O64" s="1193" t="s">
        <v>42</v>
      </c>
      <c r="P64" s="1194" t="s">
        <v>408</v>
      </c>
      <c r="Q64" s="1194"/>
      <c r="R64" s="1194"/>
      <c r="S64" s="1194"/>
      <c r="T64" s="1194"/>
    </row>
    <row r="65" spans="1:20" ht="15" customHeight="1">
      <c r="A65" s="1193"/>
      <c r="B65" s="1195" t="s">
        <v>242</v>
      </c>
      <c r="C65" s="1195"/>
      <c r="D65" s="1195"/>
      <c r="E65" s="1195"/>
      <c r="F65" s="1195"/>
      <c r="G65" s="629"/>
      <c r="H65" s="1193"/>
      <c r="I65" s="1196" t="s">
        <v>242</v>
      </c>
      <c r="J65" s="1196"/>
      <c r="K65" s="1196"/>
      <c r="L65" s="1196"/>
      <c r="M65" s="1196"/>
      <c r="N65" s="630"/>
      <c r="O65" s="1193"/>
      <c r="P65" s="1196" t="s">
        <v>242</v>
      </c>
      <c r="Q65" s="1196"/>
      <c r="R65" s="1196"/>
      <c r="S65" s="1196"/>
      <c r="T65" s="1196"/>
    </row>
    <row r="66" spans="1:20" ht="12.75" customHeight="1">
      <c r="A66" s="1193"/>
      <c r="B66" s="1190" t="s">
        <v>243</v>
      </c>
      <c r="C66" s="1190"/>
      <c r="D66" s="1190"/>
      <c r="E66" s="1190" t="s">
        <v>244</v>
      </c>
      <c r="F66" s="1190" t="s">
        <v>94</v>
      </c>
      <c r="G66" s="631"/>
      <c r="H66" s="1193"/>
      <c r="I66" s="1190" t="str">
        <f>B66</f>
        <v>Setting VAC</v>
      </c>
      <c r="J66" s="1190"/>
      <c r="K66" s="1190"/>
      <c r="L66" s="1190" t="s">
        <v>244</v>
      </c>
      <c r="M66" s="1190" t="s">
        <v>94</v>
      </c>
      <c r="N66" s="631"/>
      <c r="O66" s="1193"/>
      <c r="P66" s="1190" t="str">
        <f>B66</f>
        <v>Setting VAC</v>
      </c>
      <c r="Q66" s="1190"/>
      <c r="R66" s="1190"/>
      <c r="S66" s="1190" t="s">
        <v>244</v>
      </c>
      <c r="T66" s="1190" t="s">
        <v>94</v>
      </c>
    </row>
    <row r="67" spans="1:20" ht="15" customHeight="1">
      <c r="A67" s="1193"/>
      <c r="B67" s="632" t="s">
        <v>245</v>
      </c>
      <c r="C67" s="623">
        <v>2019</v>
      </c>
      <c r="D67" s="623">
        <v>2020</v>
      </c>
      <c r="E67" s="1190"/>
      <c r="F67" s="1190"/>
      <c r="G67" s="631"/>
      <c r="H67" s="1193"/>
      <c r="I67" s="632" t="s">
        <v>245</v>
      </c>
      <c r="J67" s="623">
        <v>2019</v>
      </c>
      <c r="K67" s="623">
        <v>2020</v>
      </c>
      <c r="L67" s="1190"/>
      <c r="M67" s="1190"/>
      <c r="N67" s="631"/>
      <c r="O67" s="1193"/>
      <c r="P67" s="632" t="s">
        <v>245</v>
      </c>
      <c r="Q67" s="623">
        <v>2020</v>
      </c>
      <c r="R67" s="623">
        <v>2022</v>
      </c>
      <c r="S67" s="1190"/>
      <c r="T67" s="1190"/>
    </row>
    <row r="68" spans="1:20" ht="12.75" customHeight="1">
      <c r="A68" s="1193"/>
      <c r="B68" s="633">
        <v>150</v>
      </c>
      <c r="C68" s="634">
        <v>0.21</v>
      </c>
      <c r="D68" s="634">
        <v>0.21</v>
      </c>
      <c r="E68" s="635">
        <f t="shared" ref="E68:E73" si="23">0.5*(MAX(C68:D68)-MIN(C68:D68))</f>
        <v>0</v>
      </c>
      <c r="F68" s="637">
        <v>1.2</v>
      </c>
      <c r="G68" s="631"/>
      <c r="H68" s="1193"/>
      <c r="I68" s="633">
        <v>150</v>
      </c>
      <c r="J68" s="634">
        <v>9.9999999999999995E-7</v>
      </c>
      <c r="K68" s="634">
        <v>-0.17</v>
      </c>
      <c r="L68" s="635">
        <f>0.5*(MAX(J68:K68)-MIN(J68:K68))</f>
        <v>8.5000500000000007E-2</v>
      </c>
      <c r="M68" s="634">
        <v>1.2</v>
      </c>
      <c r="N68" s="631"/>
      <c r="O68" s="1193"/>
      <c r="P68" s="633">
        <v>150</v>
      </c>
      <c r="Q68" s="634">
        <v>-0.24</v>
      </c>
      <c r="R68" s="634">
        <v>-0.17</v>
      </c>
      <c r="S68" s="635">
        <f t="shared" ref="S68:S73" si="24">0.5*(MAX(Q68:R68)-MIN(Q68:R68))</f>
        <v>3.4999999999999989E-2</v>
      </c>
      <c r="T68" s="634">
        <v>1.2</v>
      </c>
    </row>
    <row r="69" spans="1:20" ht="12.75" customHeight="1">
      <c r="A69" s="1193"/>
      <c r="B69" s="633">
        <v>180</v>
      </c>
      <c r="C69" s="634">
        <v>0.33</v>
      </c>
      <c r="D69" s="634">
        <v>0.33</v>
      </c>
      <c r="E69" s="635">
        <f t="shared" si="23"/>
        <v>0</v>
      </c>
      <c r="F69" s="637">
        <v>1.2</v>
      </c>
      <c r="G69" s="631"/>
      <c r="H69" s="1193"/>
      <c r="I69" s="633">
        <v>180</v>
      </c>
      <c r="J69" s="634">
        <v>9.9999999999999995E-7</v>
      </c>
      <c r="K69" s="634">
        <v>-0.22</v>
      </c>
      <c r="L69" s="635">
        <f t="shared" ref="L69:L73" si="25">0.5*(MAX(J69:K69)-MIN(J69:K69))</f>
        <v>0.1100005</v>
      </c>
      <c r="M69" s="634">
        <v>1.2</v>
      </c>
      <c r="N69" s="631"/>
      <c r="O69" s="1193"/>
      <c r="P69" s="633">
        <v>180</v>
      </c>
      <c r="Q69" s="634">
        <v>-0.14000000000000001</v>
      </c>
      <c r="R69" s="634">
        <v>-0.39</v>
      </c>
      <c r="S69" s="635">
        <f t="shared" si="24"/>
        <v>0.125</v>
      </c>
      <c r="T69" s="634">
        <v>1.2</v>
      </c>
    </row>
    <row r="70" spans="1:20" ht="12.75" customHeight="1">
      <c r="A70" s="1193"/>
      <c r="B70" s="633">
        <v>200</v>
      </c>
      <c r="C70" s="634">
        <v>0.34</v>
      </c>
      <c r="D70" s="634">
        <v>0.34</v>
      </c>
      <c r="E70" s="635">
        <f t="shared" si="23"/>
        <v>0</v>
      </c>
      <c r="F70" s="637">
        <v>1.2</v>
      </c>
      <c r="G70" s="631"/>
      <c r="H70" s="1193"/>
      <c r="I70" s="633">
        <v>200</v>
      </c>
      <c r="J70" s="634">
        <v>9.9999999999999995E-7</v>
      </c>
      <c r="K70" s="634">
        <v>-0.33</v>
      </c>
      <c r="L70" s="635">
        <f t="shared" si="25"/>
        <v>0.16500049999999999</v>
      </c>
      <c r="M70" s="634">
        <v>1.2</v>
      </c>
      <c r="N70" s="631"/>
      <c r="O70" s="1193"/>
      <c r="P70" s="633">
        <v>200</v>
      </c>
      <c r="Q70" s="634">
        <v>-0.33</v>
      </c>
      <c r="R70" s="634">
        <v>-0.23</v>
      </c>
      <c r="S70" s="635">
        <f t="shared" si="24"/>
        <v>0.05</v>
      </c>
      <c r="T70" s="634">
        <v>1.2</v>
      </c>
    </row>
    <row r="71" spans="1:20" ht="12.75" customHeight="1">
      <c r="A71" s="1193"/>
      <c r="B71" s="633">
        <v>220</v>
      </c>
      <c r="C71" s="634">
        <v>0.37</v>
      </c>
      <c r="D71" s="634">
        <v>0.37</v>
      </c>
      <c r="E71" s="635">
        <f t="shared" si="23"/>
        <v>0</v>
      </c>
      <c r="F71" s="637">
        <v>1.2</v>
      </c>
      <c r="G71" s="631"/>
      <c r="H71" s="1193"/>
      <c r="I71" s="633">
        <v>220</v>
      </c>
      <c r="J71" s="634">
        <v>9.9999999999999995E-7</v>
      </c>
      <c r="K71" s="634">
        <v>-0.39</v>
      </c>
      <c r="L71" s="635">
        <f t="shared" si="25"/>
        <v>0.19500049999999999</v>
      </c>
      <c r="M71" s="634">
        <v>1.2</v>
      </c>
      <c r="N71" s="631"/>
      <c r="O71" s="1193"/>
      <c r="P71" s="633">
        <v>220</v>
      </c>
      <c r="Q71" s="634">
        <v>-0.45</v>
      </c>
      <c r="R71" s="634">
        <v>-0.45</v>
      </c>
      <c r="S71" s="635">
        <f t="shared" si="24"/>
        <v>0</v>
      </c>
      <c r="T71" s="634">
        <v>1.2</v>
      </c>
    </row>
    <row r="72" spans="1:20" ht="12.75" customHeight="1">
      <c r="A72" s="1193"/>
      <c r="B72" s="633">
        <v>230</v>
      </c>
      <c r="C72" s="634">
        <v>0.47</v>
      </c>
      <c r="D72" s="634">
        <v>0.47</v>
      </c>
      <c r="E72" s="635">
        <f t="shared" si="23"/>
        <v>0</v>
      </c>
      <c r="F72" s="637">
        <v>1.2</v>
      </c>
      <c r="G72" s="631"/>
      <c r="H72" s="1193"/>
      <c r="I72" s="633">
        <v>230</v>
      </c>
      <c r="J72" s="634">
        <v>9.9999999999999995E-7</v>
      </c>
      <c r="K72" s="634">
        <v>-0.39</v>
      </c>
      <c r="L72" s="635">
        <f t="shared" si="25"/>
        <v>0.19500049999999999</v>
      </c>
      <c r="M72" s="634">
        <v>1.2</v>
      </c>
      <c r="N72" s="631"/>
      <c r="O72" s="1193"/>
      <c r="P72" s="633">
        <v>230</v>
      </c>
      <c r="Q72" s="634">
        <v>-0.54</v>
      </c>
      <c r="R72" s="634">
        <v>-0.16</v>
      </c>
      <c r="S72" s="635">
        <f t="shared" si="24"/>
        <v>0.19</v>
      </c>
      <c r="T72" s="634">
        <v>1.2</v>
      </c>
    </row>
    <row r="73" spans="1:20" ht="12.75" customHeight="1">
      <c r="A73" s="1193"/>
      <c r="B73" s="633">
        <v>250</v>
      </c>
      <c r="C73" s="634">
        <v>9.9999999999999995E-7</v>
      </c>
      <c r="D73" s="634">
        <v>9.9999999999999995E-7</v>
      </c>
      <c r="E73" s="635">
        <f t="shared" si="23"/>
        <v>0</v>
      </c>
      <c r="F73" s="637">
        <v>1.2</v>
      </c>
      <c r="G73" s="631"/>
      <c r="H73" s="1193"/>
      <c r="I73" s="633">
        <v>250</v>
      </c>
      <c r="J73" s="634">
        <v>9.9999999999999995E-7</v>
      </c>
      <c r="K73" s="634">
        <v>9.9999999999999995E-7</v>
      </c>
      <c r="L73" s="635">
        <f t="shared" si="25"/>
        <v>0</v>
      </c>
      <c r="M73" s="634">
        <v>1.2</v>
      </c>
      <c r="N73" s="631"/>
      <c r="O73" s="1193"/>
      <c r="P73" s="633">
        <v>250</v>
      </c>
      <c r="Q73" s="634">
        <v>9.9999999999999995E-7</v>
      </c>
      <c r="R73" s="634">
        <v>-0.15</v>
      </c>
      <c r="S73" s="635">
        <f t="shared" si="24"/>
        <v>7.5000499999999998E-2</v>
      </c>
      <c r="T73" s="634">
        <v>1.2</v>
      </c>
    </row>
    <row r="74" spans="1:20" ht="12.75" customHeight="1">
      <c r="A74" s="1193"/>
      <c r="B74" s="1189" t="s">
        <v>246</v>
      </c>
      <c r="C74" s="1189"/>
      <c r="D74" s="1189"/>
      <c r="E74" s="1190" t="s">
        <v>244</v>
      </c>
      <c r="F74" s="1190" t="s">
        <v>94</v>
      </c>
      <c r="G74" s="631"/>
      <c r="H74" s="1193"/>
      <c r="I74" s="1189" t="str">
        <f>B74</f>
        <v>Current Leakage</v>
      </c>
      <c r="J74" s="1189"/>
      <c r="K74" s="1189"/>
      <c r="L74" s="1190" t="s">
        <v>244</v>
      </c>
      <c r="M74" s="1190" t="s">
        <v>94</v>
      </c>
      <c r="N74" s="631"/>
      <c r="O74" s="1193"/>
      <c r="P74" s="1189" t="str">
        <f>B74</f>
        <v>Current Leakage</v>
      </c>
      <c r="Q74" s="1189"/>
      <c r="R74" s="1189"/>
      <c r="S74" s="1190" t="s">
        <v>244</v>
      </c>
      <c r="T74" s="1190" t="s">
        <v>94</v>
      </c>
    </row>
    <row r="75" spans="1:20" ht="15" customHeight="1">
      <c r="A75" s="1193"/>
      <c r="B75" s="632" t="s">
        <v>247</v>
      </c>
      <c r="C75" s="623">
        <f>C67</f>
        <v>2019</v>
      </c>
      <c r="D75" s="623">
        <f>D67</f>
        <v>2020</v>
      </c>
      <c r="E75" s="1190"/>
      <c r="F75" s="1190"/>
      <c r="G75" s="631"/>
      <c r="H75" s="1193"/>
      <c r="I75" s="632" t="s">
        <v>247</v>
      </c>
      <c r="J75" s="623">
        <f>J67</f>
        <v>2019</v>
      </c>
      <c r="K75" s="623">
        <f>K67</f>
        <v>2020</v>
      </c>
      <c r="L75" s="1190"/>
      <c r="M75" s="1190"/>
      <c r="N75" s="631"/>
      <c r="O75" s="1193"/>
      <c r="P75" s="632" t="s">
        <v>247</v>
      </c>
      <c r="Q75" s="623">
        <f>Q67</f>
        <v>2020</v>
      </c>
      <c r="R75" s="623">
        <f>R67</f>
        <v>2022</v>
      </c>
      <c r="S75" s="1190"/>
      <c r="T75" s="1190"/>
    </row>
    <row r="76" spans="1:20" ht="12.75" customHeight="1">
      <c r="A76" s="1193"/>
      <c r="B76" s="638">
        <v>0</v>
      </c>
      <c r="C76" s="634">
        <v>9.9999999999999995E-7</v>
      </c>
      <c r="D76" s="634">
        <v>9.9999999999999995E-7</v>
      </c>
      <c r="E76" s="635">
        <f t="shared" ref="E76:E81" si="26">0.5*(MAX(C76:D76)-MIN(C76:D76))</f>
        <v>0</v>
      </c>
      <c r="F76" s="638">
        <v>0.59</v>
      </c>
      <c r="G76" s="631"/>
      <c r="H76" s="1193"/>
      <c r="I76" s="638">
        <v>0</v>
      </c>
      <c r="J76" s="634">
        <v>9.9999999999999995E-7</v>
      </c>
      <c r="K76" s="634">
        <v>9.9999999999999995E-7</v>
      </c>
      <c r="L76" s="635">
        <f t="shared" ref="L76:L81" si="27">0.5*(MAX(J76:K76)-MIN(J76:K76))</f>
        <v>0</v>
      </c>
      <c r="M76" s="639">
        <v>0.59</v>
      </c>
      <c r="N76" s="631"/>
      <c r="O76" s="1193"/>
      <c r="P76" s="638">
        <v>0</v>
      </c>
      <c r="Q76" s="634">
        <v>9.9999999999999995E-7</v>
      </c>
      <c r="R76" s="634">
        <v>9.9999999999999995E-7</v>
      </c>
      <c r="S76" s="635">
        <f t="shared" ref="S76:S81" si="28">0.5*(MAX(Q76:R76)-MIN(Q76:R76))</f>
        <v>0</v>
      </c>
      <c r="T76" s="634">
        <v>0.59</v>
      </c>
    </row>
    <row r="77" spans="1:20" ht="12.75" customHeight="1">
      <c r="A77" s="1193"/>
      <c r="B77" s="638">
        <v>50</v>
      </c>
      <c r="C77" s="634">
        <v>1.7</v>
      </c>
      <c r="D77" s="634">
        <v>1.7</v>
      </c>
      <c r="E77" s="635">
        <f t="shared" si="26"/>
        <v>0</v>
      </c>
      <c r="F77" s="638">
        <v>0.59</v>
      </c>
      <c r="G77" s="631"/>
      <c r="H77" s="1193"/>
      <c r="I77" s="638">
        <v>50</v>
      </c>
      <c r="J77" s="634">
        <v>9.9999999999999995E-7</v>
      </c>
      <c r="K77" s="634">
        <v>1.7</v>
      </c>
      <c r="L77" s="635">
        <f t="shared" si="27"/>
        <v>0.84999950000000002</v>
      </c>
      <c r="M77" s="639">
        <v>0.59</v>
      </c>
      <c r="N77" s="631"/>
      <c r="O77" s="1193"/>
      <c r="P77" s="638">
        <v>50</v>
      </c>
      <c r="Q77" s="634">
        <v>2.1</v>
      </c>
      <c r="R77" s="634">
        <v>5</v>
      </c>
      <c r="S77" s="635">
        <f t="shared" si="28"/>
        <v>1.45</v>
      </c>
      <c r="T77" s="634">
        <v>0.59</v>
      </c>
    </row>
    <row r="78" spans="1:20" ht="12.75" customHeight="1">
      <c r="A78" s="1193"/>
      <c r="B78" s="638">
        <v>100</v>
      </c>
      <c r="C78" s="634">
        <v>1.7</v>
      </c>
      <c r="D78" s="634">
        <v>1.7</v>
      </c>
      <c r="E78" s="635">
        <f t="shared" si="26"/>
        <v>0</v>
      </c>
      <c r="F78" s="638">
        <v>0.59</v>
      </c>
      <c r="G78" s="631"/>
      <c r="H78" s="1193"/>
      <c r="I78" s="638">
        <v>100</v>
      </c>
      <c r="J78" s="634">
        <v>9.9999999999999995E-7</v>
      </c>
      <c r="K78" s="634">
        <v>3.4</v>
      </c>
      <c r="L78" s="635">
        <f t="shared" si="27"/>
        <v>1.6999994999999999</v>
      </c>
      <c r="M78" s="639">
        <v>0.59</v>
      </c>
      <c r="N78" s="631"/>
      <c r="O78" s="1193"/>
      <c r="P78" s="638">
        <v>100</v>
      </c>
      <c r="Q78" s="634">
        <v>3.7</v>
      </c>
      <c r="R78" s="634">
        <v>0.7</v>
      </c>
      <c r="S78" s="635">
        <f t="shared" si="28"/>
        <v>1.5</v>
      </c>
      <c r="T78" s="634">
        <v>0.59</v>
      </c>
    </row>
    <row r="79" spans="1:20" ht="12.75" customHeight="1">
      <c r="A79" s="1193"/>
      <c r="B79" s="638">
        <v>200</v>
      </c>
      <c r="C79" s="634">
        <v>0.4</v>
      </c>
      <c r="D79" s="634">
        <v>0.4</v>
      </c>
      <c r="E79" s="635">
        <f t="shared" si="26"/>
        <v>0</v>
      </c>
      <c r="F79" s="638">
        <v>0.59</v>
      </c>
      <c r="G79" s="631"/>
      <c r="H79" s="1193"/>
      <c r="I79" s="638">
        <v>500</v>
      </c>
      <c r="J79" s="634">
        <v>9.9999999999999995E-7</v>
      </c>
      <c r="K79" s="634">
        <v>7.2</v>
      </c>
      <c r="L79" s="635">
        <f t="shared" si="27"/>
        <v>3.5999995</v>
      </c>
      <c r="M79" s="639">
        <v>0.59</v>
      </c>
      <c r="N79" s="631"/>
      <c r="O79" s="1193"/>
      <c r="P79" s="638">
        <v>200</v>
      </c>
      <c r="Q79" s="634">
        <v>8.3000000000000007</v>
      </c>
      <c r="R79" s="634">
        <v>-8.1999999999999993</v>
      </c>
      <c r="S79" s="635">
        <f t="shared" si="28"/>
        <v>8.25</v>
      </c>
      <c r="T79" s="634">
        <v>0.59</v>
      </c>
    </row>
    <row r="80" spans="1:20" ht="12.75" customHeight="1">
      <c r="A80" s="1193"/>
      <c r="B80" s="638">
        <v>500</v>
      </c>
      <c r="C80" s="634">
        <v>3</v>
      </c>
      <c r="D80" s="634">
        <v>3</v>
      </c>
      <c r="E80" s="635">
        <f t="shared" si="26"/>
        <v>0</v>
      </c>
      <c r="F80" s="638">
        <v>0.59</v>
      </c>
      <c r="G80" s="631"/>
      <c r="H80" s="1193"/>
      <c r="I80" s="638">
        <v>500</v>
      </c>
      <c r="J80" s="634">
        <v>9.9999999999999995E-7</v>
      </c>
      <c r="K80" s="634">
        <v>7.2</v>
      </c>
      <c r="L80" s="635">
        <f t="shared" si="27"/>
        <v>3.5999995</v>
      </c>
      <c r="M80" s="639">
        <v>0.59</v>
      </c>
      <c r="N80" s="631"/>
      <c r="O80" s="1193"/>
      <c r="P80" s="638">
        <v>500</v>
      </c>
      <c r="Q80" s="634">
        <v>8.3000000000000007</v>
      </c>
      <c r="R80" s="634">
        <v>-31.8</v>
      </c>
      <c r="S80" s="635">
        <f t="shared" si="28"/>
        <v>20.05</v>
      </c>
      <c r="T80" s="634">
        <v>0.59</v>
      </c>
    </row>
    <row r="81" spans="1:20" ht="12.75" customHeight="1">
      <c r="A81" s="1193"/>
      <c r="B81" s="638">
        <v>1000</v>
      </c>
      <c r="C81" s="634">
        <v>5</v>
      </c>
      <c r="D81" s="634">
        <v>4</v>
      </c>
      <c r="E81" s="635">
        <f t="shared" si="26"/>
        <v>0.5</v>
      </c>
      <c r="F81" s="638">
        <v>0.59</v>
      </c>
      <c r="G81" s="631"/>
      <c r="H81" s="1193"/>
      <c r="I81" s="638">
        <v>1000</v>
      </c>
      <c r="J81" s="634">
        <v>9.9999999999999995E-7</v>
      </c>
      <c r="K81" s="634">
        <v>80</v>
      </c>
      <c r="L81" s="635">
        <f t="shared" si="27"/>
        <v>39.999999500000001</v>
      </c>
      <c r="M81" s="639">
        <v>0.59</v>
      </c>
      <c r="N81" s="631"/>
      <c r="O81" s="1193"/>
      <c r="P81" s="638">
        <v>1000</v>
      </c>
      <c r="Q81" s="634">
        <v>-97</v>
      </c>
      <c r="R81" s="634">
        <v>-74</v>
      </c>
      <c r="S81" s="635">
        <f t="shared" si="28"/>
        <v>11.5</v>
      </c>
      <c r="T81" s="634">
        <v>0.59</v>
      </c>
    </row>
    <row r="82" spans="1:20" ht="12.75" customHeight="1">
      <c r="A82" s="1193"/>
      <c r="B82" s="1189"/>
      <c r="C82" s="1189"/>
      <c r="D82" s="1189"/>
      <c r="E82" s="1190" t="s">
        <v>244</v>
      </c>
      <c r="F82" s="1190" t="s">
        <v>94</v>
      </c>
      <c r="G82" s="631"/>
      <c r="H82" s="1193"/>
      <c r="I82" s="1189" t="s">
        <v>248</v>
      </c>
      <c r="J82" s="1189"/>
      <c r="K82" s="1189"/>
      <c r="L82" s="1190" t="s">
        <v>244</v>
      </c>
      <c r="M82" s="1190" t="s">
        <v>94</v>
      </c>
      <c r="N82" s="631"/>
      <c r="O82" s="1193"/>
      <c r="P82" s="1189" t="s">
        <v>248</v>
      </c>
      <c r="Q82" s="1189"/>
      <c r="R82" s="1189"/>
      <c r="S82" s="1190" t="s">
        <v>244</v>
      </c>
      <c r="T82" s="1190" t="s">
        <v>94</v>
      </c>
    </row>
    <row r="83" spans="1:20" ht="15" customHeight="1">
      <c r="A83" s="1193"/>
      <c r="B83" s="632" t="s">
        <v>512</v>
      </c>
      <c r="C83" s="623">
        <v>2020</v>
      </c>
      <c r="D83" s="623">
        <v>2018</v>
      </c>
      <c r="E83" s="1190"/>
      <c r="F83" s="1190"/>
      <c r="G83" s="631"/>
      <c r="H83" s="1193"/>
      <c r="I83" s="632" t="s">
        <v>512</v>
      </c>
      <c r="J83" s="623">
        <f>J67</f>
        <v>2019</v>
      </c>
      <c r="K83" s="623">
        <f>K67</f>
        <v>2020</v>
      </c>
      <c r="L83" s="1190"/>
      <c r="M83" s="1190"/>
      <c r="N83" s="631"/>
      <c r="O83" s="1193"/>
      <c r="P83" s="632" t="s">
        <v>512</v>
      </c>
      <c r="Q83" s="623">
        <f>Q67</f>
        <v>2020</v>
      </c>
      <c r="R83" s="623">
        <f>R67</f>
        <v>2022</v>
      </c>
      <c r="S83" s="1190"/>
      <c r="T83" s="1190"/>
    </row>
    <row r="84" spans="1:20" ht="12.75" customHeight="1">
      <c r="A84" s="1193"/>
      <c r="B84" s="638">
        <v>10</v>
      </c>
      <c r="C84" s="636" t="s">
        <v>171</v>
      </c>
      <c r="D84" s="634">
        <v>9.9999999999999995E-7</v>
      </c>
      <c r="E84" s="635">
        <f t="shared" ref="E84:E87" si="29">0.5*(MAX(C84:D84)-MIN(C84:D84))</f>
        <v>0</v>
      </c>
      <c r="F84" s="637">
        <v>1.7</v>
      </c>
      <c r="G84" s="631"/>
      <c r="H84" s="1193"/>
      <c r="I84" s="638">
        <v>10</v>
      </c>
      <c r="J84" s="634">
        <v>9.9999999999999995E-7</v>
      </c>
      <c r="K84" s="634">
        <v>9.9999999999999995E-7</v>
      </c>
      <c r="L84" s="635">
        <f t="shared" ref="L84:L87" si="30">0.5*(MAX(J84:K84)-MIN(J84:K84))</f>
        <v>0</v>
      </c>
      <c r="M84" s="634">
        <v>0</v>
      </c>
      <c r="N84" s="631"/>
      <c r="O84" s="1193"/>
      <c r="P84" s="638">
        <v>10</v>
      </c>
      <c r="Q84" s="634">
        <v>9.9999999999999995E-7</v>
      </c>
      <c r="R84" s="634">
        <v>9.9999999999999995E-7</v>
      </c>
      <c r="S84" s="635">
        <f t="shared" ref="S84:S87" si="31">0.5*(MAX(Q84:R84)-MIN(Q84:R84))</f>
        <v>0</v>
      </c>
      <c r="T84" s="634">
        <v>1.7</v>
      </c>
    </row>
    <row r="85" spans="1:20" ht="12.75" customHeight="1">
      <c r="A85" s="1193"/>
      <c r="B85" s="638">
        <v>20</v>
      </c>
      <c r="C85" s="636" t="s">
        <v>171</v>
      </c>
      <c r="D85" s="636">
        <v>0.1</v>
      </c>
      <c r="E85" s="635">
        <f t="shared" si="29"/>
        <v>0</v>
      </c>
      <c r="F85" s="637">
        <v>1.7</v>
      </c>
      <c r="G85" s="631"/>
      <c r="H85" s="1193"/>
      <c r="I85" s="638">
        <v>20</v>
      </c>
      <c r="J85" s="634">
        <v>9.9999999999999995E-7</v>
      </c>
      <c r="K85" s="634">
        <v>9.9999999999999995E-7</v>
      </c>
      <c r="L85" s="635">
        <f t="shared" si="30"/>
        <v>0</v>
      </c>
      <c r="M85" s="634">
        <v>0</v>
      </c>
      <c r="N85" s="631"/>
      <c r="O85" s="1193"/>
      <c r="P85" s="638">
        <v>20</v>
      </c>
      <c r="Q85" s="634">
        <v>9.9999999999999995E-7</v>
      </c>
      <c r="R85" s="634">
        <v>9.9999999999999995E-7</v>
      </c>
      <c r="S85" s="635">
        <f t="shared" si="31"/>
        <v>0</v>
      </c>
      <c r="T85" s="634">
        <v>1.7</v>
      </c>
    </row>
    <row r="86" spans="1:20" ht="12.75" customHeight="1">
      <c r="A86" s="1193"/>
      <c r="B86" s="638">
        <v>50</v>
      </c>
      <c r="C86" s="636" t="s">
        <v>171</v>
      </c>
      <c r="D86" s="636">
        <v>0.4</v>
      </c>
      <c r="E86" s="635">
        <f t="shared" si="29"/>
        <v>0</v>
      </c>
      <c r="F86" s="637">
        <v>1.7</v>
      </c>
      <c r="G86" s="631"/>
      <c r="H86" s="1193"/>
      <c r="I86" s="638">
        <v>50</v>
      </c>
      <c r="J86" s="634">
        <v>9.9999999999999995E-7</v>
      </c>
      <c r="K86" s="634">
        <v>9.9999999999999995E-7</v>
      </c>
      <c r="L86" s="635">
        <f t="shared" si="30"/>
        <v>0</v>
      </c>
      <c r="M86" s="634">
        <v>0</v>
      </c>
      <c r="N86" s="631"/>
      <c r="O86" s="1193"/>
      <c r="P86" s="638">
        <v>50</v>
      </c>
      <c r="Q86" s="634">
        <v>9.9999999999999995E-7</v>
      </c>
      <c r="R86" s="636">
        <v>0.2</v>
      </c>
      <c r="S86" s="635">
        <f t="shared" si="31"/>
        <v>9.9999500000000005E-2</v>
      </c>
      <c r="T86" s="634">
        <v>1.7</v>
      </c>
    </row>
    <row r="87" spans="1:20" ht="12.75" customHeight="1">
      <c r="A87" s="1193"/>
      <c r="B87" s="638">
        <v>100</v>
      </c>
      <c r="C87" s="636" t="s">
        <v>171</v>
      </c>
      <c r="D87" s="636">
        <v>1.4</v>
      </c>
      <c r="E87" s="635">
        <f t="shared" si="29"/>
        <v>0</v>
      </c>
      <c r="F87" s="637">
        <v>1.7</v>
      </c>
      <c r="G87" s="631"/>
      <c r="H87" s="1193"/>
      <c r="I87" s="638">
        <v>100</v>
      </c>
      <c r="J87" s="634">
        <v>9.9999999999999995E-7</v>
      </c>
      <c r="K87" s="634">
        <v>9.9999999999999995E-7</v>
      </c>
      <c r="L87" s="635">
        <f t="shared" si="30"/>
        <v>0</v>
      </c>
      <c r="M87" s="634">
        <v>0</v>
      </c>
      <c r="N87" s="631"/>
      <c r="O87" s="1193"/>
      <c r="P87" s="638">
        <v>100</v>
      </c>
      <c r="Q87" s="634">
        <v>9.9999999999999995E-7</v>
      </c>
      <c r="R87" s="636">
        <v>0.4</v>
      </c>
      <c r="S87" s="635">
        <f t="shared" si="31"/>
        <v>0.19999950000000002</v>
      </c>
      <c r="T87" s="634">
        <v>1.7</v>
      </c>
    </row>
    <row r="88" spans="1:20" ht="12.75" customHeight="1">
      <c r="A88" s="1193"/>
      <c r="B88" s="1189" t="s">
        <v>249</v>
      </c>
      <c r="C88" s="1189"/>
      <c r="D88" s="1189"/>
      <c r="E88" s="1190" t="s">
        <v>244</v>
      </c>
      <c r="F88" s="1190" t="s">
        <v>94</v>
      </c>
      <c r="G88" s="631"/>
      <c r="H88" s="1193"/>
      <c r="I88" s="1189" t="s">
        <v>249</v>
      </c>
      <c r="J88" s="1189"/>
      <c r="K88" s="1189"/>
      <c r="L88" s="1190" t="s">
        <v>244</v>
      </c>
      <c r="M88" s="1190" t="s">
        <v>94</v>
      </c>
      <c r="N88" s="631"/>
      <c r="O88" s="1193"/>
      <c r="P88" s="1189" t="str">
        <f>B88</f>
        <v>Resistance</v>
      </c>
      <c r="Q88" s="1189"/>
      <c r="R88" s="1189"/>
      <c r="S88" s="1190" t="s">
        <v>244</v>
      </c>
      <c r="T88" s="1190" t="s">
        <v>94</v>
      </c>
    </row>
    <row r="89" spans="1:20" ht="15" customHeight="1">
      <c r="A89" s="1193"/>
      <c r="B89" s="632" t="s">
        <v>513</v>
      </c>
      <c r="C89" s="623">
        <f>C67</f>
        <v>2019</v>
      </c>
      <c r="D89" s="623">
        <f>D67</f>
        <v>2020</v>
      </c>
      <c r="E89" s="1190"/>
      <c r="F89" s="1190"/>
      <c r="G89" s="631"/>
      <c r="H89" s="1193"/>
      <c r="I89" s="632" t="s">
        <v>513</v>
      </c>
      <c r="J89" s="623">
        <f>J67</f>
        <v>2019</v>
      </c>
      <c r="K89" s="623">
        <f>K67</f>
        <v>2020</v>
      </c>
      <c r="L89" s="1190"/>
      <c r="M89" s="1190"/>
      <c r="N89" s="631"/>
      <c r="O89" s="1193"/>
      <c r="P89" s="632" t="s">
        <v>513</v>
      </c>
      <c r="Q89" s="623">
        <f>Q67</f>
        <v>2020</v>
      </c>
      <c r="R89" s="623">
        <f>R67</f>
        <v>2022</v>
      </c>
      <c r="S89" s="1190"/>
      <c r="T89" s="1190"/>
    </row>
    <row r="90" spans="1:20" ht="12.75" customHeight="1">
      <c r="A90" s="1193"/>
      <c r="B90" s="638">
        <v>0.01</v>
      </c>
      <c r="C90" s="634">
        <v>9.9999999999999995E-7</v>
      </c>
      <c r="D90" s="634">
        <v>9.9999999999999995E-7</v>
      </c>
      <c r="E90" s="635">
        <f t="shared" ref="E90:E93" si="32">0.5*(MAX(C90:D90)-MIN(C90:D90))</f>
        <v>0</v>
      </c>
      <c r="F90" s="638">
        <v>1.2</v>
      </c>
      <c r="G90" s="631"/>
      <c r="H90" s="1193"/>
      <c r="I90" s="638">
        <v>0.01</v>
      </c>
      <c r="J90" s="634">
        <v>9.9999999999999995E-7</v>
      </c>
      <c r="K90" s="634">
        <v>9.9999999999999995E-7</v>
      </c>
      <c r="L90" s="635">
        <f t="shared" ref="L90:L93" si="33">0.5*(MAX(J90:K90)-MIN(J90:K90))</f>
        <v>0</v>
      </c>
      <c r="M90" s="648">
        <v>1.2</v>
      </c>
      <c r="N90" s="631"/>
      <c r="O90" s="1193"/>
      <c r="P90" s="638">
        <v>0.01</v>
      </c>
      <c r="Q90" s="634">
        <v>9.9999999999999995E-7</v>
      </c>
      <c r="R90" s="634">
        <v>9.9999999999999995E-7</v>
      </c>
      <c r="S90" s="635">
        <f t="shared" ref="S90:S93" si="34">0.5*(MAX(Q90:R90)-MIN(Q90:R90))</f>
        <v>0</v>
      </c>
      <c r="T90" s="639">
        <v>1.2</v>
      </c>
    </row>
    <row r="91" spans="1:20" ht="12.75" customHeight="1">
      <c r="A91" s="1193"/>
      <c r="B91" s="638">
        <v>0.1</v>
      </c>
      <c r="C91" s="634">
        <v>9.9999999999999995E-7</v>
      </c>
      <c r="D91" s="634">
        <v>9.9999999999999995E-7</v>
      </c>
      <c r="E91" s="635">
        <f t="shared" si="32"/>
        <v>0</v>
      </c>
      <c r="F91" s="638">
        <v>1.2</v>
      </c>
      <c r="G91" s="631"/>
      <c r="H91" s="1193"/>
      <c r="I91" s="638">
        <v>0.1</v>
      </c>
      <c r="J91" s="634">
        <v>9.9999999999999995E-7</v>
      </c>
      <c r="K91" s="641">
        <v>-2E-3</v>
      </c>
      <c r="L91" s="635">
        <f t="shared" si="33"/>
        <v>1.0005000000000001E-3</v>
      </c>
      <c r="M91" s="648">
        <v>1.2</v>
      </c>
      <c r="N91" s="631"/>
      <c r="O91" s="1193"/>
      <c r="P91" s="638">
        <v>0.1</v>
      </c>
      <c r="Q91" s="641">
        <v>-3.0000000000000001E-3</v>
      </c>
      <c r="R91" s="634">
        <v>9.9999999999999995E-7</v>
      </c>
      <c r="S91" s="635">
        <f t="shared" si="34"/>
        <v>1.5005000000000001E-3</v>
      </c>
      <c r="T91" s="639">
        <v>1.2</v>
      </c>
    </row>
    <row r="92" spans="1:20" ht="12.75" customHeight="1">
      <c r="A92" s="1193"/>
      <c r="B92" s="638">
        <v>1</v>
      </c>
      <c r="C92" s="641">
        <v>-2.3E-3</v>
      </c>
      <c r="D92" s="641">
        <v>-2.3E-3</v>
      </c>
      <c r="E92" s="635">
        <f t="shared" si="32"/>
        <v>0</v>
      </c>
      <c r="F92" s="638">
        <v>1.2</v>
      </c>
      <c r="G92" s="631"/>
      <c r="H92" s="1193"/>
      <c r="I92" s="638">
        <v>1</v>
      </c>
      <c r="J92" s="634">
        <v>9.9999999999999995E-7</v>
      </c>
      <c r="K92" s="641">
        <v>-1E-3</v>
      </c>
      <c r="L92" s="635">
        <f t="shared" si="33"/>
        <v>5.0049999999999997E-4</v>
      </c>
      <c r="M92" s="648">
        <v>1.2</v>
      </c>
      <c r="N92" s="631"/>
      <c r="O92" s="1193"/>
      <c r="P92" s="638">
        <v>1</v>
      </c>
      <c r="Q92" s="641">
        <v>-1E-3</v>
      </c>
      <c r="R92" s="641">
        <v>3.0000000000000001E-3</v>
      </c>
      <c r="S92" s="635">
        <f t="shared" si="34"/>
        <v>2E-3</v>
      </c>
      <c r="T92" s="639">
        <v>1.2</v>
      </c>
    </row>
    <row r="93" spans="1:20" ht="12.75" customHeight="1">
      <c r="A93" s="1193"/>
      <c r="B93" s="638">
        <v>2</v>
      </c>
      <c r="C93" s="634">
        <v>9.9999999999999995E-7</v>
      </c>
      <c r="D93" s="634">
        <v>9.9999999999999995E-7</v>
      </c>
      <c r="E93" s="635">
        <f t="shared" si="32"/>
        <v>0</v>
      </c>
      <c r="F93" s="638">
        <v>1.2</v>
      </c>
      <c r="G93" s="631"/>
      <c r="H93" s="1193"/>
      <c r="I93" s="638">
        <v>2</v>
      </c>
      <c r="J93" s="634">
        <v>9.9999999999999995E-7</v>
      </c>
      <c r="K93" s="641">
        <v>-6.0000000000000001E-3</v>
      </c>
      <c r="L93" s="635">
        <f t="shared" si="33"/>
        <v>3.0005000000000001E-3</v>
      </c>
      <c r="M93" s="648">
        <v>1.2</v>
      </c>
      <c r="N93" s="631"/>
      <c r="O93" s="1193"/>
      <c r="P93" s="638">
        <v>2</v>
      </c>
      <c r="Q93" s="641">
        <v>-6.0000000000000001E-3</v>
      </c>
      <c r="R93" s="641">
        <v>4.0000000000000001E-3</v>
      </c>
      <c r="S93" s="635">
        <f t="shared" si="34"/>
        <v>5.0000000000000001E-3</v>
      </c>
      <c r="T93" s="639">
        <v>1.2</v>
      </c>
    </row>
    <row r="94" spans="1:20" ht="16.2" thickBot="1">
      <c r="A94" s="479"/>
      <c r="B94" s="645"/>
      <c r="C94" s="646"/>
      <c r="D94" s="646"/>
      <c r="E94" s="646"/>
      <c r="F94" s="646"/>
      <c r="G94" s="631"/>
      <c r="H94" s="480"/>
      <c r="I94" s="647"/>
      <c r="J94" s="646"/>
      <c r="K94" s="646"/>
      <c r="L94" s="646"/>
      <c r="M94" s="646"/>
      <c r="N94" s="631"/>
      <c r="O94" s="480"/>
      <c r="P94" s="645"/>
      <c r="Q94" s="646"/>
      <c r="R94" s="631"/>
      <c r="S94" s="631"/>
      <c r="T94" s="643"/>
    </row>
    <row r="95" spans="1:20" ht="16.2" thickBot="1">
      <c r="A95" s="1191"/>
      <c r="B95" s="1192"/>
      <c r="C95" s="1192"/>
      <c r="D95" s="1192"/>
      <c r="E95" s="1192"/>
      <c r="F95" s="1192"/>
      <c r="G95" s="1192"/>
      <c r="H95" s="1192"/>
      <c r="I95" s="1192"/>
      <c r="J95" s="1192"/>
      <c r="K95" s="1192"/>
      <c r="L95" s="1192"/>
      <c r="M95" s="1192"/>
      <c r="N95" s="1192"/>
      <c r="O95" s="1192"/>
      <c r="P95" s="1192"/>
      <c r="Q95" s="1192"/>
      <c r="R95" s="649"/>
      <c r="S95" s="649"/>
      <c r="T95" s="650"/>
    </row>
    <row r="96" spans="1:20" ht="13.8" thickBot="1">
      <c r="A96" s="651"/>
      <c r="B96" s="652"/>
      <c r="C96" s="652"/>
    </row>
    <row r="97" spans="1:17" ht="13.8">
      <c r="A97" s="1186" t="s">
        <v>24</v>
      </c>
      <c r="B97" s="1182" t="s">
        <v>212</v>
      </c>
      <c r="C97" s="1187" t="s">
        <v>242</v>
      </c>
      <c r="D97" s="1187"/>
      <c r="E97" s="1187"/>
      <c r="F97" s="1187"/>
      <c r="G97" s="1187"/>
      <c r="H97" s="481"/>
      <c r="I97" s="1186" t="s">
        <v>24</v>
      </c>
      <c r="J97" s="1182" t="s">
        <v>212</v>
      </c>
      <c r="K97" s="1187" t="s">
        <v>242</v>
      </c>
      <c r="L97" s="1187"/>
      <c r="M97" s="1187"/>
      <c r="N97" s="1187"/>
      <c r="O97" s="1187"/>
      <c r="Q97" s="482"/>
    </row>
    <row r="98" spans="1:17">
      <c r="A98" s="1186"/>
      <c r="B98" s="1182"/>
      <c r="C98" s="1188" t="str">
        <f>B4</f>
        <v>Setting VAC</v>
      </c>
      <c r="D98" s="1188"/>
      <c r="E98" s="1188"/>
      <c r="F98" s="625" t="s">
        <v>244</v>
      </c>
      <c r="G98" s="625" t="s">
        <v>94</v>
      </c>
      <c r="I98" s="1186"/>
      <c r="J98" s="1182"/>
      <c r="K98" s="1184" t="str">
        <f>B12</f>
        <v>Current Leakage</v>
      </c>
      <c r="L98" s="1184"/>
      <c r="M98" s="1184"/>
      <c r="N98" s="625" t="s">
        <v>244</v>
      </c>
      <c r="O98" s="625" t="s">
        <v>94</v>
      </c>
      <c r="Q98" s="653"/>
    </row>
    <row r="99" spans="1:17" ht="13.8">
      <c r="A99" s="1186"/>
      <c r="B99" s="1182"/>
      <c r="C99" s="626" t="s">
        <v>245</v>
      </c>
      <c r="D99" s="625"/>
      <c r="E99" s="625"/>
      <c r="F99" s="625"/>
      <c r="G99" s="625"/>
      <c r="I99" s="1186"/>
      <c r="J99" s="1182"/>
      <c r="K99" s="626" t="s">
        <v>247</v>
      </c>
      <c r="L99" s="625"/>
      <c r="M99" s="625"/>
      <c r="N99" s="625"/>
      <c r="O99" s="625"/>
      <c r="Q99" s="653"/>
    </row>
    <row r="100" spans="1:17" ht="13.8">
      <c r="A100" s="1185" t="s">
        <v>42</v>
      </c>
      <c r="B100" s="483">
        <v>1</v>
      </c>
      <c r="C100" s="484">
        <f>B6</f>
        <v>150</v>
      </c>
      <c r="D100" s="484">
        <f t="shared" ref="D100:G100" si="35">C6</f>
        <v>0.76</v>
      </c>
      <c r="E100" s="484">
        <f t="shared" si="35"/>
        <v>0.31</v>
      </c>
      <c r="F100" s="484">
        <f t="shared" si="35"/>
        <v>0.22500000000000001</v>
      </c>
      <c r="G100" s="484">
        <f t="shared" si="35"/>
        <v>0.47</v>
      </c>
      <c r="I100" s="1185" t="s">
        <v>42</v>
      </c>
      <c r="J100" s="483">
        <v>1</v>
      </c>
      <c r="K100" s="654">
        <f>B14</f>
        <v>0</v>
      </c>
      <c r="L100" s="654">
        <f t="shared" ref="L100:O100" si="36">C14</f>
        <v>9.9999999999999995E-7</v>
      </c>
      <c r="M100" s="654">
        <f t="shared" si="36"/>
        <v>9.9999999999999995E-7</v>
      </c>
      <c r="N100" s="654">
        <f t="shared" si="36"/>
        <v>0</v>
      </c>
      <c r="O100" s="654">
        <f t="shared" si="36"/>
        <v>0.28999999999999998</v>
      </c>
    </row>
    <row r="101" spans="1:17" ht="13.8">
      <c r="A101" s="1185"/>
      <c r="B101" s="485">
        <v>2</v>
      </c>
      <c r="C101" s="486">
        <f>I6</f>
        <v>150</v>
      </c>
      <c r="D101" s="486">
        <f t="shared" ref="D101:G101" si="37">J6</f>
        <v>0.23</v>
      </c>
      <c r="E101" s="486">
        <f t="shared" si="37"/>
        <v>0.15</v>
      </c>
      <c r="F101" s="486">
        <f t="shared" si="37"/>
        <v>4.0000000000000008E-2</v>
      </c>
      <c r="G101" s="486">
        <f t="shared" si="37"/>
        <v>0.47</v>
      </c>
      <c r="I101" s="1185"/>
      <c r="J101" s="485">
        <v>2</v>
      </c>
      <c r="K101" s="654">
        <f>I14</f>
        <v>0</v>
      </c>
      <c r="L101" s="654">
        <f t="shared" ref="L101:O101" si="38">J14</f>
        <v>9.9999999999999995E-7</v>
      </c>
      <c r="M101" s="654">
        <f t="shared" si="38"/>
        <v>9.9999999999999995E-7</v>
      </c>
      <c r="N101" s="654">
        <f t="shared" si="38"/>
        <v>0</v>
      </c>
      <c r="O101" s="654">
        <f t="shared" si="38"/>
        <v>0.28999999999999998</v>
      </c>
    </row>
    <row r="102" spans="1:17">
      <c r="A102" s="1185"/>
      <c r="B102" s="655">
        <v>3</v>
      </c>
      <c r="C102" s="486">
        <f>P6</f>
        <v>150</v>
      </c>
      <c r="D102" s="486">
        <f t="shared" ref="D102:G102" si="39">Q6</f>
        <v>-7.0000000000000007E-2</v>
      </c>
      <c r="E102" s="486">
        <f t="shared" si="39"/>
        <v>-1.43</v>
      </c>
      <c r="F102" s="486">
        <f t="shared" si="39"/>
        <v>0.67999999999999994</v>
      </c>
      <c r="G102" s="486">
        <f t="shared" si="39"/>
        <v>1.2</v>
      </c>
      <c r="I102" s="1185"/>
      <c r="J102" s="655">
        <v>3</v>
      </c>
      <c r="K102" s="654">
        <f>P14</f>
        <v>0</v>
      </c>
      <c r="L102" s="654">
        <f t="shared" ref="L102:O102" si="40">Q14</f>
        <v>9.9999999999999995E-7</v>
      </c>
      <c r="M102" s="654">
        <f t="shared" si="40"/>
        <v>9.9999999999999995E-7</v>
      </c>
      <c r="N102" s="654">
        <f t="shared" si="40"/>
        <v>0</v>
      </c>
      <c r="O102" s="654">
        <f t="shared" si="40"/>
        <v>0.59</v>
      </c>
    </row>
    <row r="103" spans="1:17">
      <c r="A103" s="1185"/>
      <c r="B103" s="655">
        <v>4</v>
      </c>
      <c r="C103" s="486">
        <f>B37</f>
        <v>150</v>
      </c>
      <c r="D103" s="486">
        <f t="shared" ref="D103:G103" si="41">C37</f>
        <v>-0.09</v>
      </c>
      <c r="E103" s="486">
        <f t="shared" si="41"/>
        <v>0.11</v>
      </c>
      <c r="F103" s="486">
        <f t="shared" si="41"/>
        <v>0.1</v>
      </c>
      <c r="G103" s="486">
        <f t="shared" si="41"/>
        <v>0.47</v>
      </c>
      <c r="I103" s="1185"/>
      <c r="J103" s="655">
        <v>4</v>
      </c>
      <c r="K103" s="654">
        <f>B45</f>
        <v>0</v>
      </c>
      <c r="L103" s="654">
        <f t="shared" ref="L103:O103" si="42">C45</f>
        <v>9.9999999999999995E-7</v>
      </c>
      <c r="M103" s="654">
        <f t="shared" si="42"/>
        <v>9.9999999999999995E-7</v>
      </c>
      <c r="N103" s="654">
        <f t="shared" si="42"/>
        <v>0</v>
      </c>
      <c r="O103" s="654">
        <f t="shared" si="42"/>
        <v>0.28999999999999998</v>
      </c>
    </row>
    <row r="104" spans="1:17">
      <c r="A104" s="1185"/>
      <c r="B104" s="655">
        <v>5</v>
      </c>
      <c r="C104" s="486">
        <f>I37</f>
        <v>150</v>
      </c>
      <c r="D104" s="486">
        <f t="shared" ref="D104:G104" si="43">J37</f>
        <v>-0.06</v>
      </c>
      <c r="E104" s="486">
        <f t="shared" si="43"/>
        <v>0.02</v>
      </c>
      <c r="F104" s="486">
        <f t="shared" si="43"/>
        <v>0.04</v>
      </c>
      <c r="G104" s="486">
        <f t="shared" si="43"/>
        <v>0.47</v>
      </c>
      <c r="I104" s="1185"/>
      <c r="J104" s="655">
        <v>5</v>
      </c>
      <c r="K104" s="654">
        <f>I45</f>
        <v>0</v>
      </c>
      <c r="L104" s="654">
        <f t="shared" ref="L104:O104" si="44">J45</f>
        <v>9.9999999999999995E-7</v>
      </c>
      <c r="M104" s="654">
        <f t="shared" si="44"/>
        <v>9.9999999999999995E-7</v>
      </c>
      <c r="N104" s="654">
        <f t="shared" si="44"/>
        <v>0</v>
      </c>
      <c r="O104" s="654">
        <f t="shared" si="44"/>
        <v>0.28999999999999998</v>
      </c>
    </row>
    <row r="105" spans="1:17">
      <c r="A105" s="1185"/>
      <c r="B105" s="655">
        <v>6</v>
      </c>
      <c r="C105" s="486">
        <f>P37</f>
        <v>150</v>
      </c>
      <c r="D105" s="486">
        <f t="shared" ref="D105:G105" si="45">Q37</f>
        <v>0.03</v>
      </c>
      <c r="E105" s="486">
        <f t="shared" si="45"/>
        <v>-0.15</v>
      </c>
      <c r="F105" s="486">
        <f t="shared" si="45"/>
        <v>0.09</v>
      </c>
      <c r="G105" s="486">
        <f t="shared" si="45"/>
        <v>1.2</v>
      </c>
      <c r="I105" s="1185"/>
      <c r="J105" s="655">
        <v>6</v>
      </c>
      <c r="K105" s="654">
        <f>P45</f>
        <v>0</v>
      </c>
      <c r="L105" s="654">
        <f t="shared" ref="L105:O105" si="46">Q45</f>
        <v>9.9999999999999995E-7</v>
      </c>
      <c r="M105" s="654">
        <f t="shared" si="46"/>
        <v>9.9999999999999995E-7</v>
      </c>
      <c r="N105" s="654">
        <f t="shared" si="46"/>
        <v>0</v>
      </c>
      <c r="O105" s="654">
        <f t="shared" si="46"/>
        <v>0.59</v>
      </c>
    </row>
    <row r="106" spans="1:17">
      <c r="A106" s="1185"/>
      <c r="B106" s="655">
        <v>7</v>
      </c>
      <c r="C106" s="486">
        <f>B68</f>
        <v>150</v>
      </c>
      <c r="D106" s="486">
        <f t="shared" ref="D106:G106" si="47">C68</f>
        <v>0.21</v>
      </c>
      <c r="E106" s="486">
        <f t="shared" si="47"/>
        <v>0.21</v>
      </c>
      <c r="F106" s="486">
        <f t="shared" si="47"/>
        <v>0</v>
      </c>
      <c r="G106" s="486">
        <f t="shared" si="47"/>
        <v>1.2</v>
      </c>
      <c r="I106" s="1185"/>
      <c r="J106" s="655">
        <v>7</v>
      </c>
      <c r="K106" s="654">
        <f>B76</f>
        <v>0</v>
      </c>
      <c r="L106" s="654">
        <f t="shared" ref="L106:O106" si="48">C76</f>
        <v>9.9999999999999995E-7</v>
      </c>
      <c r="M106" s="654">
        <f t="shared" si="48"/>
        <v>9.9999999999999995E-7</v>
      </c>
      <c r="N106" s="654">
        <f t="shared" si="48"/>
        <v>0</v>
      </c>
      <c r="O106" s="654">
        <f t="shared" si="48"/>
        <v>0.59</v>
      </c>
    </row>
    <row r="107" spans="1:17">
      <c r="A107" s="1185"/>
      <c r="B107" s="655">
        <v>8</v>
      </c>
      <c r="C107" s="486">
        <f>I68</f>
        <v>150</v>
      </c>
      <c r="D107" s="486">
        <f t="shared" ref="D107:G107" si="49">J68</f>
        <v>9.9999999999999995E-7</v>
      </c>
      <c r="E107" s="486">
        <f t="shared" si="49"/>
        <v>-0.17</v>
      </c>
      <c r="F107" s="486">
        <f t="shared" si="49"/>
        <v>8.5000500000000007E-2</v>
      </c>
      <c r="G107" s="486">
        <f t="shared" si="49"/>
        <v>1.2</v>
      </c>
      <c r="I107" s="1185"/>
      <c r="J107" s="655">
        <v>8</v>
      </c>
      <c r="K107" s="654">
        <f>I76</f>
        <v>0</v>
      </c>
      <c r="L107" s="654">
        <f t="shared" ref="L107:O107" si="50">J76</f>
        <v>9.9999999999999995E-7</v>
      </c>
      <c r="M107" s="654">
        <f t="shared" si="50"/>
        <v>9.9999999999999995E-7</v>
      </c>
      <c r="N107" s="654">
        <f t="shared" si="50"/>
        <v>0</v>
      </c>
      <c r="O107" s="654">
        <f t="shared" si="50"/>
        <v>0.59</v>
      </c>
    </row>
    <row r="108" spans="1:17">
      <c r="A108" s="1185"/>
      <c r="B108" s="655">
        <v>9</v>
      </c>
      <c r="C108" s="486">
        <f>P68</f>
        <v>150</v>
      </c>
      <c r="D108" s="486">
        <f t="shared" ref="D108:G108" si="51">Q68</f>
        <v>-0.24</v>
      </c>
      <c r="E108" s="486">
        <f t="shared" si="51"/>
        <v>-0.17</v>
      </c>
      <c r="F108" s="486">
        <f t="shared" si="51"/>
        <v>3.4999999999999989E-2</v>
      </c>
      <c r="G108" s="486">
        <f t="shared" si="51"/>
        <v>1.2</v>
      </c>
      <c r="I108" s="1185"/>
      <c r="J108" s="655">
        <v>9</v>
      </c>
      <c r="K108" s="654">
        <f>P76</f>
        <v>0</v>
      </c>
      <c r="L108" s="654">
        <f t="shared" ref="L108:O108" si="52">Q76</f>
        <v>9.9999999999999995E-7</v>
      </c>
      <c r="M108" s="654">
        <f t="shared" si="52"/>
        <v>9.9999999999999995E-7</v>
      </c>
      <c r="N108" s="654">
        <f t="shared" si="52"/>
        <v>0</v>
      </c>
      <c r="O108" s="654">
        <f t="shared" si="52"/>
        <v>0.59</v>
      </c>
    </row>
    <row r="109" spans="1:17" ht="13.8">
      <c r="A109" s="1185" t="s">
        <v>43</v>
      </c>
      <c r="B109" s="483">
        <v>1</v>
      </c>
      <c r="C109" s="484">
        <f>B7</f>
        <v>180</v>
      </c>
      <c r="D109" s="484">
        <f t="shared" ref="D109:G109" si="53">C7</f>
        <v>-0.13</v>
      </c>
      <c r="E109" s="484">
        <f t="shared" si="53"/>
        <v>0.1</v>
      </c>
      <c r="F109" s="484">
        <f t="shared" si="53"/>
        <v>0.115</v>
      </c>
      <c r="G109" s="484">
        <f t="shared" si="53"/>
        <v>0.47</v>
      </c>
      <c r="I109" s="1185" t="s">
        <v>43</v>
      </c>
      <c r="J109" s="483">
        <v>1</v>
      </c>
      <c r="K109" s="656">
        <f>B15</f>
        <v>50</v>
      </c>
      <c r="L109" s="656">
        <f t="shared" ref="L109:O109" si="54">C15</f>
        <v>-0.06</v>
      </c>
      <c r="M109" s="656">
        <f t="shared" si="54"/>
        <v>0.1</v>
      </c>
      <c r="N109" s="656">
        <f t="shared" si="54"/>
        <v>0.08</v>
      </c>
      <c r="O109" s="656">
        <f t="shared" si="54"/>
        <v>0.28999999999999998</v>
      </c>
    </row>
    <row r="110" spans="1:17" ht="13.8">
      <c r="A110" s="1185"/>
      <c r="B110" s="485">
        <v>2</v>
      </c>
      <c r="C110" s="656">
        <f>I7</f>
        <v>180</v>
      </c>
      <c r="D110" s="656">
        <f t="shared" ref="D110:G110" si="55">J7</f>
        <v>-0.06</v>
      </c>
      <c r="E110" s="657">
        <f t="shared" si="55"/>
        <v>0.12</v>
      </c>
      <c r="F110" s="656">
        <f t="shared" si="55"/>
        <v>0.09</v>
      </c>
      <c r="G110" s="656">
        <f t="shared" si="55"/>
        <v>0.47</v>
      </c>
      <c r="I110" s="1185"/>
      <c r="J110" s="485">
        <v>2</v>
      </c>
      <c r="K110" s="656">
        <f>I15</f>
        <v>50</v>
      </c>
      <c r="L110" s="656">
        <f t="shared" ref="L110:O110" si="56">J15</f>
        <v>0.1</v>
      </c>
      <c r="M110" s="657">
        <f t="shared" si="56"/>
        <v>0.1</v>
      </c>
      <c r="N110" s="656">
        <f t="shared" si="56"/>
        <v>0</v>
      </c>
      <c r="O110" s="656">
        <f t="shared" si="56"/>
        <v>0.28999999999999998</v>
      </c>
    </row>
    <row r="111" spans="1:17">
      <c r="A111" s="1185"/>
      <c r="B111" s="655">
        <v>3</v>
      </c>
      <c r="C111" s="656">
        <f>P7</f>
        <v>180</v>
      </c>
      <c r="D111" s="656">
        <f t="shared" ref="D111:G111" si="57">Q7</f>
        <v>-0.13</v>
      </c>
      <c r="E111" s="656">
        <f t="shared" si="57"/>
        <v>-1.81</v>
      </c>
      <c r="F111" s="656">
        <f t="shared" si="57"/>
        <v>0.84000000000000008</v>
      </c>
      <c r="G111" s="656">
        <f t="shared" si="57"/>
        <v>1.2</v>
      </c>
      <c r="I111" s="1185"/>
      <c r="J111" s="655">
        <v>3</v>
      </c>
      <c r="K111" s="656">
        <f>P15</f>
        <v>50</v>
      </c>
      <c r="L111" s="656">
        <f t="shared" ref="L111:O111" si="58">Q15</f>
        <v>2</v>
      </c>
      <c r="M111" s="656">
        <f t="shared" si="58"/>
        <v>9.1</v>
      </c>
      <c r="N111" s="656">
        <f t="shared" si="58"/>
        <v>3.55</v>
      </c>
      <c r="O111" s="656">
        <f t="shared" si="58"/>
        <v>0.59</v>
      </c>
    </row>
    <row r="112" spans="1:17">
      <c r="A112" s="1185"/>
      <c r="B112" s="655">
        <v>4</v>
      </c>
      <c r="C112" s="656">
        <f>B38</f>
        <v>180</v>
      </c>
      <c r="D112" s="656">
        <f t="shared" ref="D112:G112" si="59">C38</f>
        <v>-0.09</v>
      </c>
      <c r="E112" s="656">
        <f t="shared" si="59"/>
        <v>0.03</v>
      </c>
      <c r="F112" s="656">
        <f t="shared" si="59"/>
        <v>0.06</v>
      </c>
      <c r="G112" s="656">
        <f t="shared" si="59"/>
        <v>0.47</v>
      </c>
      <c r="I112" s="1185"/>
      <c r="J112" s="655">
        <v>4</v>
      </c>
      <c r="K112" s="656">
        <f>B46</f>
        <v>50</v>
      </c>
      <c r="L112" s="656">
        <f t="shared" ref="L112:O112" si="60">C46</f>
        <v>-0.1</v>
      </c>
      <c r="M112" s="656">
        <f t="shared" si="60"/>
        <v>0.2</v>
      </c>
      <c r="N112" s="656">
        <f t="shared" si="60"/>
        <v>0.15000000000000002</v>
      </c>
      <c r="O112" s="656">
        <f t="shared" si="60"/>
        <v>0.28999999999999998</v>
      </c>
    </row>
    <row r="113" spans="1:15">
      <c r="A113" s="1185"/>
      <c r="B113" s="655">
        <v>5</v>
      </c>
      <c r="C113" s="656">
        <f>I38</f>
        <v>180</v>
      </c>
      <c r="D113" s="656">
        <f t="shared" ref="D113:G113" si="61">J38</f>
        <v>-0.11</v>
      </c>
      <c r="E113" s="656">
        <f t="shared" si="61"/>
        <v>0.1</v>
      </c>
      <c r="F113" s="656">
        <f t="shared" si="61"/>
        <v>0.10500000000000001</v>
      </c>
      <c r="G113" s="656">
        <f t="shared" si="61"/>
        <v>0.47</v>
      </c>
      <c r="I113" s="1185"/>
      <c r="J113" s="655">
        <v>5</v>
      </c>
      <c r="K113" s="656">
        <f>I46</f>
        <v>50</v>
      </c>
      <c r="L113" s="656">
        <f t="shared" ref="L113:O113" si="62">J46</f>
        <v>4.7</v>
      </c>
      <c r="M113" s="656">
        <f t="shared" si="62"/>
        <v>-0.33</v>
      </c>
      <c r="N113" s="656">
        <f t="shared" si="62"/>
        <v>2.5150000000000001</v>
      </c>
      <c r="O113" s="656">
        <f t="shared" si="62"/>
        <v>0.28999999999999998</v>
      </c>
    </row>
    <row r="114" spans="1:15">
      <c r="A114" s="1185"/>
      <c r="B114" s="655">
        <v>6</v>
      </c>
      <c r="C114" s="656">
        <f>P38</f>
        <v>180</v>
      </c>
      <c r="D114" s="656">
        <f t="shared" ref="D114:G114" si="63">Q38</f>
        <v>9.9999999999999995E-7</v>
      </c>
      <c r="E114" s="656">
        <f t="shared" si="63"/>
        <v>-0.11</v>
      </c>
      <c r="F114" s="656">
        <f t="shared" si="63"/>
        <v>5.5000500000000001E-2</v>
      </c>
      <c r="G114" s="656">
        <f t="shared" si="63"/>
        <v>1.2</v>
      </c>
      <c r="I114" s="1185"/>
      <c r="J114" s="655">
        <v>6</v>
      </c>
      <c r="K114" s="656">
        <f>P46</f>
        <v>50</v>
      </c>
      <c r="L114" s="656">
        <f t="shared" ref="L114:O114" si="64">Q46</f>
        <v>2.1</v>
      </c>
      <c r="M114" s="656">
        <f t="shared" si="64"/>
        <v>2.6</v>
      </c>
      <c r="N114" s="656">
        <f t="shared" si="64"/>
        <v>0.25</v>
      </c>
      <c r="O114" s="656">
        <f t="shared" si="64"/>
        <v>0.59</v>
      </c>
    </row>
    <row r="115" spans="1:15">
      <c r="A115" s="1185"/>
      <c r="B115" s="655">
        <v>7</v>
      </c>
      <c r="C115" s="656">
        <f>B69</f>
        <v>180</v>
      </c>
      <c r="D115" s="656">
        <f t="shared" ref="D115:G115" si="65">C69</f>
        <v>0.33</v>
      </c>
      <c r="E115" s="656">
        <f t="shared" si="65"/>
        <v>0.33</v>
      </c>
      <c r="F115" s="656">
        <f t="shared" si="65"/>
        <v>0</v>
      </c>
      <c r="G115" s="656">
        <f t="shared" si="65"/>
        <v>1.2</v>
      </c>
      <c r="I115" s="1185"/>
      <c r="J115" s="655">
        <v>7</v>
      </c>
      <c r="K115" s="656">
        <f>B77</f>
        <v>50</v>
      </c>
      <c r="L115" s="656">
        <f t="shared" ref="L115:O115" si="66">C77</f>
        <v>1.7</v>
      </c>
      <c r="M115" s="656">
        <f t="shared" si="66"/>
        <v>1.7</v>
      </c>
      <c r="N115" s="656">
        <f t="shared" si="66"/>
        <v>0</v>
      </c>
      <c r="O115" s="656">
        <f t="shared" si="66"/>
        <v>0.59</v>
      </c>
    </row>
    <row r="116" spans="1:15">
      <c r="A116" s="1185"/>
      <c r="B116" s="655">
        <v>8</v>
      </c>
      <c r="C116" s="656">
        <f>I69</f>
        <v>180</v>
      </c>
      <c r="D116" s="656">
        <f t="shared" ref="D116:G116" si="67">J69</f>
        <v>9.9999999999999995E-7</v>
      </c>
      <c r="E116" s="656">
        <f t="shared" si="67"/>
        <v>-0.22</v>
      </c>
      <c r="F116" s="656">
        <f t="shared" si="67"/>
        <v>0.1100005</v>
      </c>
      <c r="G116" s="656">
        <f t="shared" si="67"/>
        <v>1.2</v>
      </c>
      <c r="I116" s="1185"/>
      <c r="J116" s="655">
        <v>8</v>
      </c>
      <c r="K116" s="656">
        <f>I77</f>
        <v>50</v>
      </c>
      <c r="L116" s="656">
        <f t="shared" ref="L116:O116" si="68">J77</f>
        <v>9.9999999999999995E-7</v>
      </c>
      <c r="M116" s="656">
        <f t="shared" si="68"/>
        <v>1.7</v>
      </c>
      <c r="N116" s="656">
        <f t="shared" si="68"/>
        <v>0.84999950000000002</v>
      </c>
      <c r="O116" s="656">
        <f t="shared" si="68"/>
        <v>0.59</v>
      </c>
    </row>
    <row r="117" spans="1:15">
      <c r="A117" s="1185"/>
      <c r="B117" s="655">
        <v>9</v>
      </c>
      <c r="C117" s="656">
        <f>P69</f>
        <v>180</v>
      </c>
      <c r="D117" s="656">
        <f t="shared" ref="D117:G117" si="69">Q69</f>
        <v>-0.14000000000000001</v>
      </c>
      <c r="E117" s="656">
        <f t="shared" si="69"/>
        <v>-0.39</v>
      </c>
      <c r="F117" s="656">
        <f t="shared" si="69"/>
        <v>0.125</v>
      </c>
      <c r="G117" s="656">
        <f t="shared" si="69"/>
        <v>1.2</v>
      </c>
      <c r="I117" s="1185"/>
      <c r="J117" s="655">
        <v>9</v>
      </c>
      <c r="K117" s="656">
        <f>P77</f>
        <v>50</v>
      </c>
      <c r="L117" s="656">
        <f t="shared" ref="L117:O117" si="70">Q77</f>
        <v>2.1</v>
      </c>
      <c r="M117" s="656">
        <f t="shared" si="70"/>
        <v>5</v>
      </c>
      <c r="N117" s="656">
        <f t="shared" si="70"/>
        <v>1.45</v>
      </c>
      <c r="O117" s="656">
        <f t="shared" si="70"/>
        <v>0.59</v>
      </c>
    </row>
    <row r="118" spans="1:15" ht="13.8">
      <c r="A118" s="1185" t="s">
        <v>44</v>
      </c>
      <c r="B118" s="483">
        <v>1</v>
      </c>
      <c r="C118" s="484">
        <f>B8</f>
        <v>200</v>
      </c>
      <c r="D118" s="484">
        <f t="shared" ref="D118:G118" si="71">C8</f>
        <v>-0.16</v>
      </c>
      <c r="E118" s="484">
        <f t="shared" si="71"/>
        <v>-0.04</v>
      </c>
      <c r="F118" s="484">
        <f t="shared" si="71"/>
        <v>0.06</v>
      </c>
      <c r="G118" s="484">
        <f t="shared" si="71"/>
        <v>0.47</v>
      </c>
      <c r="I118" s="1185" t="s">
        <v>44</v>
      </c>
      <c r="J118" s="483">
        <v>1</v>
      </c>
      <c r="K118" s="656">
        <f>B16</f>
        <v>100</v>
      </c>
      <c r="L118" s="656">
        <f t="shared" ref="L118:O118" si="72">C16</f>
        <v>-0.06</v>
      </c>
      <c r="M118" s="656">
        <f t="shared" si="72"/>
        <v>0.2</v>
      </c>
      <c r="N118" s="656">
        <f t="shared" si="72"/>
        <v>0.13</v>
      </c>
      <c r="O118" s="656">
        <f t="shared" si="72"/>
        <v>0.28999999999999998</v>
      </c>
    </row>
    <row r="119" spans="1:15" ht="13.8">
      <c r="A119" s="1185"/>
      <c r="B119" s="485">
        <v>2</v>
      </c>
      <c r="C119" s="484">
        <f>I8</f>
        <v>200</v>
      </c>
      <c r="D119" s="484">
        <f t="shared" ref="D119:G119" si="73">J8</f>
        <v>-0.18</v>
      </c>
      <c r="E119" s="484">
        <f t="shared" si="73"/>
        <v>0.06</v>
      </c>
      <c r="F119" s="484">
        <f t="shared" si="73"/>
        <v>0.12</v>
      </c>
      <c r="G119" s="484">
        <f t="shared" si="73"/>
        <v>0.47</v>
      </c>
      <c r="I119" s="1185"/>
      <c r="J119" s="485">
        <v>2</v>
      </c>
      <c r="K119" s="656">
        <f>I16</f>
        <v>100</v>
      </c>
      <c r="L119" s="656">
        <f t="shared" ref="L119:O119" si="74">J16</f>
        <v>2.2000000000000002</v>
      </c>
      <c r="M119" s="656">
        <f t="shared" si="74"/>
        <v>0.4</v>
      </c>
      <c r="N119" s="656">
        <f t="shared" si="74"/>
        <v>0.90000000000000013</v>
      </c>
      <c r="O119" s="656">
        <f t="shared" si="74"/>
        <v>0.28999999999999998</v>
      </c>
    </row>
    <row r="120" spans="1:15">
      <c r="A120" s="1185"/>
      <c r="B120" s="655">
        <v>3</v>
      </c>
      <c r="C120" s="656">
        <f>P8</f>
        <v>200</v>
      </c>
      <c r="D120" s="656">
        <f t="shared" ref="D120:G120" si="75">Q8</f>
        <v>-0.26</v>
      </c>
      <c r="E120" s="656">
        <f t="shared" si="75"/>
        <v>-2.0499999999999998</v>
      </c>
      <c r="F120" s="656">
        <f t="shared" si="75"/>
        <v>0.89499999999999991</v>
      </c>
      <c r="G120" s="656">
        <f t="shared" si="75"/>
        <v>1.2</v>
      </c>
      <c r="I120" s="1185"/>
      <c r="J120" s="655">
        <v>3</v>
      </c>
      <c r="K120" s="656">
        <f>P16</f>
        <v>100</v>
      </c>
      <c r="L120" s="656">
        <f t="shared" ref="L120:O120" si="76">Q16</f>
        <v>2</v>
      </c>
      <c r="M120" s="656">
        <f t="shared" si="76"/>
        <v>6</v>
      </c>
      <c r="N120" s="656">
        <f t="shared" si="76"/>
        <v>2</v>
      </c>
      <c r="O120" s="656">
        <f t="shared" si="76"/>
        <v>0.59</v>
      </c>
    </row>
    <row r="121" spans="1:15">
      <c r="A121" s="1185"/>
      <c r="B121" s="655">
        <v>4</v>
      </c>
      <c r="C121" s="656">
        <f>B39</f>
        <v>200</v>
      </c>
      <c r="D121" s="656">
        <f t="shared" ref="D121:G121" si="77">C39</f>
        <v>-0.14000000000000001</v>
      </c>
      <c r="E121" s="656">
        <f t="shared" si="77"/>
        <v>0.05</v>
      </c>
      <c r="F121" s="656">
        <f t="shared" si="77"/>
        <v>9.5000000000000001E-2</v>
      </c>
      <c r="G121" s="656">
        <f t="shared" si="77"/>
        <v>0.47</v>
      </c>
      <c r="I121" s="1185"/>
      <c r="J121" s="655">
        <v>4</v>
      </c>
      <c r="K121" s="656">
        <f>B47</f>
        <v>100</v>
      </c>
      <c r="L121" s="656">
        <f t="shared" ref="L121:O121" si="78">C47</f>
        <v>-0.1</v>
      </c>
      <c r="M121" s="656">
        <f t="shared" si="78"/>
        <v>0.3</v>
      </c>
      <c r="N121" s="656">
        <f t="shared" si="78"/>
        <v>0.2</v>
      </c>
      <c r="O121" s="656">
        <f t="shared" si="78"/>
        <v>0.28999999999999998</v>
      </c>
    </row>
    <row r="122" spans="1:15">
      <c r="A122" s="1185"/>
      <c r="B122" s="655">
        <v>5</v>
      </c>
      <c r="C122" s="656">
        <f>I39</f>
        <v>200</v>
      </c>
      <c r="D122" s="656">
        <f t="shared" ref="D122:G122" si="79">J39</f>
        <v>-0.17</v>
      </c>
      <c r="E122" s="656">
        <f t="shared" si="79"/>
        <v>-0.03</v>
      </c>
      <c r="F122" s="656">
        <f t="shared" si="79"/>
        <v>7.0000000000000007E-2</v>
      </c>
      <c r="G122" s="656">
        <f t="shared" si="79"/>
        <v>0.47</v>
      </c>
      <c r="I122" s="1185"/>
      <c r="J122" s="655">
        <v>5</v>
      </c>
      <c r="K122" s="656">
        <f>I47</f>
        <v>100</v>
      </c>
      <c r="L122" s="656">
        <f t="shared" ref="L122:O122" si="80">J47</f>
        <v>4.4000000000000004</v>
      </c>
      <c r="M122" s="656">
        <f t="shared" si="80"/>
        <v>-0.42</v>
      </c>
      <c r="N122" s="656">
        <f t="shared" si="80"/>
        <v>2.41</v>
      </c>
      <c r="O122" s="656">
        <f t="shared" si="80"/>
        <v>0.28999999999999998</v>
      </c>
    </row>
    <row r="123" spans="1:15">
      <c r="A123" s="1185"/>
      <c r="B123" s="655">
        <v>6</v>
      </c>
      <c r="C123" s="656">
        <f>P39</f>
        <v>200</v>
      </c>
      <c r="D123" s="656">
        <f t="shared" ref="D123:G123" si="81">Q39</f>
        <v>0.05</v>
      </c>
      <c r="E123" s="656">
        <f t="shared" si="81"/>
        <v>-0.1</v>
      </c>
      <c r="F123" s="656">
        <f t="shared" si="81"/>
        <v>7.5000000000000011E-2</v>
      </c>
      <c r="G123" s="656">
        <f t="shared" si="81"/>
        <v>1.2</v>
      </c>
      <c r="I123" s="1185"/>
      <c r="J123" s="655">
        <v>6</v>
      </c>
      <c r="K123" s="656">
        <f>P47</f>
        <v>100</v>
      </c>
      <c r="L123" s="656">
        <f t="shared" ref="L123:O123" si="82">Q47</f>
        <v>2.2999999999999998</v>
      </c>
      <c r="M123" s="656">
        <f t="shared" si="82"/>
        <v>2.6</v>
      </c>
      <c r="N123" s="656">
        <f t="shared" si="82"/>
        <v>0.15000000000000013</v>
      </c>
      <c r="O123" s="656">
        <f t="shared" si="82"/>
        <v>0.59</v>
      </c>
    </row>
    <row r="124" spans="1:15">
      <c r="A124" s="1185"/>
      <c r="B124" s="655">
        <v>7</v>
      </c>
      <c r="C124" s="656">
        <f>B70</f>
        <v>200</v>
      </c>
      <c r="D124" s="656">
        <f t="shared" ref="D124:G124" si="83">C70</f>
        <v>0.34</v>
      </c>
      <c r="E124" s="656">
        <f t="shared" si="83"/>
        <v>0.34</v>
      </c>
      <c r="F124" s="656">
        <f t="shared" si="83"/>
        <v>0</v>
      </c>
      <c r="G124" s="656">
        <f t="shared" si="83"/>
        <v>1.2</v>
      </c>
      <c r="I124" s="1185"/>
      <c r="J124" s="655">
        <v>7</v>
      </c>
      <c r="K124" s="656">
        <f>B78</f>
        <v>100</v>
      </c>
      <c r="L124" s="656">
        <f t="shared" ref="L124:O124" si="84">C78</f>
        <v>1.7</v>
      </c>
      <c r="M124" s="656">
        <f t="shared" si="84"/>
        <v>1.7</v>
      </c>
      <c r="N124" s="656">
        <f t="shared" si="84"/>
        <v>0</v>
      </c>
      <c r="O124" s="656">
        <f t="shared" si="84"/>
        <v>0.59</v>
      </c>
    </row>
    <row r="125" spans="1:15">
      <c r="A125" s="1185"/>
      <c r="B125" s="655">
        <v>8</v>
      </c>
      <c r="C125" s="656">
        <f>I70</f>
        <v>200</v>
      </c>
      <c r="D125" s="656">
        <f t="shared" ref="D125:G125" si="85">J70</f>
        <v>9.9999999999999995E-7</v>
      </c>
      <c r="E125" s="656">
        <f t="shared" si="85"/>
        <v>-0.33</v>
      </c>
      <c r="F125" s="656">
        <f t="shared" si="85"/>
        <v>0.16500049999999999</v>
      </c>
      <c r="G125" s="656">
        <f t="shared" si="85"/>
        <v>1.2</v>
      </c>
      <c r="I125" s="1185"/>
      <c r="J125" s="655">
        <v>8</v>
      </c>
      <c r="K125" s="656">
        <f>I78</f>
        <v>100</v>
      </c>
      <c r="L125" s="656">
        <f t="shared" ref="L125:O125" si="86">J78</f>
        <v>9.9999999999999995E-7</v>
      </c>
      <c r="M125" s="656">
        <f t="shared" si="86"/>
        <v>3.4</v>
      </c>
      <c r="N125" s="656">
        <f t="shared" si="86"/>
        <v>1.6999994999999999</v>
      </c>
      <c r="O125" s="656">
        <f t="shared" si="86"/>
        <v>0.59</v>
      </c>
    </row>
    <row r="126" spans="1:15">
      <c r="A126" s="1185"/>
      <c r="B126" s="655">
        <v>9</v>
      </c>
      <c r="C126" s="656">
        <f>P70</f>
        <v>200</v>
      </c>
      <c r="D126" s="656">
        <f t="shared" ref="D126:G126" si="87">Q70</f>
        <v>-0.33</v>
      </c>
      <c r="E126" s="656">
        <f t="shared" si="87"/>
        <v>-0.23</v>
      </c>
      <c r="F126" s="656">
        <f t="shared" si="87"/>
        <v>0.05</v>
      </c>
      <c r="G126" s="656">
        <f t="shared" si="87"/>
        <v>1.2</v>
      </c>
      <c r="I126" s="1185"/>
      <c r="J126" s="655">
        <v>9</v>
      </c>
      <c r="K126" s="656">
        <f>P78</f>
        <v>100</v>
      </c>
      <c r="L126" s="656">
        <f t="shared" ref="L126:O126" si="88">Q78</f>
        <v>3.7</v>
      </c>
      <c r="M126" s="656">
        <f t="shared" si="88"/>
        <v>0.7</v>
      </c>
      <c r="N126" s="656">
        <f t="shared" si="88"/>
        <v>1.5</v>
      </c>
      <c r="O126" s="656">
        <f t="shared" si="88"/>
        <v>0.59</v>
      </c>
    </row>
    <row r="127" spans="1:15" ht="13.8">
      <c r="A127" s="1185" t="s">
        <v>45</v>
      </c>
      <c r="B127" s="483">
        <v>1</v>
      </c>
      <c r="C127" s="484">
        <f>B9</f>
        <v>220</v>
      </c>
      <c r="D127" s="484">
        <f t="shared" ref="D127:G127" si="89">C9</f>
        <v>-0.18</v>
      </c>
      <c r="E127" s="484">
        <f t="shared" si="89"/>
        <v>-0.28000000000000003</v>
      </c>
      <c r="F127" s="484">
        <f t="shared" si="89"/>
        <v>5.0000000000000017E-2</v>
      </c>
      <c r="G127" s="484">
        <f t="shared" si="89"/>
        <v>0.47</v>
      </c>
      <c r="I127" s="1185" t="s">
        <v>45</v>
      </c>
      <c r="J127" s="483">
        <v>1</v>
      </c>
      <c r="K127" s="656">
        <f>B17</f>
        <v>200</v>
      </c>
      <c r="L127" s="656">
        <f t="shared" ref="L127:O127" si="90">C17</f>
        <v>0</v>
      </c>
      <c r="M127" s="656">
        <f t="shared" si="90"/>
        <v>0.4</v>
      </c>
      <c r="N127" s="656">
        <f t="shared" si="90"/>
        <v>0.2</v>
      </c>
      <c r="O127" s="656">
        <f t="shared" si="90"/>
        <v>0.28999999999999998</v>
      </c>
    </row>
    <row r="128" spans="1:15" ht="13.8">
      <c r="A128" s="1185"/>
      <c r="B128" s="485">
        <v>2</v>
      </c>
      <c r="C128" s="656">
        <f>I9</f>
        <v>220</v>
      </c>
      <c r="D128" s="656">
        <f t="shared" ref="D128:G128" si="91">J9</f>
        <v>-0.03</v>
      </c>
      <c r="E128" s="656">
        <f t="shared" si="91"/>
        <v>0.05</v>
      </c>
      <c r="F128" s="656">
        <f t="shared" si="91"/>
        <v>0.04</v>
      </c>
      <c r="G128" s="656">
        <f t="shared" si="91"/>
        <v>0.47</v>
      </c>
      <c r="I128" s="1185"/>
      <c r="J128" s="485">
        <v>2</v>
      </c>
      <c r="K128" s="656">
        <f>I17</f>
        <v>200</v>
      </c>
      <c r="L128" s="656">
        <f t="shared" ref="L128:O128" si="92">J17</f>
        <v>3.3</v>
      </c>
      <c r="M128" s="656">
        <f t="shared" si="92"/>
        <v>0.7</v>
      </c>
      <c r="N128" s="656">
        <f t="shared" si="92"/>
        <v>1.2999999999999998</v>
      </c>
      <c r="O128" s="656">
        <f t="shared" si="92"/>
        <v>0.28999999999999998</v>
      </c>
    </row>
    <row r="129" spans="1:15">
      <c r="A129" s="1185"/>
      <c r="B129" s="655">
        <v>3</v>
      </c>
      <c r="C129" s="656">
        <f>P9</f>
        <v>220</v>
      </c>
      <c r="D129" s="656">
        <f t="shared" ref="D129:G129" si="93">Q9</f>
        <v>-0.28999999999999998</v>
      </c>
      <c r="E129" s="656">
        <f t="shared" si="93"/>
        <v>-2.29</v>
      </c>
      <c r="F129" s="656">
        <f t="shared" si="93"/>
        <v>1</v>
      </c>
      <c r="G129" s="656">
        <f t="shared" si="93"/>
        <v>1.2</v>
      </c>
      <c r="I129" s="1185"/>
      <c r="J129" s="655">
        <v>3</v>
      </c>
      <c r="K129" s="656">
        <f>P17</f>
        <v>200</v>
      </c>
      <c r="L129" s="656">
        <f t="shared" ref="L129:O129" si="94">Q17</f>
        <v>3.6</v>
      </c>
      <c r="M129" s="656">
        <f t="shared" si="94"/>
        <v>-3.6</v>
      </c>
      <c r="N129" s="656">
        <f t="shared" si="94"/>
        <v>3.6</v>
      </c>
      <c r="O129" s="656">
        <f t="shared" si="94"/>
        <v>0.59</v>
      </c>
    </row>
    <row r="130" spans="1:15">
      <c r="A130" s="1185"/>
      <c r="B130" s="655">
        <v>4</v>
      </c>
      <c r="C130" s="656">
        <f>B40</f>
        <v>220</v>
      </c>
      <c r="D130" s="656">
        <f t="shared" ref="D130:G130" si="95">C40</f>
        <v>-0.19</v>
      </c>
      <c r="E130" s="656">
        <f t="shared" si="95"/>
        <v>0.1</v>
      </c>
      <c r="F130" s="656">
        <f t="shared" si="95"/>
        <v>0.14500000000000002</v>
      </c>
      <c r="G130" s="656">
        <f t="shared" si="95"/>
        <v>0.47</v>
      </c>
      <c r="I130" s="1185"/>
      <c r="J130" s="655">
        <v>4</v>
      </c>
      <c r="K130" s="656">
        <f>B48</f>
        <v>200</v>
      </c>
      <c r="L130" s="656">
        <f t="shared" ref="L130:O130" si="96">C48</f>
        <v>1.1000000000000001</v>
      </c>
      <c r="M130" s="656">
        <f t="shared" si="96"/>
        <v>1.4</v>
      </c>
      <c r="N130" s="656">
        <f t="shared" si="96"/>
        <v>0.14999999999999991</v>
      </c>
      <c r="O130" s="656">
        <f t="shared" si="96"/>
        <v>0.28999999999999998</v>
      </c>
    </row>
    <row r="131" spans="1:15">
      <c r="A131" s="1185"/>
      <c r="B131" s="655">
        <v>5</v>
      </c>
      <c r="C131" s="656">
        <f>I40</f>
        <v>220</v>
      </c>
      <c r="D131" s="656">
        <f t="shared" ref="D131:G131" si="97">J40</f>
        <v>-0.25</v>
      </c>
      <c r="E131" s="656">
        <f t="shared" si="97"/>
        <v>0.38</v>
      </c>
      <c r="F131" s="656">
        <f t="shared" si="97"/>
        <v>0.315</v>
      </c>
      <c r="G131" s="656">
        <f t="shared" si="97"/>
        <v>0.47</v>
      </c>
      <c r="I131" s="1185"/>
      <c r="J131" s="655">
        <v>5</v>
      </c>
      <c r="K131" s="656">
        <f>I48</f>
        <v>200</v>
      </c>
      <c r="L131" s="656">
        <f t="shared" ref="L131:O131" si="98">J48</f>
        <v>15.6</v>
      </c>
      <c r="M131" s="656">
        <f t="shared" si="98"/>
        <v>1.3</v>
      </c>
      <c r="N131" s="656">
        <f t="shared" si="98"/>
        <v>7.1499999999999995</v>
      </c>
      <c r="O131" s="656">
        <f t="shared" si="98"/>
        <v>0.28999999999999998</v>
      </c>
    </row>
    <row r="132" spans="1:15">
      <c r="A132" s="1185"/>
      <c r="B132" s="655">
        <v>6</v>
      </c>
      <c r="C132" s="656">
        <f>P40</f>
        <v>220</v>
      </c>
      <c r="D132" s="656">
        <f t="shared" ref="D132:G132" si="99">Q40</f>
        <v>0.05</v>
      </c>
      <c r="E132" s="656">
        <f t="shared" si="99"/>
        <v>-0.13</v>
      </c>
      <c r="F132" s="656">
        <f t="shared" si="99"/>
        <v>0.09</v>
      </c>
      <c r="G132" s="656">
        <f t="shared" si="99"/>
        <v>1.2</v>
      </c>
      <c r="I132" s="1185"/>
      <c r="J132" s="655">
        <v>6</v>
      </c>
      <c r="K132" s="656">
        <f>P48</f>
        <v>200</v>
      </c>
      <c r="L132" s="656">
        <f t="shared" ref="L132:O132" si="100">Q48</f>
        <v>0.2</v>
      </c>
      <c r="M132" s="656">
        <f t="shared" si="100"/>
        <v>3.1</v>
      </c>
      <c r="N132" s="656">
        <f t="shared" si="100"/>
        <v>1.45</v>
      </c>
      <c r="O132" s="656">
        <f t="shared" si="100"/>
        <v>0.59</v>
      </c>
    </row>
    <row r="133" spans="1:15">
      <c r="A133" s="1185"/>
      <c r="B133" s="655">
        <v>7</v>
      </c>
      <c r="C133" s="656">
        <f>B71</f>
        <v>220</v>
      </c>
      <c r="D133" s="656">
        <f t="shared" ref="D133:G133" si="101">C71</f>
        <v>0.37</v>
      </c>
      <c r="E133" s="656">
        <f t="shared" si="101"/>
        <v>0.37</v>
      </c>
      <c r="F133" s="656">
        <f t="shared" si="101"/>
        <v>0</v>
      </c>
      <c r="G133" s="656">
        <f t="shared" si="101"/>
        <v>1.2</v>
      </c>
      <c r="I133" s="1185"/>
      <c r="J133" s="655">
        <v>7</v>
      </c>
      <c r="K133" s="656">
        <f>B79</f>
        <v>200</v>
      </c>
      <c r="L133" s="656">
        <f t="shared" ref="L133:O133" si="102">C79</f>
        <v>0.4</v>
      </c>
      <c r="M133" s="656">
        <f t="shared" si="102"/>
        <v>0.4</v>
      </c>
      <c r="N133" s="656">
        <f t="shared" si="102"/>
        <v>0</v>
      </c>
      <c r="O133" s="656">
        <f t="shared" si="102"/>
        <v>0.59</v>
      </c>
    </row>
    <row r="134" spans="1:15">
      <c r="A134" s="1185"/>
      <c r="B134" s="655">
        <v>8</v>
      </c>
      <c r="C134" s="656">
        <f>I71</f>
        <v>220</v>
      </c>
      <c r="D134" s="656">
        <f t="shared" ref="D134:G134" si="103">J71</f>
        <v>9.9999999999999995E-7</v>
      </c>
      <c r="E134" s="656">
        <f t="shared" si="103"/>
        <v>-0.39</v>
      </c>
      <c r="F134" s="656">
        <f t="shared" si="103"/>
        <v>0.19500049999999999</v>
      </c>
      <c r="G134" s="656">
        <f t="shared" si="103"/>
        <v>1.2</v>
      </c>
      <c r="I134" s="1185"/>
      <c r="J134" s="655">
        <v>8</v>
      </c>
      <c r="K134" s="656">
        <f>I79</f>
        <v>500</v>
      </c>
      <c r="L134" s="656">
        <f t="shared" ref="L134:O134" si="104">J79</f>
        <v>9.9999999999999995E-7</v>
      </c>
      <c r="M134" s="656">
        <f t="shared" si="104"/>
        <v>7.2</v>
      </c>
      <c r="N134" s="656">
        <f t="shared" si="104"/>
        <v>3.5999995</v>
      </c>
      <c r="O134" s="656">
        <f t="shared" si="104"/>
        <v>0.59</v>
      </c>
    </row>
    <row r="135" spans="1:15">
      <c r="A135" s="1185"/>
      <c r="B135" s="655">
        <v>9</v>
      </c>
      <c r="C135" s="656">
        <f>P71</f>
        <v>220</v>
      </c>
      <c r="D135" s="656">
        <f t="shared" ref="D135:G135" si="105">Q71</f>
        <v>-0.45</v>
      </c>
      <c r="E135" s="656">
        <f t="shared" si="105"/>
        <v>-0.45</v>
      </c>
      <c r="F135" s="656">
        <f t="shared" si="105"/>
        <v>0</v>
      </c>
      <c r="G135" s="656">
        <f t="shared" si="105"/>
        <v>1.2</v>
      </c>
      <c r="I135" s="1185"/>
      <c r="J135" s="655">
        <v>9</v>
      </c>
      <c r="K135" s="656">
        <f>P79</f>
        <v>200</v>
      </c>
      <c r="L135" s="656">
        <f t="shared" ref="L135:O135" si="106">Q79</f>
        <v>8.3000000000000007</v>
      </c>
      <c r="M135" s="656">
        <f t="shared" si="106"/>
        <v>-8.1999999999999993</v>
      </c>
      <c r="N135" s="656">
        <f t="shared" si="106"/>
        <v>8.25</v>
      </c>
      <c r="O135" s="656">
        <f t="shared" si="106"/>
        <v>0.59</v>
      </c>
    </row>
    <row r="136" spans="1:15" ht="13.8">
      <c r="A136" s="1185" t="s">
        <v>46</v>
      </c>
      <c r="B136" s="483">
        <v>1</v>
      </c>
      <c r="C136" s="484">
        <f>B10</f>
        <v>230</v>
      </c>
      <c r="D136" s="484">
        <f t="shared" ref="D136:G136" si="107">C10</f>
        <v>-0.26</v>
      </c>
      <c r="E136" s="484">
        <f t="shared" si="107"/>
        <v>-0.2</v>
      </c>
      <c r="F136" s="484">
        <f t="shared" si="107"/>
        <v>0.03</v>
      </c>
      <c r="G136" s="484">
        <f t="shared" si="107"/>
        <v>0.47</v>
      </c>
      <c r="I136" s="1185" t="s">
        <v>46</v>
      </c>
      <c r="J136" s="483">
        <v>1</v>
      </c>
      <c r="K136" s="656">
        <f>B18</f>
        <v>500</v>
      </c>
      <c r="L136" s="656">
        <f t="shared" ref="L136:O136" si="108">C18</f>
        <v>-0.9</v>
      </c>
      <c r="M136" s="656">
        <f t="shared" si="108"/>
        <v>3.8</v>
      </c>
      <c r="N136" s="656">
        <f t="shared" si="108"/>
        <v>2.35</v>
      </c>
      <c r="O136" s="656">
        <f t="shared" si="108"/>
        <v>0.28999999999999998</v>
      </c>
    </row>
    <row r="137" spans="1:15" ht="13.8">
      <c r="A137" s="1185"/>
      <c r="B137" s="485">
        <v>2</v>
      </c>
      <c r="C137" s="656">
        <f>I10</f>
        <v>230</v>
      </c>
      <c r="D137" s="656">
        <f t="shared" ref="D137:G137" si="109">J10</f>
        <v>-10.02</v>
      </c>
      <c r="E137" s="656">
        <f t="shared" si="109"/>
        <v>0.05</v>
      </c>
      <c r="F137" s="656">
        <f t="shared" si="109"/>
        <v>5.0350000000000001</v>
      </c>
      <c r="G137" s="656">
        <f t="shared" si="109"/>
        <v>0.47</v>
      </c>
      <c r="I137" s="1185"/>
      <c r="J137" s="485">
        <v>2</v>
      </c>
      <c r="K137" s="656">
        <f>I18</f>
        <v>500</v>
      </c>
      <c r="L137" s="656">
        <f t="shared" ref="L137:O137" si="110">J18</f>
        <v>20</v>
      </c>
      <c r="M137" s="656">
        <f t="shared" si="110"/>
        <v>0.8</v>
      </c>
      <c r="N137" s="656">
        <f t="shared" si="110"/>
        <v>9.6</v>
      </c>
      <c r="O137" s="656">
        <f t="shared" si="110"/>
        <v>0.28999999999999998</v>
      </c>
    </row>
    <row r="138" spans="1:15">
      <c r="A138" s="1185"/>
      <c r="B138" s="655">
        <v>3</v>
      </c>
      <c r="C138" s="656">
        <f>P10</f>
        <v>230</v>
      </c>
      <c r="D138" s="656">
        <f t="shared" ref="D138:G138" si="111">Q10</f>
        <v>-0.23</v>
      </c>
      <c r="E138" s="656">
        <f t="shared" si="111"/>
        <v>-11.79</v>
      </c>
      <c r="F138" s="656">
        <f t="shared" si="111"/>
        <v>5.7799999999999994</v>
      </c>
      <c r="G138" s="656">
        <f t="shared" si="111"/>
        <v>1.2</v>
      </c>
      <c r="I138" s="1185"/>
      <c r="J138" s="655">
        <v>3</v>
      </c>
      <c r="K138" s="656">
        <f>P18</f>
        <v>500</v>
      </c>
      <c r="L138" s="656">
        <f t="shared" ref="L138:O138" si="112">Q18</f>
        <v>2.9</v>
      </c>
      <c r="M138" s="656">
        <f t="shared" si="112"/>
        <v>-18.8</v>
      </c>
      <c r="N138" s="656">
        <f t="shared" si="112"/>
        <v>10.85</v>
      </c>
      <c r="O138" s="656">
        <f t="shared" si="112"/>
        <v>0.59</v>
      </c>
    </row>
    <row r="139" spans="1:15">
      <c r="A139" s="1185"/>
      <c r="B139" s="655">
        <v>4</v>
      </c>
      <c r="C139" s="656">
        <f>B41</f>
        <v>230</v>
      </c>
      <c r="D139" s="656">
        <f t="shared" ref="D139:G139" si="113">C41</f>
        <v>-0.2</v>
      </c>
      <c r="E139" s="656">
        <f t="shared" si="113"/>
        <v>0.36799999999999999</v>
      </c>
      <c r="F139" s="656">
        <f t="shared" si="113"/>
        <v>0.28400000000000003</v>
      </c>
      <c r="G139" s="656">
        <f t="shared" si="113"/>
        <v>0.47</v>
      </c>
      <c r="I139" s="1185"/>
      <c r="J139" s="655">
        <v>4</v>
      </c>
      <c r="K139" s="656">
        <f>B49</f>
        <v>500</v>
      </c>
      <c r="L139" s="656">
        <f t="shared" ref="L139:O139" si="114">C49</f>
        <v>0.9</v>
      </c>
      <c r="M139" s="656">
        <f t="shared" si="114"/>
        <v>2.8</v>
      </c>
      <c r="N139" s="656">
        <f t="shared" si="114"/>
        <v>0.95</v>
      </c>
      <c r="O139" s="656">
        <f t="shared" si="114"/>
        <v>0.28999999999999998</v>
      </c>
    </row>
    <row r="140" spans="1:15">
      <c r="A140" s="1185"/>
      <c r="B140" s="655">
        <v>5</v>
      </c>
      <c r="C140" s="656">
        <f>I41</f>
        <v>230</v>
      </c>
      <c r="D140" s="656">
        <f t="shared" ref="D140:G140" si="115">J41</f>
        <v>-0.23</v>
      </c>
      <c r="E140" s="656">
        <f t="shared" si="115"/>
        <v>-0.16</v>
      </c>
      <c r="F140" s="656">
        <f t="shared" si="115"/>
        <v>3.5000000000000003E-2</v>
      </c>
      <c r="G140" s="656">
        <f t="shared" si="115"/>
        <v>0.47</v>
      </c>
      <c r="I140" s="1185"/>
      <c r="J140" s="655">
        <v>5</v>
      </c>
      <c r="K140" s="656">
        <f>I49</f>
        <v>500</v>
      </c>
      <c r="L140" s="656">
        <f t="shared" ref="L140:O140" si="116">J49</f>
        <v>14.3</v>
      </c>
      <c r="M140" s="656">
        <f t="shared" si="116"/>
        <v>0.7</v>
      </c>
      <c r="N140" s="656">
        <f t="shared" si="116"/>
        <v>6.8000000000000007</v>
      </c>
      <c r="O140" s="656">
        <f t="shared" si="116"/>
        <v>0.28999999999999998</v>
      </c>
    </row>
    <row r="141" spans="1:15">
      <c r="A141" s="1185"/>
      <c r="B141" s="655">
        <v>6</v>
      </c>
      <c r="C141" s="656">
        <f>P41</f>
        <v>230</v>
      </c>
      <c r="D141" s="656">
        <f t="shared" ref="D141:G141" si="117">Q41</f>
        <v>-0.05</v>
      </c>
      <c r="E141" s="656">
        <f t="shared" si="117"/>
        <v>-0.15</v>
      </c>
      <c r="F141" s="656">
        <f t="shared" si="117"/>
        <v>4.9999999999999996E-2</v>
      </c>
      <c r="G141" s="656">
        <f t="shared" si="117"/>
        <v>1.2</v>
      </c>
      <c r="I141" s="1185"/>
      <c r="J141" s="655">
        <v>6</v>
      </c>
      <c r="K141" s="656">
        <f>P49</f>
        <v>500</v>
      </c>
      <c r="L141" s="656">
        <f t="shared" ref="L141:O141" si="118">Q49</f>
        <v>2.8</v>
      </c>
      <c r="M141" s="656">
        <f t="shared" si="118"/>
        <v>3.9</v>
      </c>
      <c r="N141" s="656">
        <f t="shared" si="118"/>
        <v>0.55000000000000004</v>
      </c>
      <c r="O141" s="656">
        <f t="shared" si="118"/>
        <v>0.59</v>
      </c>
    </row>
    <row r="142" spans="1:15">
      <c r="A142" s="1185"/>
      <c r="B142" s="655">
        <v>7</v>
      </c>
      <c r="C142" s="656">
        <f>B72</f>
        <v>230</v>
      </c>
      <c r="D142" s="656">
        <f t="shared" ref="D142:G142" si="119">C72</f>
        <v>0.47</v>
      </c>
      <c r="E142" s="656">
        <f t="shared" si="119"/>
        <v>0.47</v>
      </c>
      <c r="F142" s="656">
        <f t="shared" si="119"/>
        <v>0</v>
      </c>
      <c r="G142" s="656">
        <f t="shared" si="119"/>
        <v>1.2</v>
      </c>
      <c r="I142" s="1185"/>
      <c r="J142" s="655">
        <v>7</v>
      </c>
      <c r="K142" s="656">
        <f>B80</f>
        <v>500</v>
      </c>
      <c r="L142" s="656">
        <f t="shared" ref="L142:O142" si="120">C80</f>
        <v>3</v>
      </c>
      <c r="M142" s="656">
        <f t="shared" si="120"/>
        <v>3</v>
      </c>
      <c r="N142" s="656">
        <f t="shared" si="120"/>
        <v>0</v>
      </c>
      <c r="O142" s="656">
        <f t="shared" si="120"/>
        <v>0.59</v>
      </c>
    </row>
    <row r="143" spans="1:15">
      <c r="A143" s="1185"/>
      <c r="B143" s="655">
        <v>8</v>
      </c>
      <c r="C143" s="656">
        <f>I72</f>
        <v>230</v>
      </c>
      <c r="D143" s="656">
        <f t="shared" ref="D143:G143" si="121">J72</f>
        <v>9.9999999999999995E-7</v>
      </c>
      <c r="E143" s="656">
        <f t="shared" si="121"/>
        <v>-0.39</v>
      </c>
      <c r="F143" s="656">
        <f t="shared" si="121"/>
        <v>0.19500049999999999</v>
      </c>
      <c r="G143" s="656">
        <f t="shared" si="121"/>
        <v>1.2</v>
      </c>
      <c r="I143" s="1185"/>
      <c r="J143" s="655">
        <v>8</v>
      </c>
      <c r="K143" s="656">
        <f>I80</f>
        <v>500</v>
      </c>
      <c r="L143" s="656">
        <f t="shared" ref="L143:O143" si="122">J80</f>
        <v>9.9999999999999995E-7</v>
      </c>
      <c r="M143" s="656">
        <f t="shared" si="122"/>
        <v>7.2</v>
      </c>
      <c r="N143" s="656">
        <f t="shared" si="122"/>
        <v>3.5999995</v>
      </c>
      <c r="O143" s="656">
        <f t="shared" si="122"/>
        <v>0.59</v>
      </c>
    </row>
    <row r="144" spans="1:15">
      <c r="A144" s="1185"/>
      <c r="B144" s="655">
        <v>9</v>
      </c>
      <c r="C144" s="656">
        <f>P72</f>
        <v>230</v>
      </c>
      <c r="D144" s="656">
        <f t="shared" ref="D144:G144" si="123">Q72</f>
        <v>-0.54</v>
      </c>
      <c r="E144" s="656">
        <f t="shared" si="123"/>
        <v>-0.16</v>
      </c>
      <c r="F144" s="656">
        <f t="shared" si="123"/>
        <v>0.19</v>
      </c>
      <c r="G144" s="656">
        <f t="shared" si="123"/>
        <v>1.2</v>
      </c>
      <c r="I144" s="1185"/>
      <c r="J144" s="655">
        <v>9</v>
      </c>
      <c r="K144" s="656">
        <f>P80</f>
        <v>500</v>
      </c>
      <c r="L144" s="656">
        <f t="shared" ref="L144:O144" si="124">Q80</f>
        <v>8.3000000000000007</v>
      </c>
      <c r="M144" s="656">
        <f t="shared" si="124"/>
        <v>-31.8</v>
      </c>
      <c r="N144" s="656">
        <f t="shared" si="124"/>
        <v>20.05</v>
      </c>
      <c r="O144" s="656">
        <f t="shared" si="124"/>
        <v>0.59</v>
      </c>
    </row>
    <row r="145" spans="1:16" ht="13.8">
      <c r="A145" s="1185" t="s">
        <v>255</v>
      </c>
      <c r="B145" s="483">
        <v>1</v>
      </c>
      <c r="C145" s="484">
        <f>B11</f>
        <v>250</v>
      </c>
      <c r="D145" s="484">
        <f t="shared" ref="D145:G145" si="125">C11</f>
        <v>9.9999999999999995E-7</v>
      </c>
      <c r="E145" s="484">
        <f t="shared" si="125"/>
        <v>9.9999999999999995E-7</v>
      </c>
      <c r="F145" s="484">
        <f t="shared" si="125"/>
        <v>0</v>
      </c>
      <c r="G145" s="484">
        <f t="shared" si="125"/>
        <v>0.47</v>
      </c>
      <c r="I145" s="1185" t="s">
        <v>255</v>
      </c>
      <c r="J145" s="483">
        <v>1</v>
      </c>
      <c r="K145" s="656">
        <f>B19</f>
        <v>1000</v>
      </c>
      <c r="L145" s="656">
        <f t="shared" ref="L145:O145" si="126">C19</f>
        <v>-3.0000000000000001E-3</v>
      </c>
      <c r="M145" s="656">
        <f t="shared" si="126"/>
        <v>9</v>
      </c>
      <c r="N145" s="656">
        <f t="shared" si="126"/>
        <v>4.5015000000000001</v>
      </c>
      <c r="O145" s="656">
        <f t="shared" si="126"/>
        <v>0.28999999999999998</v>
      </c>
    </row>
    <row r="146" spans="1:16" ht="13.8">
      <c r="A146" s="1185"/>
      <c r="B146" s="485">
        <v>2</v>
      </c>
      <c r="C146" s="656">
        <f>I11</f>
        <v>250</v>
      </c>
      <c r="D146" s="656">
        <f t="shared" ref="D146:G146" si="127">J11</f>
        <v>9.9999999999999995E-7</v>
      </c>
      <c r="E146" s="656">
        <f t="shared" si="127"/>
        <v>9.9999999999999995E-7</v>
      </c>
      <c r="F146" s="656">
        <f t="shared" si="127"/>
        <v>0</v>
      </c>
      <c r="G146" s="656">
        <f t="shared" si="127"/>
        <v>0.47</v>
      </c>
      <c r="I146" s="1185"/>
      <c r="J146" s="485">
        <v>2</v>
      </c>
      <c r="K146" s="656">
        <f>I19</f>
        <v>1000</v>
      </c>
      <c r="L146" s="656">
        <f t="shared" ref="L146:O146" si="128">J19</f>
        <v>2</v>
      </c>
      <c r="M146" s="656">
        <f t="shared" si="128"/>
        <v>8.0000000000000002E-3</v>
      </c>
      <c r="N146" s="656">
        <f t="shared" si="128"/>
        <v>0.996</v>
      </c>
      <c r="O146" s="656">
        <f t="shared" si="128"/>
        <v>0.28999999999999998</v>
      </c>
    </row>
    <row r="147" spans="1:16">
      <c r="A147" s="1185"/>
      <c r="B147" s="655">
        <v>3</v>
      </c>
      <c r="C147" s="656">
        <f>P11</f>
        <v>250</v>
      </c>
      <c r="D147" s="656">
        <f t="shared" ref="D147:G147" si="129">Q11</f>
        <v>9.9999999999999995E-7</v>
      </c>
      <c r="E147" s="656">
        <f t="shared" si="129"/>
        <v>9.9999999999999995E-7</v>
      </c>
      <c r="F147" s="656">
        <f t="shared" si="129"/>
        <v>0</v>
      </c>
      <c r="G147" s="656">
        <f t="shared" si="129"/>
        <v>1.2</v>
      </c>
      <c r="I147" s="1185"/>
      <c r="J147" s="655">
        <v>3</v>
      </c>
      <c r="K147" s="656">
        <f>P19</f>
        <v>1000</v>
      </c>
      <c r="L147" s="656">
        <f t="shared" ref="L147:O147" si="130">Q19</f>
        <v>3</v>
      </c>
      <c r="M147" s="656">
        <f t="shared" si="130"/>
        <v>-47</v>
      </c>
      <c r="N147" s="656">
        <f t="shared" si="130"/>
        <v>25</v>
      </c>
      <c r="O147" s="656">
        <f t="shared" si="130"/>
        <v>0.59</v>
      </c>
    </row>
    <row r="148" spans="1:16">
      <c r="A148" s="1185"/>
      <c r="B148" s="655">
        <v>4</v>
      </c>
      <c r="C148" s="656">
        <f>B42</f>
        <v>250</v>
      </c>
      <c r="D148" s="656">
        <f t="shared" ref="D148:G148" si="131">C42</f>
        <v>9.9999999999999995E-7</v>
      </c>
      <c r="E148" s="656">
        <f t="shared" si="131"/>
        <v>9.9999999999999995E-7</v>
      </c>
      <c r="F148" s="656">
        <f t="shared" si="131"/>
        <v>0</v>
      </c>
      <c r="G148" s="656">
        <f t="shared" si="131"/>
        <v>0.47</v>
      </c>
      <c r="I148" s="1185"/>
      <c r="J148" s="655">
        <v>4</v>
      </c>
      <c r="K148" s="656">
        <f>B50</f>
        <v>1000</v>
      </c>
      <c r="L148" s="656">
        <f t="shared" ref="L148:O148" si="132">C50</f>
        <v>2</v>
      </c>
      <c r="M148" s="656">
        <f t="shared" si="132"/>
        <v>1.2E-2</v>
      </c>
      <c r="N148" s="656">
        <f t="shared" si="132"/>
        <v>0.99399999999999999</v>
      </c>
      <c r="O148" s="656">
        <f t="shared" si="132"/>
        <v>0.28999999999999998</v>
      </c>
    </row>
    <row r="149" spans="1:16">
      <c r="A149" s="1185"/>
      <c r="B149" s="655">
        <v>5</v>
      </c>
      <c r="C149" s="656">
        <f>I42</f>
        <v>250</v>
      </c>
      <c r="D149" s="656">
        <f t="shared" ref="D149:G149" si="133">J42</f>
        <v>9.9999999999999995E-7</v>
      </c>
      <c r="E149" s="656">
        <f t="shared" si="133"/>
        <v>9.9999999999999995E-7</v>
      </c>
      <c r="F149" s="656">
        <f t="shared" si="133"/>
        <v>0</v>
      </c>
      <c r="G149" s="656">
        <f t="shared" si="133"/>
        <v>0.47</v>
      </c>
      <c r="I149" s="1185"/>
      <c r="J149" s="655">
        <v>5</v>
      </c>
      <c r="K149" s="656">
        <f>I50</f>
        <v>1000</v>
      </c>
      <c r="L149" s="656">
        <f t="shared" ref="L149:O149" si="134">J50</f>
        <v>15</v>
      </c>
      <c r="M149" s="656">
        <f t="shared" si="134"/>
        <v>2E-3</v>
      </c>
      <c r="N149" s="656">
        <f t="shared" si="134"/>
        <v>7.4989999999999997</v>
      </c>
      <c r="O149" s="656">
        <f t="shared" si="134"/>
        <v>0.28999999999999998</v>
      </c>
    </row>
    <row r="150" spans="1:16">
      <c r="A150" s="1185"/>
      <c r="B150" s="655">
        <v>6</v>
      </c>
      <c r="C150" s="656">
        <f>P42</f>
        <v>250</v>
      </c>
      <c r="D150" s="656">
        <f t="shared" ref="D150:G150" si="135">Q42</f>
        <v>9.9999999999999995E-7</v>
      </c>
      <c r="E150" s="656">
        <f t="shared" si="135"/>
        <v>9.9999999999999995E-7</v>
      </c>
      <c r="F150" s="656">
        <f t="shared" si="135"/>
        <v>0</v>
      </c>
      <c r="G150" s="656">
        <f t="shared" si="135"/>
        <v>1.2</v>
      </c>
      <c r="I150" s="1185"/>
      <c r="J150" s="655">
        <v>6</v>
      </c>
      <c r="K150" s="656">
        <f>P50</f>
        <v>1000</v>
      </c>
      <c r="L150" s="656">
        <f t="shared" ref="L150:O150" si="136">Q50</f>
        <v>13</v>
      </c>
      <c r="M150" s="656">
        <f t="shared" si="136"/>
        <v>5.0000000000000001E-3</v>
      </c>
      <c r="N150" s="656">
        <f t="shared" si="136"/>
        <v>6.4974999999999996</v>
      </c>
      <c r="O150" s="656">
        <f t="shared" si="136"/>
        <v>0.59</v>
      </c>
    </row>
    <row r="151" spans="1:16">
      <c r="A151" s="1185"/>
      <c r="B151" s="655">
        <v>7</v>
      </c>
      <c r="C151" s="656">
        <f>B73</f>
        <v>250</v>
      </c>
      <c r="D151" s="656">
        <f t="shared" ref="D151:G151" si="137">C73</f>
        <v>9.9999999999999995E-7</v>
      </c>
      <c r="E151" s="656">
        <f t="shared" si="137"/>
        <v>9.9999999999999995E-7</v>
      </c>
      <c r="F151" s="656">
        <f t="shared" si="137"/>
        <v>0</v>
      </c>
      <c r="G151" s="656">
        <f t="shared" si="137"/>
        <v>1.2</v>
      </c>
      <c r="I151" s="1185"/>
      <c r="J151" s="655">
        <v>7</v>
      </c>
      <c r="K151" s="656">
        <f>B81</f>
        <v>1000</v>
      </c>
      <c r="L151" s="656">
        <f t="shared" ref="L151:O151" si="138">C81</f>
        <v>5</v>
      </c>
      <c r="M151" s="656">
        <f t="shared" si="138"/>
        <v>4</v>
      </c>
      <c r="N151" s="656">
        <f t="shared" si="138"/>
        <v>0.5</v>
      </c>
      <c r="O151" s="656">
        <f t="shared" si="138"/>
        <v>0.59</v>
      </c>
    </row>
    <row r="152" spans="1:16">
      <c r="A152" s="1185"/>
      <c r="B152" s="655">
        <v>8</v>
      </c>
      <c r="C152" s="656">
        <f>I73</f>
        <v>250</v>
      </c>
      <c r="D152" s="656">
        <f t="shared" ref="D152:G152" si="139">J73</f>
        <v>9.9999999999999995E-7</v>
      </c>
      <c r="E152" s="656">
        <f t="shared" si="139"/>
        <v>9.9999999999999995E-7</v>
      </c>
      <c r="F152" s="656">
        <f t="shared" si="139"/>
        <v>0</v>
      </c>
      <c r="G152" s="656">
        <f t="shared" si="139"/>
        <v>1.2</v>
      </c>
      <c r="I152" s="1185"/>
      <c r="J152" s="655">
        <v>8</v>
      </c>
      <c r="K152" s="656">
        <f>I81</f>
        <v>1000</v>
      </c>
      <c r="L152" s="656">
        <f t="shared" ref="L152:O152" si="140">J81</f>
        <v>9.9999999999999995E-7</v>
      </c>
      <c r="M152" s="656">
        <f t="shared" si="140"/>
        <v>80</v>
      </c>
      <c r="N152" s="656">
        <f t="shared" si="140"/>
        <v>39.999999500000001</v>
      </c>
      <c r="O152" s="656">
        <f t="shared" si="140"/>
        <v>0.59</v>
      </c>
    </row>
    <row r="153" spans="1:16">
      <c r="A153" s="1185"/>
      <c r="B153" s="655">
        <v>9</v>
      </c>
      <c r="C153" s="656">
        <f>P73</f>
        <v>250</v>
      </c>
      <c r="D153" s="656">
        <f t="shared" ref="D153:G153" si="141">Q73</f>
        <v>9.9999999999999995E-7</v>
      </c>
      <c r="E153" s="656">
        <f t="shared" si="141"/>
        <v>-0.15</v>
      </c>
      <c r="F153" s="656">
        <f t="shared" si="141"/>
        <v>7.5000499999999998E-2</v>
      </c>
      <c r="G153" s="656">
        <f t="shared" si="141"/>
        <v>1.2</v>
      </c>
      <c r="I153" s="1185"/>
      <c r="J153" s="655">
        <v>9</v>
      </c>
      <c r="K153" s="656">
        <f>P81</f>
        <v>1000</v>
      </c>
      <c r="L153" s="656">
        <f t="shared" ref="L153:O153" si="142">Q81</f>
        <v>-97</v>
      </c>
      <c r="M153" s="656">
        <f t="shared" si="142"/>
        <v>-74</v>
      </c>
      <c r="N153" s="656">
        <f t="shared" si="142"/>
        <v>11.5</v>
      </c>
      <c r="O153" s="656">
        <f t="shared" si="142"/>
        <v>0.59</v>
      </c>
    </row>
    <row r="154" spans="1:16">
      <c r="A154" s="651"/>
      <c r="B154" s="652"/>
      <c r="C154" s="652"/>
      <c r="O154" s="658"/>
    </row>
    <row r="155" spans="1:16" ht="13.8">
      <c r="A155" s="1186" t="s">
        <v>24</v>
      </c>
      <c r="B155" s="1182" t="s">
        <v>212</v>
      </c>
      <c r="C155" s="1187" t="s">
        <v>242</v>
      </c>
      <c r="D155" s="1187"/>
      <c r="E155" s="1187"/>
      <c r="F155" s="1187"/>
      <c r="G155" s="1187"/>
      <c r="H155" s="482"/>
      <c r="I155" s="1186" t="s">
        <v>24</v>
      </c>
      <c r="J155" s="1182" t="s">
        <v>212</v>
      </c>
      <c r="K155" s="1183" t="s">
        <v>242</v>
      </c>
      <c r="L155" s="1183"/>
      <c r="M155" s="1183"/>
      <c r="N155" s="1183"/>
      <c r="O155" s="1183"/>
      <c r="P155" s="487"/>
    </row>
    <row r="156" spans="1:16">
      <c r="A156" s="1186"/>
      <c r="B156" s="1182"/>
      <c r="C156" s="1184" t="str">
        <f>B20</f>
        <v>Main-PE</v>
      </c>
      <c r="D156" s="1184"/>
      <c r="E156" s="1184"/>
      <c r="F156" s="625" t="s">
        <v>244</v>
      </c>
      <c r="G156" s="625" t="s">
        <v>94</v>
      </c>
      <c r="I156" s="1186"/>
      <c r="J156" s="1182"/>
      <c r="K156" s="1184" t="str">
        <f>B26</f>
        <v>Resistance</v>
      </c>
      <c r="L156" s="1184"/>
      <c r="M156" s="1184"/>
      <c r="N156" s="625" t="s">
        <v>244</v>
      </c>
      <c r="O156" s="625" t="s">
        <v>94</v>
      </c>
    </row>
    <row r="157" spans="1:16" ht="14.4">
      <c r="A157" s="1186"/>
      <c r="B157" s="1182"/>
      <c r="C157" s="626" t="s">
        <v>512</v>
      </c>
      <c r="D157" s="625"/>
      <c r="E157" s="625"/>
      <c r="F157" s="625"/>
      <c r="G157" s="625"/>
      <c r="I157" s="1186"/>
      <c r="J157" s="1182"/>
      <c r="K157" s="626" t="s">
        <v>513</v>
      </c>
      <c r="L157" s="625"/>
      <c r="M157" s="625"/>
      <c r="N157" s="625"/>
      <c r="O157" s="625"/>
    </row>
    <row r="158" spans="1:16" ht="13.8">
      <c r="A158" s="1181" t="s">
        <v>42</v>
      </c>
      <c r="B158" s="659">
        <v>1</v>
      </c>
      <c r="C158" s="656">
        <f>B22</f>
        <v>10</v>
      </c>
      <c r="D158" s="656" t="str">
        <f t="shared" ref="D158:G158" si="143">C22</f>
        <v>-</v>
      </c>
      <c r="E158" s="656">
        <f t="shared" si="143"/>
        <v>9.9999999999999995E-7</v>
      </c>
      <c r="F158" s="656">
        <f t="shared" si="143"/>
        <v>0</v>
      </c>
      <c r="G158" s="656">
        <f t="shared" si="143"/>
        <v>1.4</v>
      </c>
      <c r="I158" s="1181" t="s">
        <v>42</v>
      </c>
      <c r="J158" s="659">
        <v>1</v>
      </c>
      <c r="K158" s="484">
        <f>B28</f>
        <v>0.01</v>
      </c>
      <c r="L158" s="484">
        <f t="shared" ref="L158:O158" si="144">C28</f>
        <v>9.9999999999999995E-7</v>
      </c>
      <c r="M158" s="484">
        <f t="shared" si="144"/>
        <v>9.9999999999999995E-7</v>
      </c>
      <c r="N158" s="484">
        <f t="shared" si="144"/>
        <v>0</v>
      </c>
      <c r="O158" s="484">
        <f t="shared" si="144"/>
        <v>0.43</v>
      </c>
    </row>
    <row r="159" spans="1:16">
      <c r="A159" s="1181"/>
      <c r="B159" s="659">
        <v>2</v>
      </c>
      <c r="C159" s="656">
        <f>I22</f>
        <v>10</v>
      </c>
      <c r="D159" s="656">
        <f t="shared" ref="D159:G159" si="145">J22</f>
        <v>0</v>
      </c>
      <c r="E159" s="656">
        <f t="shared" si="145"/>
        <v>0.1</v>
      </c>
      <c r="F159" s="656">
        <f t="shared" si="145"/>
        <v>0.05</v>
      </c>
      <c r="G159" s="656">
        <f t="shared" si="145"/>
        <v>1.3</v>
      </c>
      <c r="I159" s="1181"/>
      <c r="J159" s="659">
        <v>2</v>
      </c>
      <c r="K159" s="656">
        <f>I28</f>
        <v>0.01</v>
      </c>
      <c r="L159" s="656">
        <f t="shared" ref="L159:O159" si="146">J28</f>
        <v>9.9999999999999995E-7</v>
      </c>
      <c r="M159" s="656">
        <f t="shared" si="146"/>
        <v>9.9999999999999995E-7</v>
      </c>
      <c r="N159" s="656">
        <f t="shared" si="146"/>
        <v>0</v>
      </c>
      <c r="O159" s="656">
        <f t="shared" si="146"/>
        <v>0.43</v>
      </c>
    </row>
    <row r="160" spans="1:16">
      <c r="A160" s="1181"/>
      <c r="B160" s="659">
        <v>3</v>
      </c>
      <c r="C160" s="656">
        <f>P22</f>
        <v>10</v>
      </c>
      <c r="D160" s="656">
        <f t="shared" ref="D160:G160" si="147">Q22</f>
        <v>9.9999999999999995E-7</v>
      </c>
      <c r="E160" s="656">
        <f t="shared" si="147"/>
        <v>9.9999999999999995E-7</v>
      </c>
      <c r="F160" s="656">
        <f t="shared" si="147"/>
        <v>0</v>
      </c>
      <c r="G160" s="656">
        <f t="shared" si="147"/>
        <v>5.1000000000000004E-2</v>
      </c>
      <c r="I160" s="1181"/>
      <c r="J160" s="659">
        <v>3</v>
      </c>
      <c r="K160" s="656">
        <f>P28</f>
        <v>0.01</v>
      </c>
      <c r="L160" s="656">
        <f t="shared" ref="L160:O160" si="148">Q28</f>
        <v>9.9999999999999995E-7</v>
      </c>
      <c r="M160" s="656">
        <f t="shared" si="148"/>
        <v>9.9999999999999995E-7</v>
      </c>
      <c r="N160" s="656">
        <f t="shared" si="148"/>
        <v>0</v>
      </c>
      <c r="O160" s="656">
        <f t="shared" si="148"/>
        <v>1.2</v>
      </c>
    </row>
    <row r="161" spans="1:15">
      <c r="A161" s="1181"/>
      <c r="B161" s="659">
        <v>4</v>
      </c>
      <c r="C161" s="656">
        <f>B53</f>
        <v>10</v>
      </c>
      <c r="D161" s="656">
        <f t="shared" ref="D161:G161" si="149">C53</f>
        <v>9.9999999999999995E-7</v>
      </c>
      <c r="E161" s="656">
        <f t="shared" si="149"/>
        <v>0.1</v>
      </c>
      <c r="F161" s="656">
        <f t="shared" si="149"/>
        <v>4.9999500000000002E-2</v>
      </c>
      <c r="G161" s="656">
        <f t="shared" si="149"/>
        <v>1.3</v>
      </c>
      <c r="I161" s="1181"/>
      <c r="J161" s="659">
        <v>4</v>
      </c>
      <c r="K161" s="656">
        <f>B59</f>
        <v>0.01</v>
      </c>
      <c r="L161" s="656">
        <f t="shared" ref="L161:O161" si="150">C59</f>
        <v>9.9999999999999995E-7</v>
      </c>
      <c r="M161" s="656">
        <f t="shared" si="150"/>
        <v>9.9999999999999995E-7</v>
      </c>
      <c r="N161" s="656">
        <f t="shared" si="150"/>
        <v>0</v>
      </c>
      <c r="O161" s="656">
        <f t="shared" si="150"/>
        <v>0.43</v>
      </c>
    </row>
    <row r="162" spans="1:15">
      <c r="A162" s="1181"/>
      <c r="B162" s="659">
        <v>5</v>
      </c>
      <c r="C162" s="656">
        <f>I53</f>
        <v>10</v>
      </c>
      <c r="D162" s="656">
        <f t="shared" ref="D162:G162" si="151">J53</f>
        <v>9.9999999999999995E-7</v>
      </c>
      <c r="E162" s="656">
        <f t="shared" si="151"/>
        <v>0.1</v>
      </c>
      <c r="F162" s="656">
        <f t="shared" si="151"/>
        <v>4.9999500000000002E-2</v>
      </c>
      <c r="G162" s="656">
        <f t="shared" si="151"/>
        <v>1.3</v>
      </c>
      <c r="I162" s="1181"/>
      <c r="J162" s="659">
        <v>5</v>
      </c>
      <c r="K162" s="656">
        <f>I59</f>
        <v>0.01</v>
      </c>
      <c r="L162" s="656">
        <f t="shared" ref="L162:O162" si="152">J59</f>
        <v>9.9999999999999995E-7</v>
      </c>
      <c r="M162" s="656">
        <f t="shared" si="152"/>
        <v>9.9999999999999995E-7</v>
      </c>
      <c r="N162" s="656">
        <f t="shared" si="152"/>
        <v>0</v>
      </c>
      <c r="O162" s="656">
        <f t="shared" si="152"/>
        <v>0.43</v>
      </c>
    </row>
    <row r="163" spans="1:15">
      <c r="A163" s="1181"/>
      <c r="B163" s="659">
        <v>6</v>
      </c>
      <c r="C163" s="656">
        <f>P53</f>
        <v>10</v>
      </c>
      <c r="D163" s="656">
        <f t="shared" ref="D163:G163" si="153">Q53</f>
        <v>9.9999999999999995E-7</v>
      </c>
      <c r="E163" s="656">
        <f t="shared" si="153"/>
        <v>0.1</v>
      </c>
      <c r="F163" s="656">
        <f t="shared" si="153"/>
        <v>4.9999500000000002E-2</v>
      </c>
      <c r="G163" s="656">
        <f t="shared" si="153"/>
        <v>1.7</v>
      </c>
      <c r="I163" s="1181"/>
      <c r="J163" s="659">
        <v>6</v>
      </c>
      <c r="K163" s="656">
        <f>P59</f>
        <v>0.01</v>
      </c>
      <c r="L163" s="656">
        <f t="shared" ref="L163:O163" si="154">Q59</f>
        <v>9.9999999999999995E-7</v>
      </c>
      <c r="M163" s="656">
        <f t="shared" si="154"/>
        <v>9.9999999999999995E-7</v>
      </c>
      <c r="N163" s="656">
        <f t="shared" si="154"/>
        <v>0</v>
      </c>
      <c r="O163" s="656">
        <f t="shared" si="154"/>
        <v>1.2</v>
      </c>
    </row>
    <row r="164" spans="1:15">
      <c r="A164" s="1181"/>
      <c r="B164" s="659">
        <v>7</v>
      </c>
      <c r="C164" s="656">
        <f>B84</f>
        <v>10</v>
      </c>
      <c r="D164" s="656" t="str">
        <f t="shared" ref="D164:G164" si="155">C84</f>
        <v>-</v>
      </c>
      <c r="E164" s="656">
        <f t="shared" si="155"/>
        <v>9.9999999999999995E-7</v>
      </c>
      <c r="F164" s="656">
        <f t="shared" si="155"/>
        <v>0</v>
      </c>
      <c r="G164" s="656">
        <f t="shared" si="155"/>
        <v>1.7</v>
      </c>
      <c r="I164" s="1181"/>
      <c r="J164" s="659">
        <v>7</v>
      </c>
      <c r="K164" s="656">
        <f>B90</f>
        <v>0.01</v>
      </c>
      <c r="L164" s="656">
        <f t="shared" ref="L164:O164" si="156">C90</f>
        <v>9.9999999999999995E-7</v>
      </c>
      <c r="M164" s="656">
        <f t="shared" si="156"/>
        <v>9.9999999999999995E-7</v>
      </c>
      <c r="N164" s="656">
        <f t="shared" si="156"/>
        <v>0</v>
      </c>
      <c r="O164" s="656">
        <f t="shared" si="156"/>
        <v>1.2</v>
      </c>
    </row>
    <row r="165" spans="1:15">
      <c r="A165" s="1181"/>
      <c r="B165" s="659">
        <v>8</v>
      </c>
      <c r="C165" s="656">
        <f>I84</f>
        <v>10</v>
      </c>
      <c r="D165" s="656">
        <f t="shared" ref="D165:G165" si="157">J84</f>
        <v>9.9999999999999995E-7</v>
      </c>
      <c r="E165" s="656">
        <f t="shared" si="157"/>
        <v>9.9999999999999995E-7</v>
      </c>
      <c r="F165" s="656">
        <f t="shared" si="157"/>
        <v>0</v>
      </c>
      <c r="G165" s="656">
        <f t="shared" si="157"/>
        <v>0</v>
      </c>
      <c r="I165" s="1181"/>
      <c r="J165" s="659">
        <v>8</v>
      </c>
      <c r="K165" s="656">
        <f>I90</f>
        <v>0.01</v>
      </c>
      <c r="L165" s="656">
        <f t="shared" ref="L165:O165" si="158">J90</f>
        <v>9.9999999999999995E-7</v>
      </c>
      <c r="M165" s="656">
        <f t="shared" si="158"/>
        <v>9.9999999999999995E-7</v>
      </c>
      <c r="N165" s="656">
        <f t="shared" si="158"/>
        <v>0</v>
      </c>
      <c r="O165" s="656">
        <f t="shared" si="158"/>
        <v>1.2</v>
      </c>
    </row>
    <row r="166" spans="1:15">
      <c r="A166" s="1181"/>
      <c r="B166" s="659">
        <v>9</v>
      </c>
      <c r="C166" s="656">
        <f>P84</f>
        <v>10</v>
      </c>
      <c r="D166" s="656">
        <f t="shared" ref="D166:F166" si="159">Q84</f>
        <v>9.9999999999999995E-7</v>
      </c>
      <c r="E166" s="656">
        <f t="shared" si="159"/>
        <v>9.9999999999999995E-7</v>
      </c>
      <c r="F166" s="656">
        <f t="shared" si="159"/>
        <v>0</v>
      </c>
      <c r="G166" s="656">
        <f>T84</f>
        <v>1.7</v>
      </c>
      <c r="I166" s="1181"/>
      <c r="J166" s="659">
        <v>9</v>
      </c>
      <c r="K166" s="656">
        <f>P90</f>
        <v>0.01</v>
      </c>
      <c r="L166" s="656">
        <f t="shared" ref="L166:O166" si="160">Q90</f>
        <v>9.9999999999999995E-7</v>
      </c>
      <c r="M166" s="656">
        <f t="shared" si="160"/>
        <v>9.9999999999999995E-7</v>
      </c>
      <c r="N166" s="656">
        <f t="shared" si="160"/>
        <v>0</v>
      </c>
      <c r="O166" s="656">
        <f t="shared" si="160"/>
        <v>1.2</v>
      </c>
    </row>
    <row r="167" spans="1:15">
      <c r="A167" s="1181" t="s">
        <v>43</v>
      </c>
      <c r="B167" s="659">
        <v>1</v>
      </c>
      <c r="C167" s="656">
        <f>B23</f>
        <v>20</v>
      </c>
      <c r="D167" s="656" t="str">
        <f t="shared" ref="D167:G167" si="161">C23</f>
        <v>-</v>
      </c>
      <c r="E167" s="656">
        <f t="shared" si="161"/>
        <v>9.9999999999999995E-7</v>
      </c>
      <c r="F167" s="656">
        <f t="shared" si="161"/>
        <v>0</v>
      </c>
      <c r="G167" s="656">
        <f t="shared" si="161"/>
        <v>1.4</v>
      </c>
      <c r="I167" s="1181" t="s">
        <v>43</v>
      </c>
      <c r="J167" s="659">
        <v>1</v>
      </c>
      <c r="K167" s="656">
        <f>B29</f>
        <v>0.1</v>
      </c>
      <c r="L167" s="656">
        <f t="shared" ref="L167:O167" si="162">C29</f>
        <v>2E-3</v>
      </c>
      <c r="M167" s="656">
        <f t="shared" si="162"/>
        <v>-1E-3</v>
      </c>
      <c r="N167" s="656">
        <f t="shared" si="162"/>
        <v>1.5E-3</v>
      </c>
      <c r="O167" s="656">
        <f t="shared" si="162"/>
        <v>0.43</v>
      </c>
    </row>
    <row r="168" spans="1:15">
      <c r="A168" s="1181"/>
      <c r="B168" s="659">
        <v>2</v>
      </c>
      <c r="C168" s="656">
        <f>I23</f>
        <v>20</v>
      </c>
      <c r="D168" s="656">
        <f t="shared" ref="D168:G168" si="163">J23</f>
        <v>0.1</v>
      </c>
      <c r="E168" s="656">
        <f t="shared" si="163"/>
        <v>0.2</v>
      </c>
      <c r="F168" s="656">
        <f t="shared" si="163"/>
        <v>0.05</v>
      </c>
      <c r="G168" s="656">
        <f t="shared" si="163"/>
        <v>1.3</v>
      </c>
      <c r="I168" s="1181"/>
      <c r="J168" s="659">
        <v>2</v>
      </c>
      <c r="K168" s="656">
        <f>I29</f>
        <v>0.1</v>
      </c>
      <c r="L168" s="656">
        <f t="shared" ref="L168:O168" si="164">J29</f>
        <v>5.0000000000000001E-3</v>
      </c>
      <c r="M168" s="656">
        <f t="shared" si="164"/>
        <v>6.0000000000000001E-3</v>
      </c>
      <c r="N168" s="656">
        <f t="shared" si="164"/>
        <v>5.0000000000000001E-4</v>
      </c>
      <c r="O168" s="656">
        <f t="shared" si="164"/>
        <v>0.43</v>
      </c>
    </row>
    <row r="169" spans="1:15">
      <c r="A169" s="1181"/>
      <c r="B169" s="659">
        <v>3</v>
      </c>
      <c r="C169" s="656">
        <f>P23</f>
        <v>20</v>
      </c>
      <c r="D169" s="656">
        <f t="shared" ref="D169:G169" si="165">Q23</f>
        <v>9.9999999999999995E-7</v>
      </c>
      <c r="E169" s="656">
        <f t="shared" si="165"/>
        <v>9.9999999999999995E-7</v>
      </c>
      <c r="F169" s="656">
        <f t="shared" si="165"/>
        <v>0</v>
      </c>
      <c r="G169" s="656">
        <f t="shared" si="165"/>
        <v>5.1000000000000004E-2</v>
      </c>
      <c r="I169" s="1181"/>
      <c r="J169" s="659">
        <v>3</v>
      </c>
      <c r="K169" s="656">
        <f>P29</f>
        <v>0.1</v>
      </c>
      <c r="L169" s="656">
        <f t="shared" ref="L169:O169" si="166">Q29</f>
        <v>9.9999999999999995E-7</v>
      </c>
      <c r="M169" s="656">
        <f t="shared" si="166"/>
        <v>9.9999999999999995E-7</v>
      </c>
      <c r="N169" s="656">
        <f t="shared" si="166"/>
        <v>0</v>
      </c>
      <c r="O169" s="656">
        <f t="shared" si="166"/>
        <v>1.2</v>
      </c>
    </row>
    <row r="170" spans="1:15">
      <c r="A170" s="1181"/>
      <c r="B170" s="659">
        <v>4</v>
      </c>
      <c r="C170" s="656">
        <f>B54</f>
        <v>20</v>
      </c>
      <c r="D170" s="656">
        <f t="shared" ref="D170:G170" si="167">C54</f>
        <v>0.1</v>
      </c>
      <c r="E170" s="656">
        <f t="shared" si="167"/>
        <v>0.2</v>
      </c>
      <c r="F170" s="656">
        <f t="shared" si="167"/>
        <v>0.05</v>
      </c>
      <c r="G170" s="656">
        <f t="shared" si="167"/>
        <v>1.3</v>
      </c>
      <c r="I170" s="1181"/>
      <c r="J170" s="659">
        <v>4</v>
      </c>
      <c r="K170" s="656">
        <f>B60</f>
        <v>0.1</v>
      </c>
      <c r="L170" s="656">
        <f t="shared" ref="L170:O170" si="168">C60</f>
        <v>6.0000000000000001E-3</v>
      </c>
      <c r="M170" s="656">
        <f t="shared" si="168"/>
        <v>9.9999999999999995E-7</v>
      </c>
      <c r="N170" s="656">
        <f t="shared" si="168"/>
        <v>2.9995E-3</v>
      </c>
      <c r="O170" s="656">
        <f t="shared" si="168"/>
        <v>0.43</v>
      </c>
    </row>
    <row r="171" spans="1:15">
      <c r="A171" s="1181"/>
      <c r="B171" s="659">
        <v>5</v>
      </c>
      <c r="C171" s="656">
        <f>I54</f>
        <v>20</v>
      </c>
      <c r="D171" s="656">
        <f t="shared" ref="D171:G171" si="169">J54</f>
        <v>0.1</v>
      </c>
      <c r="E171" s="656">
        <f t="shared" si="169"/>
        <v>0.1</v>
      </c>
      <c r="F171" s="656">
        <f t="shared" si="169"/>
        <v>0</v>
      </c>
      <c r="G171" s="656">
        <f t="shared" si="169"/>
        <v>1.3</v>
      </c>
      <c r="I171" s="1181"/>
      <c r="J171" s="659">
        <v>5</v>
      </c>
      <c r="K171" s="656">
        <f>I60</f>
        <v>0.1</v>
      </c>
      <c r="L171" s="656">
        <f t="shared" ref="L171:O171" si="170">J60</f>
        <v>2E-3</v>
      </c>
      <c r="M171" s="656">
        <f t="shared" si="170"/>
        <v>2E-3</v>
      </c>
      <c r="N171" s="656">
        <f t="shared" si="170"/>
        <v>0</v>
      </c>
      <c r="O171" s="656">
        <f t="shared" si="170"/>
        <v>0.43</v>
      </c>
    </row>
    <row r="172" spans="1:15">
      <c r="A172" s="1181"/>
      <c r="B172" s="659">
        <v>6</v>
      </c>
      <c r="C172" s="656">
        <f>P54</f>
        <v>20</v>
      </c>
      <c r="D172" s="656">
        <f t="shared" ref="D172:G172" si="171">Q54</f>
        <v>0.1</v>
      </c>
      <c r="E172" s="656">
        <f t="shared" si="171"/>
        <v>0.1</v>
      </c>
      <c r="F172" s="656">
        <f t="shared" si="171"/>
        <v>0</v>
      </c>
      <c r="G172" s="656">
        <f t="shared" si="171"/>
        <v>1.7</v>
      </c>
      <c r="I172" s="1181"/>
      <c r="J172" s="659">
        <v>6</v>
      </c>
      <c r="K172" s="656">
        <f>P60</f>
        <v>0.1</v>
      </c>
      <c r="L172" s="656">
        <f t="shared" ref="L172:O172" si="172">Q60</f>
        <v>1E-3</v>
      </c>
      <c r="M172" s="656">
        <f t="shared" si="172"/>
        <v>-2E-3</v>
      </c>
      <c r="N172" s="656">
        <f t="shared" si="172"/>
        <v>1.5E-3</v>
      </c>
      <c r="O172" s="656">
        <f t="shared" si="172"/>
        <v>1.2</v>
      </c>
    </row>
    <row r="173" spans="1:15">
      <c r="A173" s="1181"/>
      <c r="B173" s="659">
        <v>7</v>
      </c>
      <c r="C173" s="656">
        <f>B85</f>
        <v>20</v>
      </c>
      <c r="D173" s="656" t="str">
        <f t="shared" ref="D173:G173" si="173">C85</f>
        <v>-</v>
      </c>
      <c r="E173" s="656">
        <f t="shared" si="173"/>
        <v>0.1</v>
      </c>
      <c r="F173" s="656">
        <f t="shared" si="173"/>
        <v>0</v>
      </c>
      <c r="G173" s="656">
        <f t="shared" si="173"/>
        <v>1.7</v>
      </c>
      <c r="I173" s="1181"/>
      <c r="J173" s="659">
        <v>7</v>
      </c>
      <c r="K173" s="656">
        <f>B91</f>
        <v>0.1</v>
      </c>
      <c r="L173" s="656">
        <f t="shared" ref="L173:O173" si="174">C91</f>
        <v>9.9999999999999995E-7</v>
      </c>
      <c r="M173" s="656">
        <f t="shared" si="174"/>
        <v>9.9999999999999995E-7</v>
      </c>
      <c r="N173" s="656">
        <f t="shared" si="174"/>
        <v>0</v>
      </c>
      <c r="O173" s="656">
        <f t="shared" si="174"/>
        <v>1.2</v>
      </c>
    </row>
    <row r="174" spans="1:15">
      <c r="A174" s="1181"/>
      <c r="B174" s="659">
        <v>8</v>
      </c>
      <c r="C174" s="656">
        <f>I85</f>
        <v>20</v>
      </c>
      <c r="D174" s="656">
        <f t="shared" ref="D174:G174" si="175">J85</f>
        <v>9.9999999999999995E-7</v>
      </c>
      <c r="E174" s="656">
        <f t="shared" si="175"/>
        <v>9.9999999999999995E-7</v>
      </c>
      <c r="F174" s="656">
        <f t="shared" si="175"/>
        <v>0</v>
      </c>
      <c r="G174" s="656">
        <f t="shared" si="175"/>
        <v>0</v>
      </c>
      <c r="I174" s="1181"/>
      <c r="J174" s="659">
        <v>8</v>
      </c>
      <c r="K174" s="656">
        <f>I91</f>
        <v>0.1</v>
      </c>
      <c r="L174" s="656">
        <f t="shared" ref="L174:O174" si="176">J91</f>
        <v>9.9999999999999995E-7</v>
      </c>
      <c r="M174" s="656">
        <f t="shared" si="176"/>
        <v>-2E-3</v>
      </c>
      <c r="N174" s="656">
        <f t="shared" si="176"/>
        <v>1.0005000000000001E-3</v>
      </c>
      <c r="O174" s="656">
        <f t="shared" si="176"/>
        <v>1.2</v>
      </c>
    </row>
    <row r="175" spans="1:15">
      <c r="A175" s="1181"/>
      <c r="B175" s="659">
        <v>9</v>
      </c>
      <c r="C175" s="656">
        <f>P85</f>
        <v>20</v>
      </c>
      <c r="D175" s="656">
        <f t="shared" ref="D175:G175" si="177">Q85</f>
        <v>9.9999999999999995E-7</v>
      </c>
      <c r="E175" s="656">
        <f t="shared" si="177"/>
        <v>9.9999999999999995E-7</v>
      </c>
      <c r="F175" s="656">
        <f t="shared" si="177"/>
        <v>0</v>
      </c>
      <c r="G175" s="656">
        <f t="shared" si="177"/>
        <v>1.7</v>
      </c>
      <c r="I175" s="1181"/>
      <c r="J175" s="659">
        <v>9</v>
      </c>
      <c r="K175" s="656">
        <f>P91</f>
        <v>0.1</v>
      </c>
      <c r="L175" s="656">
        <f t="shared" ref="L175:O175" si="178">Q91</f>
        <v>-3.0000000000000001E-3</v>
      </c>
      <c r="M175" s="656">
        <f t="shared" si="178"/>
        <v>9.9999999999999995E-7</v>
      </c>
      <c r="N175" s="656">
        <f t="shared" si="178"/>
        <v>1.5005000000000001E-3</v>
      </c>
      <c r="O175" s="656">
        <f t="shared" si="178"/>
        <v>1.2</v>
      </c>
    </row>
    <row r="176" spans="1:15">
      <c r="A176" s="1181" t="s">
        <v>44</v>
      </c>
      <c r="B176" s="659">
        <v>1</v>
      </c>
      <c r="C176" s="656">
        <f>B24</f>
        <v>50</v>
      </c>
      <c r="D176" s="656" t="str">
        <f>C24</f>
        <v>-</v>
      </c>
      <c r="E176" s="656">
        <f>D24</f>
        <v>9.9999999999999995E-7</v>
      </c>
      <c r="F176" s="656">
        <f>E24</f>
        <v>0</v>
      </c>
      <c r="G176" s="656">
        <f>F24</f>
        <v>1.4</v>
      </c>
      <c r="I176" s="1181" t="s">
        <v>44</v>
      </c>
      <c r="J176" s="659">
        <v>1</v>
      </c>
      <c r="K176" s="656">
        <f>B30</f>
        <v>1</v>
      </c>
      <c r="L176" s="656">
        <f t="shared" ref="L176:O176" si="179">C30</f>
        <v>1.2E-2</v>
      </c>
      <c r="M176" s="656">
        <f t="shared" si="179"/>
        <v>4.0000000000000001E-3</v>
      </c>
      <c r="N176" s="656">
        <f t="shared" si="179"/>
        <v>4.0000000000000001E-3</v>
      </c>
      <c r="O176" s="656">
        <f t="shared" si="179"/>
        <v>0.43</v>
      </c>
    </row>
    <row r="177" spans="1:15">
      <c r="A177" s="1181"/>
      <c r="B177" s="659">
        <v>2</v>
      </c>
      <c r="C177" s="656">
        <f>I24</f>
        <v>50</v>
      </c>
      <c r="D177" s="656">
        <f>J24</f>
        <v>0.1</v>
      </c>
      <c r="E177" s="656">
        <f>K24</f>
        <v>0.3</v>
      </c>
      <c r="F177" s="656">
        <f>L24</f>
        <v>9.9999999999999992E-2</v>
      </c>
      <c r="G177" s="656">
        <f>M24</f>
        <v>1.3</v>
      </c>
      <c r="I177" s="1181"/>
      <c r="J177" s="659">
        <v>2</v>
      </c>
      <c r="K177" s="656">
        <f>I30</f>
        <v>1</v>
      </c>
      <c r="L177" s="656">
        <f t="shared" ref="L177:O177" si="180">J30</f>
        <v>5.5E-2</v>
      </c>
      <c r="M177" s="656">
        <f t="shared" si="180"/>
        <v>4.4999999999999998E-2</v>
      </c>
      <c r="N177" s="656">
        <f t="shared" si="180"/>
        <v>5.000000000000001E-3</v>
      </c>
      <c r="O177" s="656">
        <f t="shared" si="180"/>
        <v>0.43</v>
      </c>
    </row>
    <row r="178" spans="1:15">
      <c r="A178" s="1181"/>
      <c r="B178" s="659">
        <v>3</v>
      </c>
      <c r="C178" s="656">
        <f>P24</f>
        <v>50</v>
      </c>
      <c r="D178" s="656">
        <f>Q24</f>
        <v>0.3</v>
      </c>
      <c r="E178" s="656">
        <f t="shared" ref="E178:G178" si="181">R24</f>
        <v>0.1</v>
      </c>
      <c r="F178" s="656">
        <f t="shared" si="181"/>
        <v>9.9999999999999992E-2</v>
      </c>
      <c r="G178" s="656">
        <f t="shared" si="181"/>
        <v>5.1000000000000004E-2</v>
      </c>
      <c r="I178" s="1181"/>
      <c r="J178" s="659">
        <v>3</v>
      </c>
      <c r="K178" s="656">
        <f>P30</f>
        <v>1</v>
      </c>
      <c r="L178" s="656">
        <f t="shared" ref="L178:O178" si="182">Q30</f>
        <v>9.9999999999999995E-7</v>
      </c>
      <c r="M178" s="656">
        <f t="shared" si="182"/>
        <v>3.0000000000000001E-3</v>
      </c>
      <c r="N178" s="656">
        <f t="shared" si="182"/>
        <v>1.4995E-3</v>
      </c>
      <c r="O178" s="656">
        <f t="shared" si="182"/>
        <v>1.2</v>
      </c>
    </row>
    <row r="179" spans="1:15">
      <c r="A179" s="1181"/>
      <c r="B179" s="659">
        <v>4</v>
      </c>
      <c r="C179" s="656">
        <f>B55</f>
        <v>50</v>
      </c>
      <c r="D179" s="656">
        <f>C55</f>
        <v>0.3</v>
      </c>
      <c r="E179" s="656">
        <f>D55</f>
        <v>0.5</v>
      </c>
      <c r="F179" s="656">
        <f>E55</f>
        <v>0.1</v>
      </c>
      <c r="G179" s="656">
        <f>F55</f>
        <v>1.3</v>
      </c>
      <c r="I179" s="1181"/>
      <c r="J179" s="659">
        <v>4</v>
      </c>
      <c r="K179" s="656">
        <f>B61</f>
        <v>1</v>
      </c>
      <c r="L179" s="656">
        <f t="shared" ref="L179:O179" si="183">C61</f>
        <v>7.0000000000000001E-3</v>
      </c>
      <c r="M179" s="656">
        <f t="shared" si="183"/>
        <v>-1E-3</v>
      </c>
      <c r="N179" s="656">
        <f t="shared" si="183"/>
        <v>4.0000000000000001E-3</v>
      </c>
      <c r="O179" s="656">
        <f t="shared" si="183"/>
        <v>0.43</v>
      </c>
    </row>
    <row r="180" spans="1:15">
      <c r="A180" s="1181"/>
      <c r="B180" s="659">
        <v>5</v>
      </c>
      <c r="C180" s="656">
        <f>I55</f>
        <v>50</v>
      </c>
      <c r="D180" s="656">
        <f>J55</f>
        <v>0.3</v>
      </c>
      <c r="E180" s="656">
        <f>K55</f>
        <v>0.4</v>
      </c>
      <c r="F180" s="656">
        <f>L55</f>
        <v>5.0000000000000017E-2</v>
      </c>
      <c r="G180" s="656">
        <f>M55</f>
        <v>1.3</v>
      </c>
      <c r="I180" s="1181"/>
      <c r="J180" s="659">
        <v>5</v>
      </c>
      <c r="K180" s="656">
        <f>I61</f>
        <v>1</v>
      </c>
      <c r="L180" s="656">
        <f t="shared" ref="L180:O180" si="184">J61</f>
        <v>3.0000000000000001E-3</v>
      </c>
      <c r="M180" s="656">
        <f t="shared" si="184"/>
        <v>1.2E-2</v>
      </c>
      <c r="N180" s="656">
        <f t="shared" si="184"/>
        <v>4.5000000000000005E-3</v>
      </c>
      <c r="O180" s="656">
        <f t="shared" si="184"/>
        <v>0.43</v>
      </c>
    </row>
    <row r="181" spans="1:15">
      <c r="A181" s="1181"/>
      <c r="B181" s="659">
        <v>6</v>
      </c>
      <c r="C181" s="656">
        <f>P55</f>
        <v>50</v>
      </c>
      <c r="D181" s="656">
        <f>Q55</f>
        <v>0.3</v>
      </c>
      <c r="E181" s="656">
        <f t="shared" ref="E181:G181" si="185">R55</f>
        <v>0.3</v>
      </c>
      <c r="F181" s="656">
        <f t="shared" si="185"/>
        <v>0</v>
      </c>
      <c r="G181" s="656">
        <f t="shared" si="185"/>
        <v>1.7</v>
      </c>
      <c r="I181" s="1181"/>
      <c r="J181" s="659">
        <v>6</v>
      </c>
      <c r="K181" s="656">
        <f>P61</f>
        <v>1</v>
      </c>
      <c r="L181" s="656">
        <f t="shared" ref="L181:O181" si="186">Q61</f>
        <v>2E-3</v>
      </c>
      <c r="M181" s="656">
        <f t="shared" si="186"/>
        <v>-1E-3</v>
      </c>
      <c r="N181" s="656">
        <f t="shared" si="186"/>
        <v>1.5E-3</v>
      </c>
      <c r="O181" s="656">
        <f t="shared" si="186"/>
        <v>1.2</v>
      </c>
    </row>
    <row r="182" spans="1:15">
      <c r="A182" s="1181"/>
      <c r="B182" s="659">
        <v>7</v>
      </c>
      <c r="C182" s="656">
        <f>B86</f>
        <v>50</v>
      </c>
      <c r="D182" s="656" t="str">
        <f t="shared" ref="D182:G182" si="187">C86</f>
        <v>-</v>
      </c>
      <c r="E182" s="656">
        <f t="shared" si="187"/>
        <v>0.4</v>
      </c>
      <c r="F182" s="656">
        <f t="shared" si="187"/>
        <v>0</v>
      </c>
      <c r="G182" s="656">
        <f t="shared" si="187"/>
        <v>1.7</v>
      </c>
      <c r="I182" s="1181"/>
      <c r="J182" s="659">
        <v>7</v>
      </c>
      <c r="K182" s="656">
        <f>B92</f>
        <v>1</v>
      </c>
      <c r="L182" s="656">
        <f t="shared" ref="L182:O182" si="188">C92</f>
        <v>-2.3E-3</v>
      </c>
      <c r="M182" s="656">
        <f t="shared" si="188"/>
        <v>-2.3E-3</v>
      </c>
      <c r="N182" s="656">
        <f t="shared" si="188"/>
        <v>0</v>
      </c>
      <c r="O182" s="656">
        <f t="shared" si="188"/>
        <v>1.2</v>
      </c>
    </row>
    <row r="183" spans="1:15">
      <c r="A183" s="1181"/>
      <c r="B183" s="659">
        <v>8</v>
      </c>
      <c r="C183" s="656">
        <f>I86</f>
        <v>50</v>
      </c>
      <c r="D183" s="656">
        <f t="shared" ref="D183:G183" si="189">J86</f>
        <v>9.9999999999999995E-7</v>
      </c>
      <c r="E183" s="656">
        <f t="shared" si="189"/>
        <v>9.9999999999999995E-7</v>
      </c>
      <c r="F183" s="656">
        <f t="shared" si="189"/>
        <v>0</v>
      </c>
      <c r="G183" s="656">
        <f t="shared" si="189"/>
        <v>0</v>
      </c>
      <c r="I183" s="1181"/>
      <c r="J183" s="659">
        <v>8</v>
      </c>
      <c r="K183" s="656">
        <f>I92</f>
        <v>1</v>
      </c>
      <c r="L183" s="656">
        <f t="shared" ref="L183:O183" si="190">J92</f>
        <v>9.9999999999999995E-7</v>
      </c>
      <c r="M183" s="656">
        <f t="shared" si="190"/>
        <v>-1E-3</v>
      </c>
      <c r="N183" s="656">
        <f t="shared" si="190"/>
        <v>5.0049999999999997E-4</v>
      </c>
      <c r="O183" s="656">
        <f t="shared" si="190"/>
        <v>1.2</v>
      </c>
    </row>
    <row r="184" spans="1:15">
      <c r="A184" s="1181"/>
      <c r="B184" s="659">
        <v>9</v>
      </c>
      <c r="C184" s="656">
        <f>P86</f>
        <v>50</v>
      </c>
      <c r="D184" s="656">
        <f t="shared" ref="D184:G184" si="191">Q86</f>
        <v>9.9999999999999995E-7</v>
      </c>
      <c r="E184" s="656">
        <f t="shared" si="191"/>
        <v>0.2</v>
      </c>
      <c r="F184" s="656">
        <f t="shared" si="191"/>
        <v>9.9999500000000005E-2</v>
      </c>
      <c r="G184" s="656">
        <f t="shared" si="191"/>
        <v>1.7</v>
      </c>
      <c r="I184" s="1181"/>
      <c r="J184" s="659">
        <v>9</v>
      </c>
      <c r="K184" s="656">
        <f>P92</f>
        <v>1</v>
      </c>
      <c r="L184" s="656">
        <f t="shared" ref="L184:O184" si="192">Q92</f>
        <v>-1E-3</v>
      </c>
      <c r="M184" s="656">
        <f t="shared" si="192"/>
        <v>3.0000000000000001E-3</v>
      </c>
      <c r="N184" s="656">
        <f t="shared" si="192"/>
        <v>2E-3</v>
      </c>
      <c r="O184" s="656">
        <f t="shared" si="192"/>
        <v>1.2</v>
      </c>
    </row>
    <row r="185" spans="1:15">
      <c r="A185" s="1181" t="s">
        <v>45</v>
      </c>
      <c r="B185" s="659">
        <v>1</v>
      </c>
      <c r="C185" s="656">
        <f>B25</f>
        <v>100</v>
      </c>
      <c r="D185" s="656" t="str">
        <f t="shared" ref="D185:G185" si="193">C25</f>
        <v>-</v>
      </c>
      <c r="E185" s="656">
        <f t="shared" si="193"/>
        <v>-0.3</v>
      </c>
      <c r="F185" s="656">
        <f t="shared" si="193"/>
        <v>0</v>
      </c>
      <c r="G185" s="656">
        <f t="shared" si="193"/>
        <v>1.4</v>
      </c>
      <c r="I185" s="1181" t="s">
        <v>45</v>
      </c>
      <c r="J185" s="659">
        <v>1</v>
      </c>
      <c r="K185" s="656">
        <f>B31</f>
        <v>2</v>
      </c>
      <c r="L185" s="656">
        <f t="shared" ref="L185:O185" si="194">C31</f>
        <v>9.9999999999999995E-7</v>
      </c>
      <c r="M185" s="656">
        <f t="shared" si="194"/>
        <v>7.0000000000000001E-3</v>
      </c>
      <c r="N185" s="656">
        <f t="shared" si="194"/>
        <v>3.4995E-3</v>
      </c>
      <c r="O185" s="656">
        <f t="shared" si="194"/>
        <v>0.43</v>
      </c>
    </row>
    <row r="186" spans="1:15">
      <c r="A186" s="1181"/>
      <c r="B186" s="659">
        <v>2</v>
      </c>
      <c r="C186" s="656">
        <f>I25</f>
        <v>100</v>
      </c>
      <c r="D186" s="656">
        <f t="shared" ref="D186:G186" si="195">J25</f>
        <v>9.9999999999999995E-7</v>
      </c>
      <c r="E186" s="656">
        <f t="shared" si="195"/>
        <v>0.3</v>
      </c>
      <c r="F186" s="656">
        <f t="shared" si="195"/>
        <v>0.14999950000000001</v>
      </c>
      <c r="G186" s="656">
        <f t="shared" si="195"/>
        <v>1.3</v>
      </c>
      <c r="I186" s="1181"/>
      <c r="J186" s="659">
        <v>2</v>
      </c>
      <c r="K186" s="656">
        <f>I31</f>
        <v>2</v>
      </c>
      <c r="L186" s="656">
        <f t="shared" ref="L186:O186" si="196">J31</f>
        <v>9.9999999999999995E-7</v>
      </c>
      <c r="M186" s="656">
        <f t="shared" si="196"/>
        <v>9.9999999999999995E-7</v>
      </c>
      <c r="N186" s="656">
        <f t="shared" si="196"/>
        <v>0</v>
      </c>
      <c r="O186" s="656">
        <f t="shared" si="196"/>
        <v>0.43</v>
      </c>
    </row>
    <row r="187" spans="1:15">
      <c r="A187" s="1181"/>
      <c r="B187" s="659">
        <v>3</v>
      </c>
      <c r="C187" s="656">
        <f>P25</f>
        <v>100</v>
      </c>
      <c r="D187" s="656">
        <f t="shared" ref="D187:G187" si="197">Q25</f>
        <v>0.6</v>
      </c>
      <c r="E187" s="656">
        <f t="shared" si="197"/>
        <v>0.1</v>
      </c>
      <c r="F187" s="656">
        <f t="shared" si="197"/>
        <v>0.25</v>
      </c>
      <c r="G187" s="656">
        <f t="shared" si="197"/>
        <v>5.1000000000000004E-2</v>
      </c>
      <c r="I187" s="1181"/>
      <c r="J187" s="659">
        <v>3</v>
      </c>
      <c r="K187" s="656">
        <f>P31</f>
        <v>2</v>
      </c>
      <c r="L187" s="656">
        <f t="shared" ref="L187:O187" si="198">Q31</f>
        <v>9.9999999999999995E-7</v>
      </c>
      <c r="M187" s="656">
        <f t="shared" si="198"/>
        <v>4.0000000000000001E-3</v>
      </c>
      <c r="N187" s="656">
        <f t="shared" si="198"/>
        <v>1.9995E-3</v>
      </c>
      <c r="O187" s="656">
        <f t="shared" si="198"/>
        <v>1.2</v>
      </c>
    </row>
    <row r="188" spans="1:15">
      <c r="A188" s="1181"/>
      <c r="B188" s="659">
        <v>4</v>
      </c>
      <c r="C188" s="656">
        <f>B56</f>
        <v>100</v>
      </c>
      <c r="D188" s="656">
        <f t="shared" ref="D188:G188" si="199">C56</f>
        <v>0.6</v>
      </c>
      <c r="E188" s="656">
        <f t="shared" si="199"/>
        <v>1</v>
      </c>
      <c r="F188" s="656">
        <f t="shared" si="199"/>
        <v>0.2</v>
      </c>
      <c r="G188" s="656">
        <f t="shared" si="199"/>
        <v>1.3</v>
      </c>
      <c r="I188" s="1181"/>
      <c r="J188" s="659">
        <v>4</v>
      </c>
      <c r="K188" s="656">
        <f>B62</f>
        <v>2</v>
      </c>
      <c r="L188" s="656">
        <f t="shared" ref="L188:O188" si="200">C62</f>
        <v>9.9999999999999995E-7</v>
      </c>
      <c r="M188" s="656">
        <f t="shared" si="200"/>
        <v>9.9999999999999995E-7</v>
      </c>
      <c r="N188" s="656">
        <f t="shared" si="200"/>
        <v>0</v>
      </c>
      <c r="O188" s="656">
        <f t="shared" si="200"/>
        <v>0.43</v>
      </c>
    </row>
    <row r="189" spans="1:15">
      <c r="A189" s="1181"/>
      <c r="B189" s="659">
        <v>5</v>
      </c>
      <c r="C189" s="656">
        <f>I56</f>
        <v>100</v>
      </c>
      <c r="D189" s="656">
        <f t="shared" ref="D189:G189" si="201">J56</f>
        <v>1.3</v>
      </c>
      <c r="E189" s="656">
        <f t="shared" si="201"/>
        <v>0.8</v>
      </c>
      <c r="F189" s="656">
        <f t="shared" si="201"/>
        <v>0.25</v>
      </c>
      <c r="G189" s="656">
        <f t="shared" si="201"/>
        <v>1.3</v>
      </c>
      <c r="I189" s="1181"/>
      <c r="J189" s="659">
        <v>5</v>
      </c>
      <c r="K189" s="656">
        <f>I62</f>
        <v>2</v>
      </c>
      <c r="L189" s="656">
        <f t="shared" ref="L189:O189" si="202">J62</f>
        <v>9.9999999999999995E-7</v>
      </c>
      <c r="M189" s="656">
        <f t="shared" si="202"/>
        <v>9.9999999999999995E-7</v>
      </c>
      <c r="N189" s="656">
        <f t="shared" si="202"/>
        <v>0</v>
      </c>
      <c r="O189" s="656">
        <f t="shared" si="202"/>
        <v>0.43</v>
      </c>
    </row>
    <row r="190" spans="1:15">
      <c r="A190" s="1181"/>
      <c r="B190" s="659">
        <v>6</v>
      </c>
      <c r="C190" s="656">
        <f>P56</f>
        <v>100</v>
      </c>
      <c r="D190" s="656">
        <f t="shared" ref="D190:G190" si="203">Q56</f>
        <v>0.9</v>
      </c>
      <c r="E190" s="656">
        <f t="shared" si="203"/>
        <v>0.6</v>
      </c>
      <c r="F190" s="656">
        <f t="shared" si="203"/>
        <v>0.15000000000000002</v>
      </c>
      <c r="G190" s="656">
        <f t="shared" si="203"/>
        <v>1.7</v>
      </c>
      <c r="I190" s="1181"/>
      <c r="J190" s="659">
        <v>6</v>
      </c>
      <c r="K190" s="656">
        <f>P62</f>
        <v>2</v>
      </c>
      <c r="L190" s="656">
        <f t="shared" ref="L190:O190" si="204">Q62</f>
        <v>9.9999999999999995E-7</v>
      </c>
      <c r="M190" s="656">
        <f t="shared" si="204"/>
        <v>9.9999999999999995E-7</v>
      </c>
      <c r="N190" s="656">
        <f t="shared" si="204"/>
        <v>0</v>
      </c>
      <c r="O190" s="656">
        <f t="shared" si="204"/>
        <v>1.2</v>
      </c>
    </row>
    <row r="191" spans="1:15">
      <c r="A191" s="1181"/>
      <c r="B191" s="659">
        <v>7</v>
      </c>
      <c r="C191" s="656">
        <f>B87</f>
        <v>100</v>
      </c>
      <c r="D191" s="656" t="str">
        <f t="shared" ref="D191:G191" si="205">C87</f>
        <v>-</v>
      </c>
      <c r="E191" s="656">
        <f t="shared" si="205"/>
        <v>1.4</v>
      </c>
      <c r="F191" s="656">
        <f t="shared" si="205"/>
        <v>0</v>
      </c>
      <c r="G191" s="656">
        <f t="shared" si="205"/>
        <v>1.7</v>
      </c>
      <c r="I191" s="1181"/>
      <c r="J191" s="659">
        <v>7</v>
      </c>
      <c r="K191" s="656">
        <f>B93</f>
        <v>2</v>
      </c>
      <c r="L191" s="656">
        <f t="shared" ref="L191:O191" si="206">C93</f>
        <v>9.9999999999999995E-7</v>
      </c>
      <c r="M191" s="656">
        <f t="shared" si="206"/>
        <v>9.9999999999999995E-7</v>
      </c>
      <c r="N191" s="656">
        <f t="shared" si="206"/>
        <v>0</v>
      </c>
      <c r="O191" s="656">
        <f t="shared" si="206"/>
        <v>1.2</v>
      </c>
    </row>
    <row r="192" spans="1:15">
      <c r="A192" s="1181"/>
      <c r="B192" s="659">
        <v>8</v>
      </c>
      <c r="C192" s="656">
        <f>I87</f>
        <v>100</v>
      </c>
      <c r="D192" s="656">
        <f t="shared" ref="D192:G192" si="207">J87</f>
        <v>9.9999999999999995E-7</v>
      </c>
      <c r="E192" s="656">
        <f t="shared" si="207"/>
        <v>9.9999999999999995E-7</v>
      </c>
      <c r="F192" s="656">
        <f t="shared" si="207"/>
        <v>0</v>
      </c>
      <c r="G192" s="656">
        <f t="shared" si="207"/>
        <v>0</v>
      </c>
      <c r="I192" s="1181"/>
      <c r="J192" s="659">
        <v>8</v>
      </c>
      <c r="K192" s="656">
        <f>I93</f>
        <v>2</v>
      </c>
      <c r="L192" s="656">
        <f t="shared" ref="L192:O192" si="208">J93</f>
        <v>9.9999999999999995E-7</v>
      </c>
      <c r="M192" s="656">
        <f t="shared" si="208"/>
        <v>-6.0000000000000001E-3</v>
      </c>
      <c r="N192" s="656">
        <f t="shared" si="208"/>
        <v>3.0005000000000001E-3</v>
      </c>
      <c r="O192" s="656">
        <f t="shared" si="208"/>
        <v>1.2</v>
      </c>
    </row>
    <row r="193" spans="1:20">
      <c r="A193" s="1181"/>
      <c r="B193" s="659">
        <v>9</v>
      </c>
      <c r="C193" s="656">
        <f>P87</f>
        <v>100</v>
      </c>
      <c r="D193" s="656">
        <f t="shared" ref="D193:G193" si="209">Q87</f>
        <v>9.9999999999999995E-7</v>
      </c>
      <c r="E193" s="656">
        <f t="shared" si="209"/>
        <v>0.4</v>
      </c>
      <c r="F193" s="656">
        <f t="shared" si="209"/>
        <v>0.19999950000000002</v>
      </c>
      <c r="G193" s="656">
        <f t="shared" si="209"/>
        <v>1.7</v>
      </c>
      <c r="I193" s="1181"/>
      <c r="J193" s="659">
        <v>9</v>
      </c>
      <c r="K193" s="656">
        <f>P93</f>
        <v>2</v>
      </c>
      <c r="L193" s="656">
        <f t="shared" ref="L193:O193" si="210">Q93</f>
        <v>-6.0000000000000001E-3</v>
      </c>
      <c r="M193" s="656">
        <f t="shared" si="210"/>
        <v>4.0000000000000001E-3</v>
      </c>
      <c r="N193" s="656">
        <f t="shared" si="210"/>
        <v>5.0000000000000001E-3</v>
      </c>
      <c r="O193" s="656">
        <f t="shared" si="210"/>
        <v>1.2</v>
      </c>
    </row>
    <row r="194" spans="1:20" ht="13.8" thickBot="1">
      <c r="A194" s="651"/>
      <c r="B194" s="652"/>
      <c r="C194" s="652"/>
    </row>
    <row r="195" spans="1:20" ht="24.75" customHeight="1">
      <c r="A195" s="488">
        <f>A244</f>
        <v>7</v>
      </c>
      <c r="B195" s="1159" t="str">
        <f>A234</f>
        <v>Electrical Safety Analyzer, Merek : Fluke, Model : ESA 615, SN : 3699030</v>
      </c>
      <c r="C195" s="1159"/>
      <c r="D195" s="1159"/>
      <c r="E195" s="1160"/>
      <c r="F195" s="660"/>
      <c r="G195" s="1161" t="s">
        <v>256</v>
      </c>
      <c r="H195" s="1162"/>
      <c r="I195" s="1162"/>
      <c r="J195" s="1163"/>
      <c r="K195" s="660"/>
      <c r="L195" s="1164" t="s">
        <v>257</v>
      </c>
      <c r="M195" s="1167" t="s">
        <v>258</v>
      </c>
      <c r="N195" s="1170" t="s">
        <v>259</v>
      </c>
    </row>
    <row r="196" spans="1:20" ht="14.4" thickBot="1">
      <c r="A196" s="1172" t="s">
        <v>242</v>
      </c>
      <c r="B196" s="1173"/>
      <c r="C196" s="1173"/>
      <c r="D196" s="1173"/>
      <c r="E196" s="1174"/>
      <c r="F196" s="661"/>
      <c r="G196" s="489"/>
      <c r="H196" s="490">
        <f>IF($G$197&lt;=$A$200,A199,IF($G$197&lt;=$A$201,A200,IF($G$197&lt;=$A$202,A201,IF($G$197&lt;=$A$203,A202,IF($G$197&lt;=$A$204,A203,IF($G$197&gt;=$A$204,A204))))))</f>
        <v>250</v>
      </c>
      <c r="I196" s="490"/>
      <c r="J196" s="491">
        <f>IF($G$197&lt;=$A$200,C199,IF($G$197&lt;=$A$201,C200,IF($G$197&lt;=$A$202,C201,IF($G$197&lt;=$A$203,C202,IF($G$197&lt;=$A$204,C203,IF($G$197&gt;=$A$204,C204,))))))</f>
        <v>9.9999999999999995E-7</v>
      </c>
      <c r="K196" s="661"/>
      <c r="L196" s="1165"/>
      <c r="M196" s="1168"/>
      <c r="N196" s="1171"/>
    </row>
    <row r="197" spans="1:20" ht="13.8" thickBot="1">
      <c r="A197" s="1175" t="str">
        <f>B4</f>
        <v>Setting VAC</v>
      </c>
      <c r="B197" s="1176"/>
      <c r="C197" s="1176"/>
      <c r="D197" s="1177" t="s">
        <v>244</v>
      </c>
      <c r="E197" s="1179" t="s">
        <v>94</v>
      </c>
      <c r="F197" s="661"/>
      <c r="G197" s="492" t="str">
        <f>L198</f>
        <v>-</v>
      </c>
      <c r="H197" s="490"/>
      <c r="I197" s="493" t="e">
        <f>((G197-H196)/(H198-H196)*(J198-J196)+J196)</f>
        <v>#VALUE!</v>
      </c>
      <c r="J197" s="491"/>
      <c r="K197" s="661"/>
      <c r="L197" s="1166"/>
      <c r="M197" s="1169"/>
      <c r="N197" s="1171"/>
    </row>
    <row r="198" spans="1:20" ht="15.6">
      <c r="A198" s="662" t="s">
        <v>245</v>
      </c>
      <c r="B198" s="624">
        <f>VLOOKUP(B195,A235:K243,9,FALSE)</f>
        <v>2019</v>
      </c>
      <c r="C198" s="624">
        <f>VLOOKUP(B195,A235:K243,10,FALSE)</f>
        <v>2020</v>
      </c>
      <c r="D198" s="1178"/>
      <c r="E198" s="1180"/>
      <c r="F198" s="661"/>
      <c r="G198" s="489"/>
      <c r="H198" s="490" t="str">
        <f>IF($G$197&lt;=$A$200,A200,IF($G$197&lt;=$A$201,A201,IF($G$197&lt;=$A$202,A202,IF($G$197&lt;=$A$203,A203,IF($G$197&lt;=$A$204,A204,IF($G$197&lt;="250","250",))))))</f>
        <v>250</v>
      </c>
      <c r="I198" s="490"/>
      <c r="J198" s="491">
        <f>IF($G$197&lt;=$A$200,C200,IF($G$197&lt;=$A$201,C201,IF($G$197&lt;=$A$202,C202,IF($G$197&lt;=$A$203,C203,IF($G$197&lt;=$A$204,C204,IF($G$197&lt;="250",C204,))))))</f>
        <v>9.9999999999999995E-7</v>
      </c>
      <c r="K198" s="661"/>
      <c r="L198" s="663" t="str">
        <f>ID!E18</f>
        <v>-</v>
      </c>
      <c r="M198" s="494" t="e">
        <f>L198+I197</f>
        <v>#VALUE!</v>
      </c>
      <c r="N198" s="495" t="str">
        <f>IF(L198="-","-",IF(L198=L198,M198,))</f>
        <v>-</v>
      </c>
      <c r="P198" s="628" t="s">
        <v>15</v>
      </c>
      <c r="Q198" s="496"/>
    </row>
    <row r="199" spans="1:20" ht="15.6">
      <c r="A199" s="497">
        <f>VLOOKUP($A195,$B100:$G108,2,(FALSE))</f>
        <v>150</v>
      </c>
      <c r="B199" s="498">
        <f>VLOOKUP($A$195,$B$100:$G$108,3,(FALSE))</f>
        <v>0.21</v>
      </c>
      <c r="C199" s="498">
        <f>VLOOKUP($A$195,$B$100:$G$108,4,(FALSE))</f>
        <v>0.21</v>
      </c>
      <c r="D199" s="498">
        <f>VLOOKUP($A$195,$B$100:$G$108,5,(FALSE))</f>
        <v>0</v>
      </c>
      <c r="E199" s="499">
        <f>VLOOKUP($A$195,$B$100:$G$108,6,(FALSE))</f>
        <v>1.2</v>
      </c>
      <c r="F199" s="661"/>
      <c r="G199" s="1156" t="s">
        <v>260</v>
      </c>
      <c r="H199" s="1157"/>
      <c r="I199" s="1157"/>
      <c r="J199" s="1158"/>
      <c r="K199" s="661"/>
      <c r="L199" s="664" t="str">
        <f>ID!I27</f>
        <v>-</v>
      </c>
      <c r="M199" s="500" t="e">
        <f>L199+I201</f>
        <v>#VALUE!</v>
      </c>
      <c r="N199" s="501" t="str">
        <f>IF(L199="OL","OL",IF(L199="NC","NC",IF(L199="-","-",IF(L199=L199,M199,))))</f>
        <v>-</v>
      </c>
      <c r="Q199" s="496"/>
    </row>
    <row r="200" spans="1:20" ht="15.6">
      <c r="A200" s="665">
        <f>VLOOKUP($A$195,$B$109:$G$117,2,(FALSE))</f>
        <v>180</v>
      </c>
      <c r="B200" s="666">
        <f>VLOOKUP($A$195,$B$109:$G$117,3,(FALSE))</f>
        <v>0.33</v>
      </c>
      <c r="C200" s="666">
        <f>VLOOKUP($A$195,$B$109:$G$117,4,(FALSE))</f>
        <v>0.33</v>
      </c>
      <c r="D200" s="666">
        <f>VLOOKUP($A$195,$B$109:$G$117,5,(FALSE))</f>
        <v>0</v>
      </c>
      <c r="E200" s="667">
        <f>VLOOKUP($A$195,$B$109:$G$117,6,(FALSE))</f>
        <v>1.2</v>
      </c>
      <c r="F200" s="661"/>
      <c r="G200" s="489"/>
      <c r="H200" s="490">
        <f>IF($G$201&lt;=$A$215,0,IF($G$201&lt;=$A$216,$A$215,IF($G$201&lt;=$A$217,$A$216,IF($G$201&lt;=$A$218,$A$217,))))</f>
        <v>0</v>
      </c>
      <c r="I200" s="490"/>
      <c r="J200" s="491">
        <f>IF($G$201&lt;=$A$215,0,IF($G$201&lt;=$A$216,$C$215,IF($G$201&lt;=$A$217,$C$216,IF($G$201&lt;=$A$218,$C$217,))))</f>
        <v>0</v>
      </c>
      <c r="K200" s="661"/>
      <c r="L200" s="668" t="str">
        <f>ID!I28</f>
        <v>-</v>
      </c>
      <c r="M200" s="502" t="e">
        <f>L200+I205</f>
        <v>#VALUE!</v>
      </c>
      <c r="N200" s="503" t="str">
        <f>IF(L200="OL","OL",IF(L200="NC","NC",IF(L200="-","-",IF(L200=L200,M200,))))</f>
        <v>-</v>
      </c>
      <c r="Q200" s="496"/>
      <c r="T200" s="496"/>
    </row>
    <row r="201" spans="1:20" ht="16.2" thickBot="1">
      <c r="A201" s="665">
        <f>VLOOKUP($A$195,$B$118:$G$126,2,(FALSE))</f>
        <v>200</v>
      </c>
      <c r="B201" s="666">
        <f>VLOOKUP($A$195,$B$118:$G$126,3,(FALSE))</f>
        <v>0.34</v>
      </c>
      <c r="C201" s="666">
        <f>VLOOKUP($A$195,$B$118:$G$126,4,(FALSE))</f>
        <v>0.34</v>
      </c>
      <c r="D201" s="666">
        <f>VLOOKUP($A$195,$B$118:$G$126,5,(FALSE))</f>
        <v>0</v>
      </c>
      <c r="E201" s="667">
        <f>VLOOKUP($A$195,$B$118:$G$126,6,(FALSE))</f>
        <v>1.2</v>
      </c>
      <c r="F201" s="661"/>
      <c r="G201" s="492" t="str">
        <f>L199</f>
        <v>-</v>
      </c>
      <c r="H201" s="490"/>
      <c r="I201" s="493" t="e">
        <f>((G201-H200)/(H202-H200)*(J202-J200)+J200)</f>
        <v>#VALUE!</v>
      </c>
      <c r="J201" s="491"/>
      <c r="K201" s="669" t="s">
        <v>409</v>
      </c>
      <c r="L201" s="664" t="str">
        <f>ID!I29</f>
        <v>-</v>
      </c>
      <c r="M201" s="504" t="e">
        <f>L201+I209</f>
        <v>#VALUE!</v>
      </c>
      <c r="N201" s="505" t="str">
        <f>IF(L201="-","-",IF(L201=L201,M201,))</f>
        <v>-</v>
      </c>
      <c r="Q201" s="496"/>
      <c r="T201" s="496"/>
    </row>
    <row r="202" spans="1:20" ht="16.2" thickBot="1">
      <c r="A202" s="665">
        <f>VLOOKUP($A$195,$B$127:$G$135,2,(FALSE))</f>
        <v>220</v>
      </c>
      <c r="B202" s="666">
        <f>VLOOKUP($A$195,$B$127:$G$135,3,(FALSE))</f>
        <v>0.37</v>
      </c>
      <c r="C202" s="666">
        <f>VLOOKUP($A$195,$B$127:$G$135,4,(FALSE))</f>
        <v>0.37</v>
      </c>
      <c r="D202" s="666">
        <f>VLOOKUP($A$195,$B$127:$G$135,5,(FALSE))</f>
        <v>0</v>
      </c>
      <c r="E202" s="667">
        <f>VLOOKUP($A$195,$B$127:$G$135,6,(FALSE))</f>
        <v>1.2</v>
      </c>
      <c r="F202" s="661"/>
      <c r="G202" s="489"/>
      <c r="H202" s="490">
        <f>IF($G$201&lt;=$A$215,$A$215,IF($G$201&lt;=$A$216,$A$216,IF($G$201&lt;=$A$217,$A$217,IF($G$201&lt;=$A$218,$A$218,))))</f>
        <v>0</v>
      </c>
      <c r="I202" s="490"/>
      <c r="J202" s="491">
        <f>IF($G$201&lt;=$A$215,$C$215,IF($G$201&lt;=$A$216,$C$216,IF($G$201&lt;=$A$217,$C$217,IF($G$201&lt;=$A$218,$C$218,))))</f>
        <v>0</v>
      </c>
      <c r="K202" s="669" t="s">
        <v>378</v>
      </c>
      <c r="L202" s="668">
        <f>ID!N29</f>
        <v>12</v>
      </c>
      <c r="M202" s="504">
        <f>L202+I213</f>
        <v>12.40800076</v>
      </c>
      <c r="N202" s="505">
        <f t="shared" ref="N202" si="211">IF(L202="-","-",IF(L202=L202,M202,))</f>
        <v>12.40800076</v>
      </c>
      <c r="Q202" s="496"/>
      <c r="T202" s="496"/>
    </row>
    <row r="203" spans="1:20" ht="15.6">
      <c r="A203" s="665">
        <f>VLOOKUP($A$195,$B$136:$G$144,2,(FALSE))</f>
        <v>230</v>
      </c>
      <c r="B203" s="666">
        <f>VLOOKUP($A$195,$B$136:$G$144,3,(FALSE))</f>
        <v>0.47</v>
      </c>
      <c r="C203" s="666">
        <f>VLOOKUP($A$195,$B$136:$G$144,4,(FALSE))</f>
        <v>0.47</v>
      </c>
      <c r="D203" s="666">
        <f>VLOOKUP($A$195,$B$136:$G$144,5,(FALSE))</f>
        <v>0</v>
      </c>
      <c r="E203" s="667">
        <f>VLOOKUP($A$195,$B$136:$G$144,6,(FALSE))</f>
        <v>1.2</v>
      </c>
      <c r="F203" s="661"/>
      <c r="G203" s="1156" t="s">
        <v>261</v>
      </c>
      <c r="H203" s="1157"/>
      <c r="I203" s="1157"/>
      <c r="J203" s="1158"/>
      <c r="K203" s="661"/>
      <c r="L203" s="506"/>
      <c r="M203" s="507"/>
      <c r="N203" s="508"/>
      <c r="Q203" s="496"/>
      <c r="T203" s="496"/>
    </row>
    <row r="204" spans="1:20" ht="16.2" thickBot="1">
      <c r="A204" s="670">
        <f>VLOOKUP($A$195,$B$145:$G$153,2,(FALSE))</f>
        <v>250</v>
      </c>
      <c r="B204" s="671">
        <f>VLOOKUP($A$195,$B$145:$G$153,3,(FALSE))</f>
        <v>9.9999999999999995E-7</v>
      </c>
      <c r="C204" s="671">
        <f>VLOOKUP($A$195,$B$145:$G$153,4,(FALSE))</f>
        <v>9.9999999999999995E-7</v>
      </c>
      <c r="D204" s="671">
        <f>VLOOKUP($A$195,$B$145:$G$153,5,(FALSE))</f>
        <v>0</v>
      </c>
      <c r="E204" s="672">
        <f>VLOOKUP($A$195,$B$145:$G$153,6,(FALSE))</f>
        <v>1.2</v>
      </c>
      <c r="F204" s="661"/>
      <c r="G204" s="489"/>
      <c r="H204" s="490">
        <f>IF($G$205&lt;=A222,A221,IF($G$205&lt;=A223,A222,IF($G$205&lt;=A224,A223,)))</f>
        <v>0</v>
      </c>
      <c r="I204" s="490"/>
      <c r="J204" s="509">
        <f>IF($G$205&lt;=A222,C221,IF($G$205&lt;=A223,C222,IF($G$205&lt;=A224,C223,)))</f>
        <v>0</v>
      </c>
      <c r="K204" s="661"/>
      <c r="L204" s="506"/>
      <c r="M204" s="507"/>
      <c r="N204" s="508"/>
      <c r="Q204" s="496"/>
      <c r="T204" s="496"/>
    </row>
    <row r="205" spans="1:20" ht="15.6">
      <c r="A205" s="1154" t="str">
        <f>B12</f>
        <v>Current Leakage</v>
      </c>
      <c r="B205" s="1155"/>
      <c r="C205" s="1155"/>
      <c r="D205" s="673" t="s">
        <v>244</v>
      </c>
      <c r="E205" s="674" t="s">
        <v>94</v>
      </c>
      <c r="F205" s="661"/>
      <c r="G205" s="510" t="str">
        <f>L200</f>
        <v>-</v>
      </c>
      <c r="H205" s="490"/>
      <c r="I205" s="493" t="e">
        <f>((G205-H204)/(H206-H204)*(J206-J204)+J204)</f>
        <v>#VALUE!</v>
      </c>
      <c r="J205" s="509"/>
      <c r="K205" s="661"/>
      <c r="L205" s="506"/>
      <c r="M205" s="507"/>
      <c r="N205" s="508"/>
      <c r="S205" s="675"/>
      <c r="T205" s="496"/>
    </row>
    <row r="206" spans="1:20" ht="15.6">
      <c r="A206" s="662" t="s">
        <v>247</v>
      </c>
      <c r="B206" s="624">
        <f>B198</f>
        <v>2019</v>
      </c>
      <c r="C206" s="624">
        <f>C198</f>
        <v>2020</v>
      </c>
      <c r="D206" s="624"/>
      <c r="E206" s="676"/>
      <c r="F206" s="661"/>
      <c r="G206" s="489"/>
      <c r="H206" s="490">
        <f>IF($G$205&lt;=A222,A222,IF($G$205&lt;=A223,A223,IF($G$205&lt;=A224,A224,)))</f>
        <v>0</v>
      </c>
      <c r="I206" s="490"/>
      <c r="J206" s="509">
        <f>IF($G$205&lt;=A222,C222,IF($G$205&lt;=A223,C223,IF($G$205&lt;=A224,C224,)))</f>
        <v>0</v>
      </c>
      <c r="K206" s="661"/>
      <c r="L206" s="506"/>
      <c r="M206" s="507"/>
      <c r="N206" s="508"/>
      <c r="T206" s="496"/>
    </row>
    <row r="207" spans="1:20">
      <c r="A207" s="677">
        <f>VLOOKUP($A$195,$J$100:$O$108,2,(FALSE))</f>
        <v>0</v>
      </c>
      <c r="B207" s="666">
        <f>VLOOKUP($A$195,$J$100:$O$108,3,(FALSE))</f>
        <v>9.9999999999999995E-7</v>
      </c>
      <c r="C207" s="666">
        <f>VLOOKUP($A$195,$J$100:$O$108,4,(FALSE))</f>
        <v>9.9999999999999995E-7</v>
      </c>
      <c r="D207" s="666">
        <f>VLOOKUP($A$195,$J$100:$O$108,5,(FALSE))</f>
        <v>0</v>
      </c>
      <c r="E207" s="667">
        <f>VLOOKUP($A$195,$J$100:$O$108,6,(FALSE))</f>
        <v>0.59</v>
      </c>
      <c r="F207" s="661"/>
      <c r="G207" s="1156" t="s">
        <v>262</v>
      </c>
      <c r="H207" s="1157"/>
      <c r="I207" s="1157"/>
      <c r="J207" s="1158"/>
      <c r="K207" s="661"/>
      <c r="L207" s="511"/>
      <c r="M207" s="511"/>
      <c r="N207" s="512"/>
    </row>
    <row r="208" spans="1:20">
      <c r="A208" s="677">
        <f>VLOOKUP($A$195,$J$109:$O$117,2,(FALSE))</f>
        <v>50</v>
      </c>
      <c r="B208" s="666">
        <f>VLOOKUP($A$195,$J$109:$O$117,3,(FALSE))</f>
        <v>1.7</v>
      </c>
      <c r="C208" s="666">
        <f>VLOOKUP($A$195,$J$109:$O$117,4,(FALSE))</f>
        <v>1.7</v>
      </c>
      <c r="D208" s="666">
        <f>VLOOKUP($A$195,$J$109:$O$117,5,(FALSE))</f>
        <v>0</v>
      </c>
      <c r="E208" s="667">
        <f>VLOOKUP($A$195,$J$109:$O$117,6,(FALSE))</f>
        <v>0.59</v>
      </c>
      <c r="F208" s="661"/>
      <c r="G208" s="489"/>
      <c r="H208" s="490">
        <f>IF(G209&lt;=$A$208,$A$207,IF(G209&lt;=$A$209,$A$208,IF(G209&lt;=$A$210,$A$209,IF(G209&lt;=$A$211,$A$210,IF(G209&lt;=$A$212,$A$211,)))))</f>
        <v>0</v>
      </c>
      <c r="I208" s="490"/>
      <c r="J208" s="491">
        <f>IF(G209&lt;=$A$208,$C$207,IF(G209&lt;=$A$209,$C$208,IF(G209&lt;=$A$210,$C$209,IF(G209&lt;=$A$211,$C$210,IF(G209&lt;=$A$212,$C$211,)))))</f>
        <v>0</v>
      </c>
      <c r="K208" s="661"/>
      <c r="L208" s="513"/>
      <c r="M208" s="513"/>
      <c r="N208" s="508"/>
    </row>
    <row r="209" spans="1:15">
      <c r="A209" s="677">
        <f>VLOOKUP($A$195,$J$118:$O$126,2,(FALSE))</f>
        <v>100</v>
      </c>
      <c r="B209" s="666">
        <f>VLOOKUP($A$195,$J$118:$O$126,3,(FALSE))</f>
        <v>1.7</v>
      </c>
      <c r="C209" s="666">
        <f>VLOOKUP($A$195,$J$118:$O$126,4,(FALSE))</f>
        <v>1.7</v>
      </c>
      <c r="D209" s="666">
        <f>VLOOKUP($A$195,$J$118:$O$126,5,(FALSE))</f>
        <v>0</v>
      </c>
      <c r="E209" s="667">
        <f>VLOOKUP($A$195,$J$118:$O$126,6,(FALSE))</f>
        <v>0.59</v>
      </c>
      <c r="F209" s="661"/>
      <c r="G209" s="514" t="str">
        <f>L201</f>
        <v>-</v>
      </c>
      <c r="H209" s="490"/>
      <c r="I209" s="515" t="e">
        <f>((G209-H208)/(H210-H208)*(J210-J208)+J208)</f>
        <v>#VALUE!</v>
      </c>
      <c r="J209" s="491"/>
      <c r="K209" s="661"/>
      <c r="L209" s="661"/>
      <c r="M209" s="661"/>
      <c r="N209" s="678"/>
    </row>
    <row r="210" spans="1:15" ht="13.8" thickBot="1">
      <c r="A210" s="677">
        <f>VLOOKUP($A$195,$J$127:$O$135,2,(FALSE))</f>
        <v>200</v>
      </c>
      <c r="B210" s="666">
        <f>VLOOKUP($A$195,$J$127:$O$135,3,(FALSE))</f>
        <v>0.4</v>
      </c>
      <c r="C210" s="666">
        <f>VLOOKUP($A$195,$J$127:$O$135,4,(FALSE))</f>
        <v>0.4</v>
      </c>
      <c r="D210" s="666">
        <f>VLOOKUP($A$195,$J$127:$O$135,5,(FALSE))</f>
        <v>0</v>
      </c>
      <c r="E210" s="667">
        <f>VLOOKUP($A$195,$J$127:$O$135,6,(FALSE))</f>
        <v>0.59</v>
      </c>
      <c r="F210" s="661"/>
      <c r="G210" s="516"/>
      <c r="H210" s="517">
        <f>IF(G209&lt;=$A$208,$A$208,IF(G209&lt;=$A$209,$A$209,IF(G209&lt;=$A$210,$A$210,IF(G209&lt;=$A$211,$A$211,IF(G209&lt;=$A$212,$A$212,)))))</f>
        <v>0</v>
      </c>
      <c r="I210" s="517"/>
      <c r="J210" s="518">
        <f>IF(G209&lt;=$A$208,$C$208,IF(G209&lt;=$A$209,$C$209,IF(G209&lt;=$A$210,$C$210,IF(G209&lt;=$A$211,$C$211,IF(G209&lt;=$A$212,$C$212,)))))</f>
        <v>0</v>
      </c>
      <c r="K210" s="661"/>
      <c r="L210" s="661"/>
      <c r="M210" s="661"/>
      <c r="N210" s="678"/>
    </row>
    <row r="211" spans="1:15">
      <c r="A211" s="677">
        <f>VLOOKUP($A$195,$J$136:$O$144,2,(FALSE))</f>
        <v>500</v>
      </c>
      <c r="B211" s="666">
        <f>VLOOKUP($A$195,$J$136:$O$144,3,(FALSE))</f>
        <v>3</v>
      </c>
      <c r="C211" s="666">
        <f>VLOOKUP($A$195,$J$136:$O$144,4,(FALSE))</f>
        <v>3</v>
      </c>
      <c r="D211" s="666">
        <f>VLOOKUP($A$195,$J$136:$O$144,5,(FALSE))</f>
        <v>0</v>
      </c>
      <c r="E211" s="667">
        <f>VLOOKUP($A$195,$J$136:$O$144,6,(FALSE))</f>
        <v>0.59</v>
      </c>
      <c r="F211" s="661"/>
      <c r="G211" s="1156" t="s">
        <v>262</v>
      </c>
      <c r="H211" s="1157"/>
      <c r="I211" s="1157"/>
      <c r="J211" s="1158"/>
      <c r="K211" s="661"/>
      <c r="L211" s="519"/>
      <c r="M211" s="519"/>
      <c r="N211" s="520"/>
      <c r="O211" s="521"/>
    </row>
    <row r="212" spans="1:15" ht="13.8" thickBot="1">
      <c r="A212" s="679">
        <f>VLOOKUP($A$195,$J$145:$O$153,2,(FALSE))</f>
        <v>1000</v>
      </c>
      <c r="B212" s="671">
        <f>VLOOKUP($A$195,$J$145:$O$153,3,(FALSE))</f>
        <v>5</v>
      </c>
      <c r="C212" s="671">
        <f>VLOOKUP($A$195,$J$145:$O$153,4,(FALSE))</f>
        <v>4</v>
      </c>
      <c r="D212" s="671">
        <f>VLOOKUP($A$195,$J$145:$O$153,5,(FALSE))</f>
        <v>0.5</v>
      </c>
      <c r="E212" s="672">
        <f>VLOOKUP($A$195,$J$145:$O$153,6,(FALSE))</f>
        <v>0.59</v>
      </c>
      <c r="F212" s="661"/>
      <c r="G212" s="489"/>
      <c r="H212" s="490">
        <f>IF(G213&lt;=$A$208,$A$207,IF(G213&lt;=$A$209,$A$208,IF(G213&lt;=$A$210,$A$209,IF(G213&lt;=$A$211,$A$210,IF(G213&lt;=$A$212,$A$211,)))))</f>
        <v>0</v>
      </c>
      <c r="I212" s="490"/>
      <c r="J212" s="491">
        <f>IF(G213&lt;=$A$208,$C$207,IF(G213&lt;=$A$209,$C$208,IF(G213&lt;=$A$210,$C$209,IF(G213&lt;=$A$211,$C$210,IF(G213&lt;=$A$212,$C$211,)))))</f>
        <v>9.9999999999999995E-7</v>
      </c>
      <c r="K212" s="661"/>
      <c r="L212" s="522"/>
      <c r="M212" s="522"/>
      <c r="N212" s="523"/>
      <c r="O212" s="524"/>
    </row>
    <row r="213" spans="1:15">
      <c r="A213" s="1154" t="str">
        <f>B20</f>
        <v>Main-PE</v>
      </c>
      <c r="B213" s="1155"/>
      <c r="C213" s="1155"/>
      <c r="D213" s="673" t="s">
        <v>244</v>
      </c>
      <c r="E213" s="674" t="s">
        <v>94</v>
      </c>
      <c r="F213" s="661"/>
      <c r="G213" s="514">
        <f>L202</f>
        <v>12</v>
      </c>
      <c r="H213" s="490"/>
      <c r="I213" s="515">
        <f>((G213-H212)/(H214-H212)*(J214-J212)+J212)</f>
        <v>0.40800075999999996</v>
      </c>
      <c r="J213" s="491"/>
      <c r="K213" s="661"/>
      <c r="L213" s="525"/>
      <c r="M213" s="522"/>
      <c r="N213" s="526"/>
      <c r="O213" s="527"/>
    </row>
    <row r="214" spans="1:15" ht="15" thickBot="1">
      <c r="A214" s="662" t="s">
        <v>512</v>
      </c>
      <c r="B214" s="624">
        <f>B206</f>
        <v>2019</v>
      </c>
      <c r="C214" s="624">
        <f>C206</f>
        <v>2020</v>
      </c>
      <c r="D214" s="624"/>
      <c r="E214" s="676"/>
      <c r="F214" s="661"/>
      <c r="G214" s="516"/>
      <c r="H214" s="517">
        <f>IF(G213&lt;=$A$208,$A$208,IF(G213&lt;=$A$209,$A$209,IF(G213&lt;=$A$210,$A$210,IF(G213&lt;=$A$211,$A$211,IF(G213&lt;=$A$212,$A$212,)))))</f>
        <v>50</v>
      </c>
      <c r="I214" s="517"/>
      <c r="J214" s="518">
        <f>IF(G213&lt;=$A$208,$C$208,IF(G213&lt;=$A$209,$C$209,IF(G213&lt;=$A$210,$C$210,IF(G213&lt;=$A$211,$C$211,IF(G213&lt;=$A$212,$C$212,)))))</f>
        <v>1.7</v>
      </c>
      <c r="K214" s="661"/>
      <c r="L214" s="522"/>
      <c r="M214" s="522"/>
      <c r="N214" s="523"/>
      <c r="O214" s="524"/>
    </row>
    <row r="215" spans="1:15">
      <c r="A215" s="677">
        <f>VLOOKUP($A$195,$B$158:$G$166,2,(FALSE))</f>
        <v>10</v>
      </c>
      <c r="B215" s="666" t="str">
        <f>VLOOKUP($A$195,$B$158:$G$166,3,(FALSE))</f>
        <v>-</v>
      </c>
      <c r="C215" s="666">
        <f>VLOOKUP($A$195,$B$158:$G$166,4,(FALSE))</f>
        <v>9.9999999999999995E-7</v>
      </c>
      <c r="D215" s="666">
        <f>VLOOKUP($A$195,$B$158:$G$166,5,(FALSE))</f>
        <v>0</v>
      </c>
      <c r="E215" s="680">
        <f>VLOOKUP($A$195,$B$158:$G$166,6,(FALSE))</f>
        <v>1.7</v>
      </c>
      <c r="F215" s="661"/>
      <c r="G215" s="1153" t="s">
        <v>262</v>
      </c>
      <c r="H215" s="1153"/>
      <c r="I215" s="1153"/>
      <c r="J215" s="1153"/>
      <c r="K215" s="661"/>
      <c r="L215" s="661"/>
      <c r="M215" s="661"/>
      <c r="N215" s="678"/>
    </row>
    <row r="216" spans="1:15">
      <c r="A216" s="677">
        <f>VLOOKUP($A$195,$B$167:$G$175,2,(FALSE))</f>
        <v>20</v>
      </c>
      <c r="B216" s="666" t="str">
        <f>VLOOKUP($A$195,$B$167:$G$175,3,(FALSE))</f>
        <v>-</v>
      </c>
      <c r="C216" s="666">
        <f>VLOOKUP($A$195,$B$167:$G$175,4,(FALSE))</f>
        <v>0.1</v>
      </c>
      <c r="D216" s="666">
        <f>VLOOKUP($A$195,$B$167:$G$175,5,(FALSE))</f>
        <v>0</v>
      </c>
      <c r="E216" s="680">
        <f>VLOOKUP($A$195,$B$167:$G$175,6,(FALSE))</f>
        <v>1.7</v>
      </c>
      <c r="F216" s="661"/>
      <c r="G216" s="528"/>
      <c r="H216" s="528">
        <f>IF(G217&lt;=$A$208,$A$207,IF(G217&lt;=$A$209,$A$208,IF(G217&lt;=$A$210,$A$209,IF(G217&lt;=$A$211,$A$210,IF(G217&lt;=$A$212,$A$211,)))))</f>
        <v>0</v>
      </c>
      <c r="I216" s="528"/>
      <c r="J216" s="529">
        <f>IF(G217&lt;=$A$208,$B$207,IF(G217&lt;=$A$209,$B$208,IF(G217&lt;=$A$210,$B$209,IF(G217&lt;=$A$211,$B$210,IF(G217&lt;=$A$212,$B$211,)))))</f>
        <v>9.9999999999999995E-7</v>
      </c>
      <c r="K216" s="661"/>
      <c r="L216" s="661"/>
      <c r="M216" s="661"/>
      <c r="N216" s="678"/>
    </row>
    <row r="217" spans="1:15">
      <c r="A217" s="677">
        <f>VLOOKUP($A$195,$B$176:$G$184,2,(FALSE))</f>
        <v>50</v>
      </c>
      <c r="B217" s="666" t="str">
        <f>VLOOKUP($A$195,$B$176:$G$184,3,(FALSE))</f>
        <v>-</v>
      </c>
      <c r="C217" s="666">
        <f>VLOOKUP($A$195,$B$176:$G$184,4,(FALSE))</f>
        <v>0.4</v>
      </c>
      <c r="D217" s="666">
        <f>VLOOKUP($A$195,$B$176:$G$184,5,(FALSE))</f>
        <v>0</v>
      </c>
      <c r="E217" s="680">
        <f>VLOOKUP($A$195,$B$176:$G$184,6,(FALSE))</f>
        <v>1.7</v>
      </c>
      <c r="F217" s="661"/>
      <c r="G217" s="529">
        <f>L203</f>
        <v>0</v>
      </c>
      <c r="H217" s="528"/>
      <c r="I217" s="529">
        <f>((G217-H216)/(H218-H216)*(J218-J216)+J216)</f>
        <v>9.9999999999999995E-7</v>
      </c>
      <c r="J217" s="529"/>
      <c r="K217" s="661"/>
      <c r="L217" s="661"/>
      <c r="M217" s="661"/>
      <c r="N217" s="678"/>
    </row>
    <row r="218" spans="1:15" ht="13.8" thickBot="1">
      <c r="A218" s="679">
        <f>VLOOKUP($A$195,$B$185:$G$193,2,(FALSE))</f>
        <v>100</v>
      </c>
      <c r="B218" s="671" t="str">
        <f>VLOOKUP($A$195,$B$185:$G$193,3,(FALSE))</f>
        <v>-</v>
      </c>
      <c r="C218" s="671">
        <f>VLOOKUP($A$195,$B$185:$G$193,4,(FALSE))</f>
        <v>1.4</v>
      </c>
      <c r="D218" s="671">
        <f>VLOOKUP($A$195,$B$185:$G$193,5,(FALSE))</f>
        <v>0</v>
      </c>
      <c r="E218" s="681">
        <f>VLOOKUP($A$195,$B$185:$G$193,6,(FALSE))</f>
        <v>1.7</v>
      </c>
      <c r="F218" s="661"/>
      <c r="G218" s="528"/>
      <c r="H218" s="528">
        <f>IF(G217&lt;=$A$208,$A$208,IF(G217&lt;=$A$209,$A$209,IF(G217&lt;=$A$210,$A$210,IF(G217&lt;=$A$211,$A$211,IF(G217&lt;=$A$212,$A$212,)))))</f>
        <v>50</v>
      </c>
      <c r="I218" s="528"/>
      <c r="J218" s="529">
        <f>IF(G217&lt;=$A$208,$B$208,IF(G217&lt;=$A$209,$B$209,IF(G217&lt;=$A$210,$B$210,IF(G217&lt;=$A$211,$B$211,IF(G217&lt;=$A$212,$B$212,)))))</f>
        <v>1.7</v>
      </c>
      <c r="K218" s="661"/>
      <c r="L218" s="661"/>
      <c r="M218" s="661"/>
      <c r="N218" s="678"/>
    </row>
    <row r="219" spans="1:15">
      <c r="A219" s="1154" t="str">
        <f>B26</f>
        <v>Resistance</v>
      </c>
      <c r="B219" s="1155"/>
      <c r="C219" s="1155"/>
      <c r="D219" s="673" t="s">
        <v>244</v>
      </c>
      <c r="E219" s="674" t="s">
        <v>94</v>
      </c>
      <c r="F219" s="661"/>
      <c r="G219" s="1153" t="s">
        <v>262</v>
      </c>
      <c r="H219" s="1153"/>
      <c r="I219" s="1153"/>
      <c r="J219" s="1153"/>
      <c r="K219" s="661"/>
      <c r="L219" s="661"/>
      <c r="M219" s="661"/>
      <c r="N219" s="678"/>
    </row>
    <row r="220" spans="1:15" ht="14.4">
      <c r="A220" s="662" t="s">
        <v>513</v>
      </c>
      <c r="B220" s="624">
        <f>B214</f>
        <v>2019</v>
      </c>
      <c r="C220" s="624">
        <f>C214</f>
        <v>2020</v>
      </c>
      <c r="D220" s="624"/>
      <c r="E220" s="676"/>
      <c r="F220" s="661"/>
      <c r="G220" s="528"/>
      <c r="H220" s="528">
        <f>IF(G221&lt;=$A$208,$A$207,IF(G221&lt;=$A$209,$A$208,IF(G221&lt;=$A$210,$A$209,IF(G221&lt;=$A$211,$A$210,IF(G221&lt;=$A$212,$A$211,)))))</f>
        <v>0</v>
      </c>
      <c r="I220" s="528"/>
      <c r="J220" s="529">
        <f>IF(G221&lt;=$A$208,$B$207,IF(G221&lt;=$A$209,$B$208,IF(G221&lt;=$A$210,$B$209,IF(G221&lt;=$A$211,$B$210,IF(G221&lt;=$A$212,$B$211,)))))</f>
        <v>9.9999999999999995E-7</v>
      </c>
      <c r="K220" s="661"/>
      <c r="L220" s="661"/>
      <c r="M220" s="661"/>
      <c r="N220" s="678"/>
    </row>
    <row r="221" spans="1:15" ht="13.8">
      <c r="A221" s="530">
        <f>VLOOKUP($A$195,$J$158:$O$166,2,(FALSE))</f>
        <v>0.01</v>
      </c>
      <c r="B221" s="531">
        <f>VLOOKUP($A$195,$J$158:$O$166,3,(FALSE))</f>
        <v>9.9999999999999995E-7</v>
      </c>
      <c r="C221" s="531">
        <f>VLOOKUP($A$195,$J$158:$O$166,4,(FALSE))</f>
        <v>9.9999999999999995E-7</v>
      </c>
      <c r="D221" s="703">
        <f>VLOOKUP($A$195,$J$158:$O$166,5,(FALSE))</f>
        <v>0</v>
      </c>
      <c r="E221" s="532">
        <f>VLOOKUP($A$195,$J$158:$O$166,6,(FALSE))</f>
        <v>1.2</v>
      </c>
      <c r="F221" s="661"/>
      <c r="G221" s="529">
        <f>L204</f>
        <v>0</v>
      </c>
      <c r="H221" s="528"/>
      <c r="I221" s="529">
        <f>((G221-H220)/(H222-H220)*(J222-J220)+J220)</f>
        <v>9.9999999999999995E-7</v>
      </c>
      <c r="J221" s="529"/>
      <c r="K221" s="661"/>
      <c r="L221" s="661"/>
      <c r="M221" s="661"/>
      <c r="N221" s="678"/>
    </row>
    <row r="222" spans="1:15" ht="13.8">
      <c r="A222" s="530">
        <f>VLOOKUP($A$195,$J$167:$O$175,2,(FALSE))</f>
        <v>0.1</v>
      </c>
      <c r="B222" s="531">
        <f>VLOOKUP($A$195,$J$167:$O$175,3,(FALSE))</f>
        <v>9.9999999999999995E-7</v>
      </c>
      <c r="C222" s="531">
        <f>VLOOKUP($A$195,$J$167:$O$175,4,(FALSE))</f>
        <v>9.9999999999999995E-7</v>
      </c>
      <c r="D222" s="531">
        <f>VLOOKUP($A$195,$J$167:$O$175,5,(FALSE))</f>
        <v>0</v>
      </c>
      <c r="E222" s="532">
        <f>VLOOKUP($A$195,$J$167:$O$175,6,(FALSE))</f>
        <v>1.2</v>
      </c>
      <c r="F222" s="661"/>
      <c r="G222" s="528"/>
      <c r="H222" s="528">
        <f>IF(G221&lt;=$A$208,$A$208,IF(G221&lt;=$A$209,$A$209,IF(G221&lt;=$A$210,$A$210,IF(G221&lt;=$A$211,$A$211,IF(G221&lt;=$A$212,$A$212,)))))</f>
        <v>50</v>
      </c>
      <c r="I222" s="528"/>
      <c r="J222" s="529">
        <f>IF(G221&lt;=$A$208,$B$208,IF(G221&lt;=$A$209,$B$209,IF(G221&lt;=$A$210,$B$210,IF(G221&lt;=$A$211,$B$211,IF(G221&lt;=$A$212,$B$212,)))))</f>
        <v>1.7</v>
      </c>
      <c r="K222" s="661"/>
      <c r="L222" s="661"/>
      <c r="M222" s="661"/>
      <c r="N222" s="678"/>
    </row>
    <row r="223" spans="1:15" ht="13.8">
      <c r="A223" s="530">
        <f>VLOOKUP($A$195,$J$176:$O$184,2,(FALSE))</f>
        <v>1</v>
      </c>
      <c r="B223" s="531">
        <f>VLOOKUP($A$195,$J$176:$O$184,3,(FALSE))</f>
        <v>-2.3E-3</v>
      </c>
      <c r="C223" s="531">
        <f>VLOOKUP($A$195,$J$176:$O$184,4,(FALSE))</f>
        <v>-2.3E-3</v>
      </c>
      <c r="D223" s="531">
        <f>VLOOKUP($A$195,$J$176:$O$184,5,(FALSE))</f>
        <v>0</v>
      </c>
      <c r="E223" s="532">
        <f>VLOOKUP($A$195,$J$176:$O$184,6,(FALSE))</f>
        <v>1.2</v>
      </c>
      <c r="F223" s="661"/>
      <c r="G223" s="1153" t="s">
        <v>262</v>
      </c>
      <c r="H223" s="1153"/>
      <c r="I223" s="1153"/>
      <c r="J223" s="1153"/>
      <c r="K223" s="661"/>
      <c r="L223" s="661"/>
      <c r="M223" s="661"/>
      <c r="N223" s="678"/>
    </row>
    <row r="224" spans="1:15" ht="14.4" thickBot="1">
      <c r="A224" s="533">
        <f>VLOOKUP($A$195,$J$185:$O$193,2,(FALSE))</f>
        <v>2</v>
      </c>
      <c r="B224" s="534">
        <f>VLOOKUP($A$195,$J$185:$O$193,3,(FALSE))</f>
        <v>9.9999999999999995E-7</v>
      </c>
      <c r="C224" s="535">
        <f>VLOOKUP($A$195,$J$185:$O$193,4,(FALSE))</f>
        <v>9.9999999999999995E-7</v>
      </c>
      <c r="D224" s="535">
        <f>VLOOKUP($A$195,$J$185:$O$193,5,(FALSE))</f>
        <v>0</v>
      </c>
      <c r="E224" s="536">
        <f>VLOOKUP($A$195,$J$185:$O$193,6,(FALSE))</f>
        <v>1.2</v>
      </c>
      <c r="F224" s="661"/>
      <c r="G224" s="528"/>
      <c r="H224" s="528">
        <f>IF(G225&lt;=$A$208,$A$207,IF(G225&lt;=$A$209,$A$208,IF(G225&lt;=$A$210,$A$209,IF(G225&lt;=$A$211,$A$210,IF(G225&lt;=$A$212,$A$211,)))))</f>
        <v>0</v>
      </c>
      <c r="I224" s="528"/>
      <c r="J224" s="529">
        <f>IF(G225&lt;=$A$208,$B$207,IF(G225&lt;=$A$209,$B$208,IF(G225&lt;=$A$210,$B$209,IF(G225&lt;=$A$211,$B$210,IF(G225&lt;=$A$212,$B$211,)))))</f>
        <v>9.9999999999999995E-7</v>
      </c>
      <c r="K224" s="661"/>
      <c r="L224" s="661"/>
      <c r="M224" s="661"/>
      <c r="N224" s="678"/>
    </row>
    <row r="225" spans="1:24">
      <c r="A225" s="682"/>
      <c r="B225" s="661"/>
      <c r="C225" s="661"/>
      <c r="D225" s="661"/>
      <c r="E225" s="661"/>
      <c r="F225" s="661"/>
      <c r="G225" s="529">
        <f>L205</f>
        <v>0</v>
      </c>
      <c r="H225" s="528"/>
      <c r="I225" s="529">
        <f>((G225-H224)/(H226-H224)*(J226-J224)+J224)</f>
        <v>9.9999999999999995E-7</v>
      </c>
      <c r="J225" s="529"/>
      <c r="K225" s="661"/>
      <c r="L225" s="661"/>
      <c r="M225" s="661"/>
      <c r="N225" s="678"/>
    </row>
    <row r="226" spans="1:24">
      <c r="A226" s="682"/>
      <c r="B226" s="661"/>
      <c r="C226" s="661"/>
      <c r="D226" s="661"/>
      <c r="E226" s="661"/>
      <c r="F226" s="661"/>
      <c r="G226" s="528"/>
      <c r="H226" s="528">
        <f>IF(G225&lt;=$A$208,$A$208,IF(G225&lt;=$A$209,$A$209,IF(G225&lt;=$A$210,$A$210,IF(G225&lt;=$A$211,$A$211,IF(G225&lt;=$A$212,$A$212,)))))</f>
        <v>50</v>
      </c>
      <c r="I226" s="528"/>
      <c r="J226" s="529">
        <f>IF(G225&lt;=$A$208,$B$208,IF(G225&lt;=$A$209,$B$209,IF(G225&lt;=$A$210,$B$210,IF(G225&lt;=$A$211,$B$211,IF(G225&lt;=$A$212,$B$212,)))))</f>
        <v>1.7</v>
      </c>
      <c r="K226" s="661"/>
      <c r="L226" s="661"/>
      <c r="M226" s="661"/>
      <c r="N226" s="678"/>
    </row>
    <row r="227" spans="1:24" ht="15.75" customHeight="1">
      <c r="A227" s="682"/>
      <c r="B227" s="661"/>
      <c r="C227" s="661"/>
      <c r="D227" s="661"/>
      <c r="E227" s="661"/>
      <c r="F227" s="661"/>
      <c r="G227" s="1153" t="s">
        <v>262</v>
      </c>
      <c r="H227" s="1153"/>
      <c r="I227" s="1153"/>
      <c r="J227" s="1153"/>
      <c r="K227" s="661"/>
      <c r="L227" s="661"/>
      <c r="M227" s="661"/>
      <c r="N227" s="678"/>
    </row>
    <row r="228" spans="1:24">
      <c r="A228" s="682"/>
      <c r="B228" s="661"/>
      <c r="C228" s="661"/>
      <c r="D228" s="661"/>
      <c r="E228" s="661"/>
      <c r="F228" s="661"/>
      <c r="G228" s="528"/>
      <c r="H228" s="528">
        <f>IF(G229&lt;=$A$208,$A$207,IF(G229&lt;=$A$209,$A$208,IF(G229&lt;=$A$210,$A$209,IF(G229&lt;=$A$211,$A$210,IF(G229&lt;=$A$212,$A$211,)))))</f>
        <v>0</v>
      </c>
      <c r="I228" s="528"/>
      <c r="J228" s="529">
        <f>IF(G229&lt;=$A$208,$B$207,IF(G229&lt;=$A$209,$B$208,IF(G229&lt;=$A$210,$B$209,IF(G229&lt;=$A$211,$B$210,IF(G229&lt;=$A$212,$B$211,)))))</f>
        <v>9.9999999999999995E-7</v>
      </c>
      <c r="K228" s="661"/>
      <c r="L228" s="661"/>
      <c r="M228" s="661"/>
      <c r="N228" s="678"/>
    </row>
    <row r="229" spans="1:24">
      <c r="A229" s="682"/>
      <c r="B229" s="661"/>
      <c r="C229" s="661"/>
      <c r="D229" s="661"/>
      <c r="E229" s="661"/>
      <c r="F229" s="661"/>
      <c r="G229" s="529">
        <f>L206</f>
        <v>0</v>
      </c>
      <c r="H229" s="528"/>
      <c r="I229" s="529">
        <f>((G229-H228)/(H230-H228)*(J230-J228)+J228)</f>
        <v>9.9999999999999995E-7</v>
      </c>
      <c r="J229" s="529"/>
      <c r="K229" s="661"/>
      <c r="L229" s="661"/>
      <c r="M229" s="661"/>
      <c r="N229" s="678"/>
    </row>
    <row r="230" spans="1:24" ht="13.8" thickBot="1">
      <c r="A230" s="683"/>
      <c r="B230" s="684"/>
      <c r="C230" s="684"/>
      <c r="D230" s="684"/>
      <c r="E230" s="684"/>
      <c r="F230" s="684"/>
      <c r="G230" s="537"/>
      <c r="H230" s="537">
        <f>IF(G229&lt;=$A$208,$A$208,IF(G229&lt;=$A$209,$A$209,IF(G229&lt;=$A$210,$A$210,IF(G229&lt;=$A$211,$A$211,IF(G229&lt;=$A$212,$A$212,)))))</f>
        <v>50</v>
      </c>
      <c r="I230" s="537"/>
      <c r="J230" s="538">
        <f>IF(G229&lt;=$A$208,$B$208,IF(G229&lt;=$A$209,$B$209,IF(G229&lt;=$A$210,$B$210,IF(G229&lt;=$A$211,$B$211,IF(G229&lt;=$A$212,$B$212,)))))</f>
        <v>1.7</v>
      </c>
      <c r="K230" s="684"/>
      <c r="L230" s="684"/>
      <c r="M230" s="684"/>
      <c r="N230" s="685"/>
    </row>
    <row r="233" spans="1:24" ht="13.8" thickBot="1"/>
    <row r="234" spans="1:24" ht="13.8">
      <c r="A234" s="856" t="str">
        <f>ID!B51</f>
        <v>Electrical Safety Analyzer, Merek : Fluke, Model : ESA 615, SN : 3699030</v>
      </c>
      <c r="B234" s="856"/>
      <c r="C234" s="856"/>
      <c r="D234" s="856"/>
      <c r="E234" s="856"/>
      <c r="F234" s="856"/>
      <c r="G234" s="856"/>
      <c r="H234" s="856"/>
      <c r="I234" s="856"/>
      <c r="J234" s="856"/>
      <c r="K234" s="856"/>
      <c r="L234" s="686"/>
      <c r="M234" s="1147">
        <f>A244</f>
        <v>7</v>
      </c>
      <c r="N234" s="1148"/>
      <c r="O234" s="1148"/>
      <c r="P234" s="1148"/>
      <c r="Q234" s="1148"/>
      <c r="R234" s="1148"/>
      <c r="S234" s="1148"/>
      <c r="T234" s="1148"/>
      <c r="U234" s="1148"/>
      <c r="V234" s="1148"/>
      <c r="W234" s="1148"/>
      <c r="X234" s="1149"/>
    </row>
    <row r="235" spans="1:24" ht="13.8">
      <c r="A235" s="856" t="s">
        <v>515</v>
      </c>
      <c r="B235" s="857"/>
      <c r="C235" s="857"/>
      <c r="D235" s="858"/>
      <c r="E235" s="858"/>
      <c r="F235" s="858"/>
      <c r="G235" s="858"/>
      <c r="H235" s="858"/>
      <c r="I235" s="859">
        <f>C5</f>
        <v>2019</v>
      </c>
      <c r="J235" s="859">
        <f>D5</f>
        <v>2020</v>
      </c>
      <c r="K235" s="860">
        <v>1</v>
      </c>
      <c r="L235" s="686"/>
      <c r="M235" s="849">
        <v>1</v>
      </c>
      <c r="N235" s="850" t="s">
        <v>352</v>
      </c>
      <c r="O235" s="851"/>
      <c r="P235" s="851"/>
      <c r="Q235" s="851"/>
      <c r="R235" s="851"/>
      <c r="S235" s="851"/>
      <c r="T235" s="851"/>
      <c r="U235" s="851"/>
      <c r="V235" s="851"/>
      <c r="W235" s="851"/>
      <c r="X235" s="852"/>
    </row>
    <row r="236" spans="1:24" ht="13.8">
      <c r="A236" s="856" t="s">
        <v>516</v>
      </c>
      <c r="B236" s="857"/>
      <c r="C236" s="857"/>
      <c r="D236" s="858"/>
      <c r="E236" s="858"/>
      <c r="F236" s="858"/>
      <c r="G236" s="858"/>
      <c r="H236" s="858"/>
      <c r="I236" s="859">
        <f>J5</f>
        <v>2017</v>
      </c>
      <c r="J236" s="859">
        <f>K5</f>
        <v>2019</v>
      </c>
      <c r="K236" s="860">
        <v>2</v>
      </c>
      <c r="L236" s="686"/>
      <c r="M236" s="849">
        <v>2</v>
      </c>
      <c r="N236" s="850" t="s">
        <v>353</v>
      </c>
      <c r="O236" s="851"/>
      <c r="P236" s="851"/>
      <c r="Q236" s="851"/>
      <c r="R236" s="851"/>
      <c r="S236" s="851"/>
      <c r="T236" s="851"/>
      <c r="U236" s="851"/>
      <c r="V236" s="851"/>
      <c r="W236" s="851"/>
      <c r="X236" s="852"/>
    </row>
    <row r="237" spans="1:24" ht="13.8">
      <c r="A237" s="856" t="s">
        <v>342</v>
      </c>
      <c r="B237" s="857"/>
      <c r="C237" s="857"/>
      <c r="D237" s="858"/>
      <c r="E237" s="858"/>
      <c r="F237" s="858"/>
      <c r="G237" s="858"/>
      <c r="H237" s="858"/>
      <c r="I237" s="859">
        <f>Q5</f>
        <v>2018</v>
      </c>
      <c r="J237" s="859">
        <f>R5</f>
        <v>2022</v>
      </c>
      <c r="K237" s="860">
        <v>3</v>
      </c>
      <c r="L237" s="686"/>
      <c r="M237" s="849">
        <v>3</v>
      </c>
      <c r="N237" s="850" t="s">
        <v>352</v>
      </c>
      <c r="O237" s="851"/>
      <c r="P237" s="851"/>
      <c r="Q237" s="851"/>
      <c r="R237" s="851"/>
      <c r="S237" s="851"/>
      <c r="T237" s="851"/>
      <c r="U237" s="851"/>
      <c r="V237" s="851"/>
      <c r="W237" s="851"/>
      <c r="X237" s="852"/>
    </row>
    <row r="238" spans="1:24" ht="13.8">
      <c r="A238" s="856" t="s">
        <v>517</v>
      </c>
      <c r="B238" s="857"/>
      <c r="C238" s="857"/>
      <c r="D238" s="858"/>
      <c r="E238" s="858"/>
      <c r="F238" s="858"/>
      <c r="G238" s="858"/>
      <c r="H238" s="858"/>
      <c r="I238" s="859">
        <f>C36</f>
        <v>2017</v>
      </c>
      <c r="J238" s="859">
        <f>D36</f>
        <v>2019</v>
      </c>
      <c r="K238" s="860">
        <v>4</v>
      </c>
      <c r="L238" s="686"/>
      <c r="M238" s="849">
        <v>4</v>
      </c>
      <c r="N238" s="850" t="s">
        <v>352</v>
      </c>
      <c r="O238" s="851"/>
      <c r="P238" s="851"/>
      <c r="Q238" s="851"/>
      <c r="R238" s="851"/>
      <c r="S238" s="851"/>
      <c r="T238" s="851"/>
      <c r="U238" s="851"/>
      <c r="V238" s="851"/>
      <c r="W238" s="851"/>
      <c r="X238" s="852"/>
    </row>
    <row r="239" spans="1:24" ht="13.8">
      <c r="A239" s="856" t="s">
        <v>518</v>
      </c>
      <c r="B239" s="857"/>
      <c r="C239" s="857"/>
      <c r="D239" s="858"/>
      <c r="E239" s="858"/>
      <c r="F239" s="858"/>
      <c r="G239" s="858"/>
      <c r="H239" s="858"/>
      <c r="I239" s="859">
        <f>J36</f>
        <v>2017</v>
      </c>
      <c r="J239" s="859">
        <f>K36</f>
        <v>2019</v>
      </c>
      <c r="K239" s="860">
        <v>5</v>
      </c>
      <c r="L239" s="686"/>
      <c r="M239" s="849">
        <v>5</v>
      </c>
      <c r="N239" s="850" t="s">
        <v>352</v>
      </c>
      <c r="O239" s="851"/>
      <c r="P239" s="851"/>
      <c r="Q239" s="851"/>
      <c r="R239" s="851"/>
      <c r="S239" s="851"/>
      <c r="T239" s="851"/>
      <c r="U239" s="851"/>
      <c r="V239" s="851"/>
      <c r="W239" s="851"/>
      <c r="X239" s="852"/>
    </row>
    <row r="240" spans="1:24" ht="13.8">
      <c r="A240" s="856" t="s">
        <v>343</v>
      </c>
      <c r="B240" s="857"/>
      <c r="C240" s="857"/>
      <c r="D240" s="858"/>
      <c r="E240" s="858"/>
      <c r="F240" s="858"/>
      <c r="G240" s="858"/>
      <c r="H240" s="858"/>
      <c r="I240" s="859">
        <f>Q36</f>
        <v>2018</v>
      </c>
      <c r="J240" s="859">
        <f>R36</f>
        <v>2019</v>
      </c>
      <c r="K240" s="860">
        <v>6</v>
      </c>
      <c r="L240" s="686"/>
      <c r="M240" s="849">
        <v>6</v>
      </c>
      <c r="N240" s="850" t="s">
        <v>352</v>
      </c>
      <c r="O240" s="851"/>
      <c r="P240" s="851"/>
      <c r="Q240" s="851"/>
      <c r="R240" s="851"/>
      <c r="S240" s="851"/>
      <c r="T240" s="851"/>
      <c r="U240" s="851"/>
      <c r="V240" s="851"/>
      <c r="W240" s="851"/>
      <c r="X240" s="852"/>
    </row>
    <row r="241" spans="1:24" ht="13.8">
      <c r="A241" s="856" t="s">
        <v>344</v>
      </c>
      <c r="B241" s="857"/>
      <c r="C241" s="857"/>
      <c r="D241" s="858"/>
      <c r="E241" s="858"/>
      <c r="F241" s="858"/>
      <c r="G241" s="858"/>
      <c r="H241" s="858"/>
      <c r="I241" s="859">
        <f>C67</f>
        <v>2019</v>
      </c>
      <c r="J241" s="859">
        <f>D67</f>
        <v>2020</v>
      </c>
      <c r="K241" s="860">
        <v>7</v>
      </c>
      <c r="L241" s="686"/>
      <c r="M241" s="849">
        <v>7</v>
      </c>
      <c r="N241" s="850" t="s">
        <v>352</v>
      </c>
      <c r="O241" s="851"/>
      <c r="P241" s="851"/>
      <c r="Q241" s="851"/>
      <c r="R241" s="851"/>
      <c r="S241" s="851"/>
      <c r="T241" s="851"/>
      <c r="U241" s="851"/>
      <c r="V241" s="851"/>
      <c r="W241" s="851"/>
      <c r="X241" s="852"/>
    </row>
    <row r="242" spans="1:24" ht="13.8">
      <c r="A242" s="856" t="s">
        <v>410</v>
      </c>
      <c r="B242" s="857"/>
      <c r="C242" s="857"/>
      <c r="D242" s="858"/>
      <c r="E242" s="858"/>
      <c r="F242" s="858"/>
      <c r="G242" s="858"/>
      <c r="H242" s="858"/>
      <c r="I242" s="859">
        <f>J67</f>
        <v>2019</v>
      </c>
      <c r="J242" s="859">
        <f>K67</f>
        <v>2020</v>
      </c>
      <c r="K242" s="860">
        <v>8</v>
      </c>
      <c r="L242" s="686"/>
      <c r="M242" s="849">
        <v>8</v>
      </c>
      <c r="N242" s="850" t="s">
        <v>352</v>
      </c>
      <c r="O242" s="851"/>
      <c r="P242" s="851"/>
      <c r="Q242" s="851"/>
      <c r="R242" s="851"/>
      <c r="S242" s="851"/>
      <c r="T242" s="851"/>
      <c r="U242" s="851"/>
      <c r="V242" s="851"/>
      <c r="W242" s="851"/>
      <c r="X242" s="852"/>
    </row>
    <row r="243" spans="1:24" ht="13.8">
      <c r="A243" s="856" t="s">
        <v>411</v>
      </c>
      <c r="B243" s="857"/>
      <c r="C243" s="857"/>
      <c r="D243" s="858"/>
      <c r="E243" s="858"/>
      <c r="F243" s="858"/>
      <c r="G243" s="858"/>
      <c r="H243" s="858"/>
      <c r="I243" s="859">
        <f>Q67</f>
        <v>2020</v>
      </c>
      <c r="J243" s="859">
        <f>R67</f>
        <v>2022</v>
      </c>
      <c r="K243" s="860">
        <v>9</v>
      </c>
      <c r="L243" s="686"/>
      <c r="M243" s="849">
        <v>9</v>
      </c>
      <c r="N243" s="850" t="s">
        <v>352</v>
      </c>
      <c r="O243" s="851"/>
      <c r="P243" s="851"/>
      <c r="Q243" s="851"/>
      <c r="R243" s="851"/>
      <c r="S243" s="851"/>
      <c r="T243" s="851"/>
      <c r="U243" s="851"/>
      <c r="V243" s="851"/>
      <c r="W243" s="851"/>
      <c r="X243" s="852"/>
    </row>
    <row r="244" spans="1:24" ht="14.4" thickBot="1">
      <c r="A244" s="1150">
        <f>VLOOKUP(A234,A235:K243,11,(FALSE))</f>
        <v>7</v>
      </c>
      <c r="B244" s="1151"/>
      <c r="C244" s="1151"/>
      <c r="D244" s="1151"/>
      <c r="E244" s="1151"/>
      <c r="F244" s="1151"/>
      <c r="G244" s="1151"/>
      <c r="H244" s="1151"/>
      <c r="I244" s="1151"/>
      <c r="J244" s="1151"/>
      <c r="K244" s="1152"/>
      <c r="L244" s="686"/>
      <c r="M244" s="853" t="str">
        <f>VLOOKUP(M234,M235:X243,2,FALSE)</f>
        <v>Hasil pengujian Keselamatan Listrik tertelusur ke Satuan Internasional ( SI ) melalui PT. Kaliman (LK-032-IDN)</v>
      </c>
      <c r="N244" s="854"/>
      <c r="O244" s="854"/>
      <c r="P244" s="854"/>
      <c r="Q244" s="854"/>
      <c r="R244" s="854"/>
      <c r="S244" s="854"/>
      <c r="T244" s="854"/>
      <c r="U244" s="854"/>
      <c r="V244" s="854"/>
      <c r="W244" s="854"/>
      <c r="X244" s="855"/>
    </row>
    <row r="245" spans="1:24">
      <c r="A245" s="686"/>
      <c r="B245" s="686"/>
      <c r="C245" s="686"/>
      <c r="D245" s="686"/>
      <c r="E245" s="686"/>
      <c r="F245" s="686"/>
      <c r="G245" s="686"/>
      <c r="H245" s="686"/>
      <c r="I245" s="686"/>
      <c r="J245" s="686"/>
      <c r="K245" s="686"/>
      <c r="L245" s="686"/>
      <c r="M245" s="686"/>
      <c r="N245" s="686"/>
      <c r="O245" s="686"/>
      <c r="P245" s="686"/>
      <c r="Q245" s="686"/>
      <c r="R245" s="686"/>
      <c r="S245" s="686"/>
      <c r="T245" s="686"/>
      <c r="U245" s="686"/>
      <c r="V245" s="686"/>
      <c r="W245" s="686"/>
      <c r="X245" s="686"/>
    </row>
    <row r="246" spans="1:24">
      <c r="A246" s="686"/>
      <c r="B246" s="686"/>
      <c r="C246" s="686"/>
      <c r="D246" s="686"/>
      <c r="E246" s="686"/>
      <c r="F246" s="686"/>
      <c r="G246" s="686"/>
      <c r="H246" s="686"/>
      <c r="I246" s="686"/>
      <c r="J246" s="686"/>
      <c r="K246" s="686"/>
      <c r="L246" s="686"/>
      <c r="M246" s="686"/>
      <c r="N246" s="686"/>
      <c r="O246" s="686"/>
      <c r="P246" s="686"/>
      <c r="Q246" s="686"/>
      <c r="R246" s="686"/>
      <c r="S246" s="686"/>
      <c r="T246" s="686"/>
      <c r="U246" s="686"/>
      <c r="V246" s="686"/>
      <c r="W246" s="686"/>
      <c r="X246" s="686"/>
    </row>
    <row r="247" spans="1:24">
      <c r="A247" s="686"/>
      <c r="B247" s="686"/>
      <c r="C247" s="686"/>
      <c r="D247" s="686"/>
      <c r="E247" s="686"/>
      <c r="F247" s="686"/>
      <c r="G247" s="686"/>
      <c r="H247" s="686"/>
      <c r="I247" s="686"/>
      <c r="J247" s="686"/>
      <c r="K247" s="686"/>
      <c r="L247" s="686"/>
      <c r="M247" s="686"/>
      <c r="N247" s="686"/>
      <c r="O247" s="686"/>
      <c r="P247" s="686"/>
      <c r="Q247" s="686"/>
      <c r="R247" s="686"/>
      <c r="S247" s="686"/>
      <c r="T247" s="686"/>
      <c r="U247" s="686"/>
      <c r="V247" s="686"/>
      <c r="W247" s="686"/>
      <c r="X247" s="686"/>
    </row>
    <row r="248" spans="1:24">
      <c r="A248" s="686"/>
      <c r="B248" s="686"/>
      <c r="C248" s="686"/>
      <c r="D248" s="686"/>
      <c r="E248" s="686"/>
      <c r="F248" s="686"/>
      <c r="G248" s="686"/>
      <c r="H248" s="686"/>
      <c r="I248" s="686"/>
      <c r="J248" s="686"/>
      <c r="K248" s="686"/>
      <c r="L248" s="686"/>
      <c r="M248" s="686"/>
      <c r="N248" s="686"/>
      <c r="O248" s="686"/>
      <c r="P248" s="686"/>
      <c r="Q248" s="686"/>
      <c r="R248" s="686"/>
      <c r="S248" s="686"/>
      <c r="T248" s="686"/>
      <c r="U248" s="686"/>
      <c r="V248" s="686"/>
      <c r="W248" s="686"/>
      <c r="X248" s="686"/>
    </row>
    <row r="249" spans="1:24">
      <c r="A249" s="686"/>
      <c r="B249" s="686"/>
      <c r="C249" s="686"/>
      <c r="D249" s="686"/>
      <c r="E249" s="686"/>
      <c r="F249" s="686"/>
      <c r="G249" s="686"/>
      <c r="H249" s="686"/>
      <c r="I249" s="686"/>
      <c r="J249" s="686"/>
      <c r="K249" s="686"/>
      <c r="L249" s="686"/>
      <c r="M249" s="686"/>
      <c r="N249" s="686"/>
      <c r="O249" s="686"/>
      <c r="P249" s="686"/>
      <c r="Q249" s="686"/>
      <c r="R249" s="686"/>
      <c r="S249" s="686"/>
      <c r="T249" s="686"/>
      <c r="U249" s="686"/>
      <c r="V249" s="686"/>
      <c r="W249" s="686"/>
      <c r="X249" s="686"/>
    </row>
  </sheetData>
  <mergeCells count="179">
    <mergeCell ref="A1:T1"/>
    <mergeCell ref="A2:A31"/>
    <mergeCell ref="B2:F2"/>
    <mergeCell ref="H2:H31"/>
    <mergeCell ref="I2:M2"/>
    <mergeCell ref="O2:O31"/>
    <mergeCell ref="P2:T2"/>
    <mergeCell ref="B3:F3"/>
    <mergeCell ref="I3:M3"/>
    <mergeCell ref="P3:T3"/>
    <mergeCell ref="P4:R4"/>
    <mergeCell ref="S4:S5"/>
    <mergeCell ref="T4:T5"/>
    <mergeCell ref="B12:D12"/>
    <mergeCell ref="E12:E13"/>
    <mergeCell ref="F12:F13"/>
    <mergeCell ref="I12:K12"/>
    <mergeCell ref="L12:L13"/>
    <mergeCell ref="M12:M13"/>
    <mergeCell ref="P12:R12"/>
    <mergeCell ref="B4:D4"/>
    <mergeCell ref="E4:E5"/>
    <mergeCell ref="F4:F5"/>
    <mergeCell ref="I4:K4"/>
    <mergeCell ref="L4:L5"/>
    <mergeCell ref="M4:M5"/>
    <mergeCell ref="S12:S13"/>
    <mergeCell ref="T12:T13"/>
    <mergeCell ref="B20:D20"/>
    <mergeCell ref="E20:E21"/>
    <mergeCell ref="F20:F21"/>
    <mergeCell ref="I20:K20"/>
    <mergeCell ref="L20:L21"/>
    <mergeCell ref="M20:M21"/>
    <mergeCell ref="P20:R20"/>
    <mergeCell ref="S20:S21"/>
    <mergeCell ref="T20:T21"/>
    <mergeCell ref="B26:D26"/>
    <mergeCell ref="E26:E27"/>
    <mergeCell ref="F26:F27"/>
    <mergeCell ref="I26:K26"/>
    <mergeCell ref="L26:L27"/>
    <mergeCell ref="M26:M27"/>
    <mergeCell ref="P26:R26"/>
    <mergeCell ref="S26:S27"/>
    <mergeCell ref="T26:T27"/>
    <mergeCell ref="A33:A62"/>
    <mergeCell ref="B33:F33"/>
    <mergeCell ref="H33:H62"/>
    <mergeCell ref="I33:M33"/>
    <mergeCell ref="O33:O62"/>
    <mergeCell ref="P33:T33"/>
    <mergeCell ref="B34:F34"/>
    <mergeCell ref="I34:M34"/>
    <mergeCell ref="P34:T34"/>
    <mergeCell ref="B35:D35"/>
    <mergeCell ref="I35:K35"/>
    <mergeCell ref="P35:R35"/>
    <mergeCell ref="S35:S36"/>
    <mergeCell ref="T35:T36"/>
    <mergeCell ref="B43:D43"/>
    <mergeCell ref="I43:K43"/>
    <mergeCell ref="P43:R43"/>
    <mergeCell ref="S43:S44"/>
    <mergeCell ref="T43:T44"/>
    <mergeCell ref="B51:D51"/>
    <mergeCell ref="I51:K51"/>
    <mergeCell ref="P51:R51"/>
    <mergeCell ref="S51:S52"/>
    <mergeCell ref="T51:T52"/>
    <mergeCell ref="B57:D57"/>
    <mergeCell ref="I57:K57"/>
    <mergeCell ref="P57:R57"/>
    <mergeCell ref="S57:S58"/>
    <mergeCell ref="T57:T58"/>
    <mergeCell ref="S66:S67"/>
    <mergeCell ref="T66:T67"/>
    <mergeCell ref="B74:D74"/>
    <mergeCell ref="E74:E75"/>
    <mergeCell ref="F74:F75"/>
    <mergeCell ref="I74:K74"/>
    <mergeCell ref="L74:L75"/>
    <mergeCell ref="M74:M75"/>
    <mergeCell ref="P74:R74"/>
    <mergeCell ref="S74:S75"/>
    <mergeCell ref="E66:E67"/>
    <mergeCell ref="F66:F67"/>
    <mergeCell ref="I66:K66"/>
    <mergeCell ref="L66:L67"/>
    <mergeCell ref="M66:M67"/>
    <mergeCell ref="P66:R66"/>
    <mergeCell ref="H64:H93"/>
    <mergeCell ref="I64:M64"/>
    <mergeCell ref="O64:O93"/>
    <mergeCell ref="P64:T64"/>
    <mergeCell ref="B65:F65"/>
    <mergeCell ref="I65:M65"/>
    <mergeCell ref="P65:T65"/>
    <mergeCell ref="B66:D66"/>
    <mergeCell ref="T74:T75"/>
    <mergeCell ref="B82:D82"/>
    <mergeCell ref="E82:E83"/>
    <mergeCell ref="F82:F83"/>
    <mergeCell ref="I82:K82"/>
    <mergeCell ref="L82:L83"/>
    <mergeCell ref="M82:M83"/>
    <mergeCell ref="P82:R82"/>
    <mergeCell ref="S82:S83"/>
    <mergeCell ref="T82:T83"/>
    <mergeCell ref="C98:E98"/>
    <mergeCell ref="K98:M98"/>
    <mergeCell ref="A100:A108"/>
    <mergeCell ref="I100:I108"/>
    <mergeCell ref="A109:A117"/>
    <mergeCell ref="I109:I117"/>
    <mergeCell ref="P88:R88"/>
    <mergeCell ref="S88:S89"/>
    <mergeCell ref="T88:T89"/>
    <mergeCell ref="A95:Q95"/>
    <mergeCell ref="A97:A99"/>
    <mergeCell ref="B97:B99"/>
    <mergeCell ref="C97:G97"/>
    <mergeCell ref="I97:I99"/>
    <mergeCell ref="J97:J99"/>
    <mergeCell ref="K97:O97"/>
    <mergeCell ref="B88:D88"/>
    <mergeCell ref="E88:E89"/>
    <mergeCell ref="F88:F89"/>
    <mergeCell ref="I88:K88"/>
    <mergeCell ref="L88:L89"/>
    <mergeCell ref="M88:M89"/>
    <mergeCell ref="A64:A93"/>
    <mergeCell ref="B64:F64"/>
    <mergeCell ref="A145:A153"/>
    <mergeCell ref="I145:I153"/>
    <mergeCell ref="A155:A157"/>
    <mergeCell ref="B155:B157"/>
    <mergeCell ref="C155:G155"/>
    <mergeCell ref="I155:I157"/>
    <mergeCell ref="A118:A126"/>
    <mergeCell ref="I118:I126"/>
    <mergeCell ref="A127:A135"/>
    <mergeCell ref="I127:I135"/>
    <mergeCell ref="A136:A144"/>
    <mergeCell ref="I136:I144"/>
    <mergeCell ref="A167:A175"/>
    <mergeCell ref="I167:I175"/>
    <mergeCell ref="A176:A184"/>
    <mergeCell ref="I176:I184"/>
    <mergeCell ref="A185:A193"/>
    <mergeCell ref="I185:I193"/>
    <mergeCell ref="J155:J157"/>
    <mergeCell ref="K155:O155"/>
    <mergeCell ref="C156:E156"/>
    <mergeCell ref="K156:M156"/>
    <mergeCell ref="A158:A166"/>
    <mergeCell ref="I158:I166"/>
    <mergeCell ref="B195:E195"/>
    <mergeCell ref="G195:J195"/>
    <mergeCell ref="L195:L197"/>
    <mergeCell ref="M195:M197"/>
    <mergeCell ref="N195:N197"/>
    <mergeCell ref="A196:E196"/>
    <mergeCell ref="A197:C197"/>
    <mergeCell ref="D197:D198"/>
    <mergeCell ref="E197:E198"/>
    <mergeCell ref="M234:X234"/>
    <mergeCell ref="A244:K244"/>
    <mergeCell ref="G215:J215"/>
    <mergeCell ref="A219:C219"/>
    <mergeCell ref="G219:J219"/>
    <mergeCell ref="G223:J223"/>
    <mergeCell ref="G227:J227"/>
    <mergeCell ref="G199:J199"/>
    <mergeCell ref="G203:J203"/>
    <mergeCell ref="A205:C205"/>
    <mergeCell ref="G207:J207"/>
    <mergeCell ref="G211:J211"/>
    <mergeCell ref="A213:C21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2"/>
  <sheetViews>
    <sheetView topLeftCell="G1" workbookViewId="0">
      <selection activeCell="J11" sqref="J11"/>
    </sheetView>
  </sheetViews>
  <sheetFormatPr defaultColWidth="9" defaultRowHeight="13.2"/>
  <cols>
    <col min="1" max="1" width="102" style="576" customWidth="1"/>
    <col min="2" max="2" width="96" style="576" customWidth="1"/>
    <col min="3" max="3" width="6.6640625" style="576" customWidth="1"/>
    <col min="4" max="4" width="74.109375" style="576" customWidth="1"/>
    <col min="5" max="5" width="12" style="576" customWidth="1"/>
    <col min="6" max="6" width="100.88671875" style="576" customWidth="1"/>
    <col min="7" max="7" width="64.33203125" style="576" customWidth="1"/>
    <col min="8" max="8" width="35.88671875" style="576" customWidth="1"/>
    <col min="9" max="9" width="9" style="576"/>
    <col min="10" max="10" width="54.6640625" style="576" customWidth="1"/>
    <col min="11" max="11" width="9" style="576"/>
    <col min="12" max="12" width="60.44140625" style="576" customWidth="1"/>
    <col min="13" max="13" width="87.88671875" style="576" customWidth="1"/>
    <col min="14" max="16384" width="9" style="576"/>
  </cols>
  <sheetData>
    <row r="1" spans="1:13" ht="13.8">
      <c r="A1" s="158" t="s">
        <v>81</v>
      </c>
      <c r="B1" s="203" t="str">
        <f>ID!B50</f>
        <v>Fetal Simulator, Merek : Fluke Biomedical, Model : PS 320, SN : 4662032</v>
      </c>
      <c r="C1" s="792">
        <f>VLOOKUP(B1,B2:C13,2,FALSE)</f>
        <v>11</v>
      </c>
      <c r="D1" s="793" t="str">
        <f>ID!B51</f>
        <v>Electrical Safety Analyzer, Merek : Fluke, Model : ESA 615, SN : 3699030</v>
      </c>
      <c r="E1" s="794" t="e">
        <f>VLOOKUP(D1,D2:E10,2,FALSE)</f>
        <v>#N/A</v>
      </c>
      <c r="F1" s="158"/>
      <c r="G1" s="158" t="s">
        <v>263</v>
      </c>
      <c r="H1" s="795" t="s">
        <v>102</v>
      </c>
    </row>
    <row r="2" spans="1:13" ht="13.8">
      <c r="A2" s="158" t="s">
        <v>265</v>
      </c>
      <c r="B2" s="159" t="s">
        <v>266</v>
      </c>
      <c r="C2" s="791">
        <v>1</v>
      </c>
      <c r="D2" s="796" t="s">
        <v>267</v>
      </c>
      <c r="E2" s="797">
        <v>1</v>
      </c>
      <c r="F2" s="798" t="s">
        <v>268</v>
      </c>
      <c r="G2" s="158" t="s">
        <v>269</v>
      </c>
      <c r="H2" s="795" t="s">
        <v>100</v>
      </c>
    </row>
    <row r="3" spans="1:13" ht="13.8">
      <c r="A3" s="158"/>
      <c r="B3" s="159" t="s">
        <v>270</v>
      </c>
      <c r="C3" s="791">
        <v>2</v>
      </c>
      <c r="D3" s="796" t="s">
        <v>271</v>
      </c>
      <c r="E3" s="797">
        <v>2</v>
      </c>
      <c r="F3" s="798" t="s">
        <v>268</v>
      </c>
      <c r="G3" s="158" t="s">
        <v>272</v>
      </c>
      <c r="H3" s="795" t="s">
        <v>101</v>
      </c>
      <c r="L3" s="576" t="str">
        <f>B1</f>
        <v>Fetal Simulator, Merek : Fluke Biomedical, Model : PS 320, SN : 4662032</v>
      </c>
      <c r="M3" s="576" t="str">
        <f>VLOOKUP(L3,L4:M10,2,FALSE)</f>
        <v>Hasil Kalibrasi Frekuensi Heart Rate (BPM) tertelusur ke Satuan Internasional ( SI ) melalui PT.KALIMAN</v>
      </c>
    </row>
    <row r="4" spans="1:13" ht="13.8">
      <c r="A4" s="158"/>
      <c r="B4" s="159" t="s">
        <v>273</v>
      </c>
      <c r="C4" s="791">
        <v>3</v>
      </c>
      <c r="D4" s="796" t="s">
        <v>274</v>
      </c>
      <c r="E4" s="797">
        <v>3</v>
      </c>
      <c r="F4" s="798" t="s">
        <v>275</v>
      </c>
      <c r="G4" s="158" t="s">
        <v>276</v>
      </c>
      <c r="H4" s="795" t="s">
        <v>299</v>
      </c>
      <c r="J4" s="576" t="s">
        <v>514</v>
      </c>
      <c r="K4" s="576" t="s">
        <v>277</v>
      </c>
      <c r="L4" s="790" t="s">
        <v>519</v>
      </c>
      <c r="M4" s="576" t="s">
        <v>374</v>
      </c>
    </row>
    <row r="5" spans="1:13" ht="13.8">
      <c r="A5" s="158"/>
      <c r="B5" s="159" t="s">
        <v>278</v>
      </c>
      <c r="C5" s="791">
        <v>4</v>
      </c>
      <c r="D5" s="796" t="s">
        <v>279</v>
      </c>
      <c r="E5" s="797">
        <v>4</v>
      </c>
      <c r="F5" s="798" t="s">
        <v>275</v>
      </c>
      <c r="G5" s="158" t="s">
        <v>280</v>
      </c>
      <c r="H5" s="795" t="s">
        <v>288</v>
      </c>
      <c r="J5" s="576" t="s">
        <v>77</v>
      </c>
      <c r="K5" s="576" t="s">
        <v>281</v>
      </c>
      <c r="L5" s="790" t="s">
        <v>520</v>
      </c>
      <c r="M5" s="576" t="s">
        <v>374</v>
      </c>
    </row>
    <row r="6" spans="1:13" ht="13.8">
      <c r="A6" s="158"/>
      <c r="B6" s="159" t="s">
        <v>282</v>
      </c>
      <c r="C6" s="791">
        <v>5</v>
      </c>
      <c r="D6" s="796" t="s">
        <v>283</v>
      </c>
      <c r="E6" s="797">
        <v>5</v>
      </c>
      <c r="F6" s="798" t="s">
        <v>275</v>
      </c>
      <c r="G6" s="158" t="s">
        <v>284</v>
      </c>
      <c r="H6" s="795" t="s">
        <v>107</v>
      </c>
      <c r="L6" s="790" t="s">
        <v>356</v>
      </c>
      <c r="M6" s="576" t="s">
        <v>374</v>
      </c>
    </row>
    <row r="7" spans="1:13" ht="13.8">
      <c r="A7" s="158"/>
      <c r="B7" s="159" t="s">
        <v>354</v>
      </c>
      <c r="C7" s="791">
        <v>6</v>
      </c>
      <c r="D7" s="796" t="s">
        <v>286</v>
      </c>
      <c r="E7" s="797">
        <v>6</v>
      </c>
      <c r="F7" s="798" t="s">
        <v>275</v>
      </c>
      <c r="G7" s="158" t="s">
        <v>287</v>
      </c>
      <c r="H7" s="795" t="s">
        <v>104</v>
      </c>
      <c r="L7" s="790" t="s">
        <v>357</v>
      </c>
      <c r="M7" s="576" t="s">
        <v>374</v>
      </c>
    </row>
    <row r="8" spans="1:13" ht="13.8">
      <c r="A8" s="158"/>
      <c r="B8" s="159" t="s">
        <v>355</v>
      </c>
      <c r="C8" s="791">
        <v>7</v>
      </c>
      <c r="D8" s="796" t="s">
        <v>289</v>
      </c>
      <c r="E8" s="797">
        <v>7</v>
      </c>
      <c r="F8" s="798" t="s">
        <v>275</v>
      </c>
      <c r="G8" s="158" t="s">
        <v>290</v>
      </c>
      <c r="H8" s="795" t="s">
        <v>105</v>
      </c>
      <c r="L8" s="790" t="s">
        <v>358</v>
      </c>
      <c r="M8" s="576" t="s">
        <v>374</v>
      </c>
    </row>
    <row r="9" spans="1:13" ht="13.8">
      <c r="A9" s="158"/>
      <c r="B9" s="159" t="s">
        <v>356</v>
      </c>
      <c r="C9" s="791">
        <v>8</v>
      </c>
      <c r="D9" s="796" t="s">
        <v>292</v>
      </c>
      <c r="E9" s="797">
        <v>8</v>
      </c>
      <c r="F9" s="798" t="s">
        <v>275</v>
      </c>
      <c r="G9" s="158" t="s">
        <v>293</v>
      </c>
      <c r="H9" s="795" t="s">
        <v>291</v>
      </c>
      <c r="L9" s="790" t="s">
        <v>359</v>
      </c>
      <c r="M9" s="576" t="s">
        <v>470</v>
      </c>
    </row>
    <row r="10" spans="1:13" ht="13.8">
      <c r="A10" s="158"/>
      <c r="B10" s="159" t="s">
        <v>357</v>
      </c>
      <c r="C10" s="791">
        <v>9</v>
      </c>
      <c r="D10" s="796" t="s">
        <v>294</v>
      </c>
      <c r="E10" s="797">
        <v>9</v>
      </c>
      <c r="F10" s="798" t="s">
        <v>275</v>
      </c>
      <c r="G10" s="158" t="s">
        <v>295</v>
      </c>
      <c r="H10" s="795" t="s">
        <v>285</v>
      </c>
      <c r="L10" s="790" t="s">
        <v>360</v>
      </c>
      <c r="M10" s="576" t="s">
        <v>470</v>
      </c>
    </row>
    <row r="11" spans="1:13" ht="13.8">
      <c r="A11" s="158"/>
      <c r="B11" s="159" t="s">
        <v>358</v>
      </c>
      <c r="C11" s="791">
        <v>10</v>
      </c>
      <c r="D11" s="158"/>
      <c r="E11" s="158"/>
      <c r="F11" s="158"/>
      <c r="G11" s="158" t="s">
        <v>296</v>
      </c>
      <c r="H11" s="795" t="s">
        <v>298</v>
      </c>
    </row>
    <row r="12" spans="1:13" ht="13.8">
      <c r="A12" s="158"/>
      <c r="B12" s="159" t="s">
        <v>359</v>
      </c>
      <c r="C12" s="791">
        <v>11</v>
      </c>
      <c r="D12" s="158"/>
      <c r="E12" s="158"/>
      <c r="F12" s="158"/>
      <c r="G12" s="158"/>
      <c r="H12" s="795" t="s">
        <v>349</v>
      </c>
    </row>
    <row r="13" spans="1:13" ht="13.8">
      <c r="A13" s="158"/>
      <c r="B13" s="159" t="s">
        <v>360</v>
      </c>
      <c r="C13" s="791">
        <v>12</v>
      </c>
      <c r="D13" s="158"/>
      <c r="E13" s="158"/>
      <c r="F13" s="158"/>
      <c r="G13" s="158"/>
      <c r="H13" s="795" t="s">
        <v>86</v>
      </c>
    </row>
    <row r="14" spans="1:13" ht="13.8">
      <c r="A14" s="158"/>
      <c r="B14" s="158"/>
      <c r="C14" s="158"/>
      <c r="D14" s="158"/>
      <c r="E14" s="158"/>
      <c r="F14" s="158"/>
      <c r="G14" s="158"/>
      <c r="H14" s="795" t="s">
        <v>300</v>
      </c>
    </row>
    <row r="15" spans="1:13" ht="13.8">
      <c r="A15" s="158"/>
      <c r="B15" s="158"/>
      <c r="C15" s="158"/>
      <c r="D15" s="158"/>
      <c r="E15" s="158"/>
      <c r="F15" s="158"/>
      <c r="G15" s="158"/>
      <c r="H15" s="795" t="s">
        <v>297</v>
      </c>
    </row>
    <row r="16" spans="1:13" ht="13.8">
      <c r="A16" s="158"/>
      <c r="B16" s="158"/>
      <c r="C16" s="158"/>
      <c r="D16" s="158"/>
      <c r="E16" s="158"/>
      <c r="F16" s="158"/>
      <c r="G16" s="158"/>
      <c r="H16" s="795" t="s">
        <v>380</v>
      </c>
    </row>
    <row r="17" spans="1:8" ht="13.8">
      <c r="A17" s="158"/>
      <c r="B17" s="158"/>
      <c r="C17" s="158"/>
      <c r="D17" s="158"/>
      <c r="E17" s="158"/>
      <c r="F17" s="158"/>
      <c r="G17" s="158"/>
      <c r="H17" s="795" t="s">
        <v>301</v>
      </c>
    </row>
    <row r="18" spans="1:8" ht="13.8">
      <c r="A18" s="158"/>
      <c r="B18" s="158"/>
      <c r="C18" s="158"/>
      <c r="D18" s="158"/>
      <c r="E18" s="158"/>
      <c r="F18" s="158"/>
      <c r="G18" s="158"/>
      <c r="H18" s="795" t="s">
        <v>381</v>
      </c>
    </row>
    <row r="19" spans="1:8" ht="13.8">
      <c r="A19" s="158"/>
      <c r="B19" s="158"/>
      <c r="C19" s="158"/>
      <c r="D19" s="158"/>
      <c r="E19" s="158"/>
      <c r="F19" s="158"/>
      <c r="G19" s="158"/>
      <c r="H19" s="795" t="s">
        <v>264</v>
      </c>
    </row>
    <row r="20" spans="1:8" ht="13.8">
      <c r="A20" s="158"/>
      <c r="B20" s="158"/>
      <c r="C20" s="158"/>
      <c r="D20" s="158"/>
      <c r="E20" s="158"/>
      <c r="F20" s="158"/>
      <c r="G20" s="158"/>
      <c r="H20" s="795" t="s">
        <v>382</v>
      </c>
    </row>
    <row r="21" spans="1:8" ht="13.8">
      <c r="A21" s="158"/>
      <c r="B21" s="158"/>
      <c r="C21" s="158"/>
      <c r="D21" s="158"/>
      <c r="E21" s="158"/>
      <c r="F21" s="158"/>
      <c r="G21" s="158"/>
      <c r="H21" s="795" t="s">
        <v>383</v>
      </c>
    </row>
    <row r="22" spans="1:8" ht="13.8">
      <c r="A22" s="158"/>
      <c r="B22" s="158"/>
      <c r="C22" s="158"/>
      <c r="D22" s="158"/>
      <c r="E22" s="158"/>
      <c r="F22" s="158"/>
      <c r="G22" s="158"/>
      <c r="H22" s="795" t="s">
        <v>384</v>
      </c>
    </row>
  </sheetData>
  <sortState xmlns:xlrd2="http://schemas.microsoft.com/office/spreadsheetml/2017/richdata2" ref="H1:H18">
    <sortCondition ref="H1"/>
  </sortState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D11:E13"/>
  <sheetViews>
    <sheetView workbookViewId="0">
      <selection activeCell="D13" sqref="D13"/>
    </sheetView>
  </sheetViews>
  <sheetFormatPr defaultColWidth="9" defaultRowHeight="13.2"/>
  <cols>
    <col min="4" max="4" width="78.6640625" customWidth="1"/>
    <col min="5" max="5" width="77.109375" customWidth="1"/>
  </cols>
  <sheetData>
    <row r="11" spans="4:5">
      <c r="D11" s="7" t="s">
        <v>302</v>
      </c>
      <c r="E11" s="7" t="s">
        <v>303</v>
      </c>
    </row>
    <row r="12" spans="4:5" ht="45.75" customHeight="1">
      <c r="D12" s="8" t="s">
        <v>304</v>
      </c>
      <c r="E12" s="9" t="s">
        <v>375</v>
      </c>
    </row>
    <row r="13" spans="4:5" ht="39.75" customHeight="1">
      <c r="D13" s="10" t="s">
        <v>64</v>
      </c>
      <c r="E13" s="9" t="s">
        <v>376</v>
      </c>
    </row>
  </sheetData>
  <sheetProtection algorithmName="SHA-512" hashValue="aJJpyUmR/NpyrXTnjkpJB8PCdIspL+M4I8MTOGeIAGtR6ojdQoXCNc/NiPUVSxQYCqkM5Sn8VurUoIqLjZeJGQ==" saltValue="mGjvRGMWwgPNp75RNsFLOQ==" spinCount="100000" sheet="1" objects="1" scenarios="1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00"/>
  <sheetViews>
    <sheetView workbookViewId="0">
      <selection activeCell="C22" sqref="C22"/>
    </sheetView>
  </sheetViews>
  <sheetFormatPr defaultRowHeight="13.2"/>
  <cols>
    <col min="2" max="2" width="19" customWidth="1"/>
    <col min="3" max="3" width="42.109375" bestFit="1" customWidth="1"/>
    <col min="4" max="4" width="57.44140625" customWidth="1"/>
  </cols>
  <sheetData>
    <row r="2" spans="1:5">
      <c r="A2" s="911" t="s">
        <v>183</v>
      </c>
      <c r="B2" s="911" t="s">
        <v>189</v>
      </c>
      <c r="C2" s="911" t="s">
        <v>402</v>
      </c>
      <c r="D2" s="911"/>
      <c r="E2" s="912" t="s">
        <v>416</v>
      </c>
    </row>
    <row r="3" spans="1:5">
      <c r="A3" s="911"/>
      <c r="B3" s="911"/>
      <c r="C3" s="468" t="s">
        <v>8</v>
      </c>
      <c r="D3" s="468" t="s">
        <v>9</v>
      </c>
      <c r="E3" s="912"/>
    </row>
    <row r="4" spans="1:5" ht="13.8">
      <c r="A4" s="468">
        <v>1</v>
      </c>
      <c r="B4" s="469">
        <v>44225</v>
      </c>
      <c r="C4" s="470" t="s">
        <v>403</v>
      </c>
      <c r="D4" s="470" t="s">
        <v>404</v>
      </c>
      <c r="E4" s="5"/>
    </row>
    <row r="5" spans="1:5">
      <c r="A5" s="468"/>
      <c r="B5" s="471"/>
      <c r="C5" s="474" t="s">
        <v>171</v>
      </c>
      <c r="D5" s="472" t="s">
        <v>405</v>
      </c>
      <c r="E5" s="5"/>
    </row>
    <row r="6" spans="1:5">
      <c r="A6" s="468">
        <v>2</v>
      </c>
      <c r="B6" s="471">
        <v>44301</v>
      </c>
      <c r="C6" s="473" t="s">
        <v>413</v>
      </c>
      <c r="D6" s="473" t="s">
        <v>414</v>
      </c>
      <c r="E6" s="5" t="s">
        <v>417</v>
      </c>
    </row>
    <row r="7" spans="1:5">
      <c r="A7" s="468"/>
      <c r="B7" s="471"/>
      <c r="C7" s="540" t="s">
        <v>415</v>
      </c>
      <c r="D7" s="540" t="s">
        <v>414</v>
      </c>
      <c r="E7" s="5" t="s">
        <v>417</v>
      </c>
    </row>
    <row r="8" spans="1:5">
      <c r="A8" s="468">
        <v>3</v>
      </c>
      <c r="B8" s="471">
        <v>44333</v>
      </c>
      <c r="C8" s="468" t="s">
        <v>418</v>
      </c>
      <c r="D8" s="468" t="s">
        <v>414</v>
      </c>
      <c r="E8" s="546" t="s">
        <v>419</v>
      </c>
    </row>
    <row r="9" spans="1:5">
      <c r="A9" s="468">
        <v>4</v>
      </c>
      <c r="B9" s="471" t="s">
        <v>506</v>
      </c>
      <c r="C9" s="468" t="s">
        <v>507</v>
      </c>
      <c r="D9" s="468" t="s">
        <v>508</v>
      </c>
      <c r="E9" s="546" t="s">
        <v>509</v>
      </c>
    </row>
    <row r="10" spans="1:5">
      <c r="A10" s="468"/>
      <c r="B10" s="471"/>
      <c r="C10" s="468"/>
      <c r="D10" s="468"/>
      <c r="E10" s="5"/>
    </row>
    <row r="11" spans="1:5">
      <c r="A11" s="468"/>
      <c r="B11" s="471"/>
      <c r="C11" s="468"/>
      <c r="D11" s="468"/>
      <c r="E11" s="5"/>
    </row>
    <row r="12" spans="1:5">
      <c r="A12" s="468"/>
      <c r="B12" s="471"/>
      <c r="C12" s="468"/>
      <c r="D12" s="468"/>
      <c r="E12" s="5"/>
    </row>
    <row r="13" spans="1:5">
      <c r="A13" s="468"/>
      <c r="B13" s="471"/>
      <c r="C13" s="468"/>
      <c r="D13" s="468"/>
      <c r="E13" s="5"/>
    </row>
    <row r="14" spans="1:5">
      <c r="A14" s="468"/>
      <c r="B14" s="471"/>
      <c r="C14" s="468"/>
      <c r="D14" s="468"/>
      <c r="E14" s="5"/>
    </row>
    <row r="15" spans="1:5">
      <c r="A15" s="468"/>
      <c r="B15" s="471"/>
      <c r="C15" s="468"/>
      <c r="D15" s="468"/>
      <c r="E15" s="5"/>
    </row>
    <row r="16" spans="1:5">
      <c r="A16" s="468"/>
      <c r="B16" s="471"/>
      <c r="C16" s="468"/>
      <c r="D16" s="468"/>
      <c r="E16" s="5"/>
    </row>
    <row r="17" spans="1:5">
      <c r="A17" s="468"/>
      <c r="B17" s="471"/>
      <c r="C17" s="468"/>
      <c r="D17" s="468"/>
      <c r="E17" s="5"/>
    </row>
    <row r="18" spans="1:5">
      <c r="A18" s="468"/>
      <c r="B18" s="471"/>
      <c r="C18" s="468"/>
      <c r="D18" s="468"/>
      <c r="E18" s="5"/>
    </row>
    <row r="19" spans="1:5">
      <c r="A19" s="468"/>
      <c r="B19" s="471"/>
      <c r="C19" s="468"/>
      <c r="D19" s="468"/>
      <c r="E19" s="5"/>
    </row>
    <row r="20" spans="1:5">
      <c r="A20" s="468"/>
      <c r="B20" s="471"/>
      <c r="C20" s="468"/>
      <c r="D20" s="468"/>
      <c r="E20" s="5"/>
    </row>
    <row r="21" spans="1:5">
      <c r="A21" s="468"/>
      <c r="B21" s="471"/>
      <c r="C21" s="468"/>
      <c r="D21" s="468"/>
      <c r="E21" s="5"/>
    </row>
    <row r="22" spans="1:5">
      <c r="A22" s="468"/>
      <c r="B22" s="471"/>
      <c r="C22" s="468"/>
      <c r="D22" s="468"/>
      <c r="E22" s="5"/>
    </row>
    <row r="23" spans="1:5">
      <c r="A23" s="468"/>
      <c r="B23" s="471"/>
      <c r="C23" s="468"/>
      <c r="D23" s="468"/>
      <c r="E23" s="5"/>
    </row>
    <row r="24" spans="1:5">
      <c r="A24" s="468"/>
      <c r="B24" s="471"/>
      <c r="C24" s="468"/>
      <c r="D24" s="468"/>
      <c r="E24" s="5"/>
    </row>
    <row r="25" spans="1:5">
      <c r="A25" s="468"/>
      <c r="B25" s="471"/>
      <c r="C25" s="468"/>
      <c r="D25" s="468"/>
      <c r="E25" s="5"/>
    </row>
    <row r="26" spans="1:5">
      <c r="A26" s="468"/>
      <c r="B26" s="471"/>
      <c r="C26" s="468"/>
      <c r="D26" s="468"/>
      <c r="E26" s="5"/>
    </row>
    <row r="27" spans="1:5">
      <c r="A27" s="468"/>
      <c r="B27" s="471"/>
      <c r="C27" s="468"/>
      <c r="D27" s="468"/>
      <c r="E27" s="5"/>
    </row>
    <row r="28" spans="1:5">
      <c r="A28" s="468"/>
      <c r="B28" s="471"/>
      <c r="C28" s="468"/>
      <c r="D28" s="468"/>
      <c r="E28" s="5"/>
    </row>
    <row r="29" spans="1:5">
      <c r="A29" s="468"/>
      <c r="B29" s="471"/>
      <c r="C29" s="468"/>
      <c r="D29" s="468"/>
      <c r="E29" s="5"/>
    </row>
    <row r="30" spans="1:5">
      <c r="A30" s="468"/>
      <c r="B30" s="471"/>
      <c r="C30" s="468"/>
      <c r="D30" s="468"/>
      <c r="E30" s="5"/>
    </row>
    <row r="31" spans="1:5">
      <c r="A31" s="468"/>
      <c r="B31" s="471"/>
      <c r="C31" s="468"/>
      <c r="D31" s="468"/>
      <c r="E31" s="5"/>
    </row>
    <row r="100" spans="1:1">
      <c r="A100" s="545" t="s">
        <v>510</v>
      </c>
    </row>
  </sheetData>
  <sheetProtection algorithmName="SHA-512" hashValue="yleqVBYw6BCzLoAWoj34dXwDsRhliDhHXrgG4sQpFW+1UULj4L5cz7W3kGTL7ocy92WRM9eCIZTyIutvO9ALkw==" saltValue="VarbQulJFQzu31PwouTBTA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57"/>
  <sheetViews>
    <sheetView showGridLines="0" view="pageBreakPreview" zoomScale="112" zoomScaleNormal="100" zoomScaleSheetLayoutView="112" workbookViewId="0">
      <selection activeCell="D5" sqref="D5"/>
    </sheetView>
  </sheetViews>
  <sheetFormatPr defaultColWidth="9" defaultRowHeight="13.2"/>
  <cols>
    <col min="1" max="1" width="15.6640625" customWidth="1"/>
    <col min="3" max="3" width="8.6640625" customWidth="1"/>
    <col min="4" max="4" width="8.33203125" customWidth="1"/>
    <col min="5" max="5" width="8.44140625" customWidth="1"/>
    <col min="6" max="6" width="6.88671875" customWidth="1"/>
    <col min="7" max="7" width="7.109375" customWidth="1"/>
    <col min="8" max="8" width="7" customWidth="1"/>
    <col min="9" max="9" width="6.5546875" customWidth="1"/>
    <col min="10" max="10" width="10.5546875" customWidth="1"/>
    <col min="11" max="11" width="13.44140625" customWidth="1"/>
    <col min="12" max="12" width="5.6640625" customWidth="1"/>
    <col min="13" max="13" width="5.33203125" customWidth="1"/>
    <col min="14" max="14" width="6.5546875" customWidth="1"/>
    <col min="15" max="15" width="8.6640625" customWidth="1"/>
    <col min="16" max="16" width="7.6640625" customWidth="1"/>
    <col min="17" max="17" width="8.33203125" customWidth="1"/>
    <col min="18" max="18" width="7" customWidth="1"/>
    <col min="19" max="19" width="7.5546875" customWidth="1"/>
    <col min="21" max="21" width="8" customWidth="1"/>
    <col min="22" max="23" width="7.33203125" customWidth="1"/>
    <col min="24" max="24" width="10.109375" customWidth="1"/>
    <col min="26" max="26" width="6.5546875" customWidth="1"/>
    <col min="27" max="27" width="6.88671875" customWidth="1"/>
    <col min="28" max="28" width="7.33203125" customWidth="1"/>
    <col min="29" max="29" width="7" customWidth="1"/>
    <col min="31" max="31" width="7" customWidth="1"/>
    <col min="32" max="32" width="6.44140625" customWidth="1"/>
    <col min="33" max="33" width="7" customWidth="1"/>
    <col min="34" max="34" width="7.44140625" customWidth="1"/>
  </cols>
  <sheetData>
    <row r="1" spans="1:25" ht="18" thickBot="1">
      <c r="A1" s="913" t="s">
        <v>110</v>
      </c>
      <c r="B1" s="913"/>
      <c r="C1" s="913"/>
      <c r="D1" s="913"/>
      <c r="E1" s="913"/>
      <c r="F1" s="913"/>
      <c r="G1" s="913"/>
      <c r="H1" s="913"/>
      <c r="I1" s="913"/>
      <c r="J1" s="913"/>
      <c r="K1" s="913"/>
      <c r="L1" s="913"/>
      <c r="M1" s="112"/>
    </row>
    <row r="2" spans="1:25" ht="18" thickBot="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112"/>
      <c r="M2" s="112"/>
      <c r="N2" s="922" t="s">
        <v>320</v>
      </c>
      <c r="O2" s="923"/>
      <c r="P2" s="923"/>
      <c r="Q2" s="923"/>
      <c r="R2" s="923"/>
      <c r="S2" s="923"/>
      <c r="T2" s="923"/>
      <c r="U2" s="923"/>
      <c r="V2" s="923"/>
      <c r="W2" s="923"/>
      <c r="X2" s="923"/>
      <c r="Y2" s="924"/>
    </row>
    <row r="3" spans="1:25" ht="17.399999999999999">
      <c r="A3" s="98" t="s">
        <v>321</v>
      </c>
      <c r="B3" s="99"/>
      <c r="C3" s="14"/>
      <c r="D3" s="14"/>
      <c r="E3" s="14"/>
      <c r="F3" s="14"/>
      <c r="G3" s="14"/>
      <c r="H3" s="14"/>
      <c r="I3" s="14"/>
      <c r="J3" s="14"/>
      <c r="K3" s="14"/>
      <c r="L3" s="112"/>
      <c r="M3" s="112"/>
      <c r="N3" s="278" t="s">
        <v>321</v>
      </c>
    </row>
    <row r="4" spans="1:25" ht="18">
      <c r="A4" s="100" t="s">
        <v>112</v>
      </c>
      <c r="B4" s="101" t="s">
        <v>113</v>
      </c>
      <c r="C4" s="102" t="s">
        <v>114</v>
      </c>
      <c r="D4" s="101" t="s">
        <v>122</v>
      </c>
      <c r="E4" s="103" t="s">
        <v>115</v>
      </c>
      <c r="F4" s="101" t="s">
        <v>117</v>
      </c>
      <c r="G4" s="102" t="s">
        <v>116</v>
      </c>
      <c r="H4" s="101" t="s">
        <v>118</v>
      </c>
      <c r="I4" s="102" t="s">
        <v>119</v>
      </c>
      <c r="J4" s="101" t="s">
        <v>120</v>
      </c>
      <c r="K4" s="113" t="s">
        <v>121</v>
      </c>
      <c r="L4" s="112"/>
      <c r="M4" s="112"/>
      <c r="N4" s="914" t="s">
        <v>112</v>
      </c>
      <c r="O4" s="915"/>
      <c r="P4" s="245" t="s">
        <v>113</v>
      </c>
      <c r="Q4" s="245" t="s">
        <v>114</v>
      </c>
      <c r="R4" s="245" t="s">
        <v>122</v>
      </c>
      <c r="S4" s="245" t="s">
        <v>115</v>
      </c>
      <c r="T4" s="246" t="s">
        <v>314</v>
      </c>
      <c r="U4" s="245" t="s">
        <v>315</v>
      </c>
      <c r="V4" s="245" t="s">
        <v>316</v>
      </c>
      <c r="W4" s="245" t="s">
        <v>317</v>
      </c>
      <c r="X4" s="245" t="s">
        <v>318</v>
      </c>
      <c r="Y4" s="245" t="s">
        <v>319</v>
      </c>
    </row>
    <row r="5" spans="1:25" ht="17.399999999999999">
      <c r="A5" s="104" t="s">
        <v>123</v>
      </c>
      <c r="B5" s="2" t="s">
        <v>124</v>
      </c>
      <c r="C5" s="104" t="s">
        <v>125</v>
      </c>
      <c r="D5" s="105">
        <f>ID!L74</f>
        <v>0</v>
      </c>
      <c r="E5" s="106">
        <f>SQRT(6)</f>
        <v>2.4494897427831779</v>
      </c>
      <c r="F5" s="106">
        <f>D5/E5</f>
        <v>0</v>
      </c>
      <c r="G5" s="107">
        <f>6-1</f>
        <v>5</v>
      </c>
      <c r="H5" s="107">
        <v>1</v>
      </c>
      <c r="I5" s="106">
        <f>F5*H5</f>
        <v>0</v>
      </c>
      <c r="J5" s="106">
        <f>I5^2</f>
        <v>0</v>
      </c>
      <c r="K5" s="106">
        <f>(J5^2)/G5</f>
        <v>0</v>
      </c>
      <c r="L5" s="112"/>
      <c r="M5" s="112"/>
      <c r="N5" s="916" t="s">
        <v>126</v>
      </c>
      <c r="O5" s="917"/>
      <c r="P5" s="247" t="s">
        <v>127</v>
      </c>
      <c r="Q5" s="247" t="s">
        <v>128</v>
      </c>
      <c r="R5" s="247" t="s">
        <v>129</v>
      </c>
      <c r="S5" s="247" t="s">
        <v>130</v>
      </c>
      <c r="T5" s="247" t="s">
        <v>131</v>
      </c>
      <c r="U5" s="247" t="s">
        <v>132</v>
      </c>
      <c r="V5" s="247" t="s">
        <v>133</v>
      </c>
      <c r="W5" s="247" t="s">
        <v>134</v>
      </c>
      <c r="X5" s="247" t="s">
        <v>135</v>
      </c>
      <c r="Y5" s="247" t="s">
        <v>136</v>
      </c>
    </row>
    <row r="6" spans="1:25" ht="17.399999999999999">
      <c r="A6" s="104" t="s">
        <v>137</v>
      </c>
      <c r="B6" s="2" t="s">
        <v>124</v>
      </c>
      <c r="C6" s="104" t="s">
        <v>138</v>
      </c>
      <c r="D6" s="105">
        <f>M116</f>
        <v>0</v>
      </c>
      <c r="E6" s="106">
        <f>SQRT(3)</f>
        <v>1.7320508075688772</v>
      </c>
      <c r="F6" s="106">
        <f>D6/E6</f>
        <v>0</v>
      </c>
      <c r="G6" s="107">
        <v>50</v>
      </c>
      <c r="H6" s="107">
        <v>1</v>
      </c>
      <c r="I6" s="106">
        <f>F6*H6</f>
        <v>0</v>
      </c>
      <c r="J6" s="106">
        <f>I6^2</f>
        <v>0</v>
      </c>
      <c r="K6" s="106">
        <f>(J6^2)/G6</f>
        <v>0</v>
      </c>
      <c r="L6" s="112"/>
      <c r="M6" s="112"/>
      <c r="N6" s="248" t="s">
        <v>139</v>
      </c>
      <c r="O6" s="249"/>
      <c r="P6" s="250"/>
      <c r="Q6" s="251" t="s">
        <v>125</v>
      </c>
      <c r="R6" s="252">
        <f>D5</f>
        <v>0</v>
      </c>
      <c r="S6" s="253">
        <v>2.4500000000000002</v>
      </c>
      <c r="T6" s="254">
        <v>5</v>
      </c>
      <c r="U6" s="255">
        <f>R6/S6</f>
        <v>0</v>
      </c>
      <c r="V6" s="256">
        <v>1</v>
      </c>
      <c r="W6" s="257">
        <f>U6*V6</f>
        <v>0</v>
      </c>
      <c r="X6" s="258">
        <f>W6^2</f>
        <v>0</v>
      </c>
      <c r="Y6" s="259">
        <f>W6^4/T6</f>
        <v>0</v>
      </c>
    </row>
    <row r="7" spans="1:25" ht="17.399999999999999">
      <c r="A7" s="104" t="s">
        <v>5</v>
      </c>
      <c r="B7" s="2" t="s">
        <v>124</v>
      </c>
      <c r="C7" s="104" t="s">
        <v>138</v>
      </c>
      <c r="D7" s="104">
        <f>ID!E7*0.5</f>
        <v>0.5</v>
      </c>
      <c r="E7" s="106">
        <f>SQRT(3)</f>
        <v>1.7320508075688772</v>
      </c>
      <c r="F7" s="106">
        <f>D7/E7</f>
        <v>0.28867513459481292</v>
      </c>
      <c r="G7" s="107">
        <v>50</v>
      </c>
      <c r="H7" s="107">
        <v>1</v>
      </c>
      <c r="I7" s="106">
        <f>F7*H7</f>
        <v>0.28867513459481292</v>
      </c>
      <c r="J7" s="106">
        <f>I7^2</f>
        <v>8.3333333333333356E-2</v>
      </c>
      <c r="K7" s="106">
        <f>(J7^2)/G7</f>
        <v>1.3888888888888897E-4</v>
      </c>
      <c r="L7" s="112"/>
      <c r="M7" s="112"/>
      <c r="N7" s="248" t="s">
        <v>140</v>
      </c>
      <c r="O7" s="249"/>
      <c r="P7" s="260"/>
      <c r="Q7" s="251" t="s">
        <v>138</v>
      </c>
      <c r="R7" s="252">
        <f t="shared" ref="R7:R9" si="0">D6</f>
        <v>0</v>
      </c>
      <c r="S7" s="253">
        <v>1.73</v>
      </c>
      <c r="T7" s="254">
        <v>50</v>
      </c>
      <c r="U7" s="261">
        <f>R7/S7</f>
        <v>0</v>
      </c>
      <c r="V7" s="254">
        <v>1</v>
      </c>
      <c r="W7" s="261">
        <f>U7*V7</f>
        <v>0</v>
      </c>
      <c r="X7" s="262">
        <f>W7^2</f>
        <v>0</v>
      </c>
      <c r="Y7" s="263">
        <f>W7^4/T7</f>
        <v>0</v>
      </c>
    </row>
    <row r="8" spans="1:25" ht="17.399999999999999">
      <c r="A8" s="104" t="s">
        <v>141</v>
      </c>
      <c r="B8" s="2" t="s">
        <v>124</v>
      </c>
      <c r="C8" s="104" t="s">
        <v>125</v>
      </c>
      <c r="D8" s="105">
        <f>B116</f>
        <v>1E-3</v>
      </c>
      <c r="E8" s="106">
        <v>2</v>
      </c>
      <c r="F8" s="106">
        <f>D8/E8</f>
        <v>5.0000000000000001E-4</v>
      </c>
      <c r="G8" s="107">
        <v>50</v>
      </c>
      <c r="H8" s="107">
        <v>1</v>
      </c>
      <c r="I8" s="106">
        <f>F8*H8</f>
        <v>5.0000000000000001E-4</v>
      </c>
      <c r="J8" s="106">
        <f>I8^2</f>
        <v>2.4999999999999999E-7</v>
      </c>
      <c r="K8" s="106">
        <f>(J8^2)/G8</f>
        <v>1.25E-15</v>
      </c>
      <c r="L8" s="112"/>
      <c r="M8" s="112"/>
      <c r="N8" s="248" t="s">
        <v>142</v>
      </c>
      <c r="O8" s="249"/>
      <c r="P8" s="260"/>
      <c r="Q8" s="251" t="s">
        <v>138</v>
      </c>
      <c r="R8" s="252">
        <f t="shared" si="0"/>
        <v>0.5</v>
      </c>
      <c r="S8" s="264">
        <f>SQRT(3)</f>
        <v>1.7320508075688772</v>
      </c>
      <c r="T8" s="254">
        <v>50</v>
      </c>
      <c r="U8" s="265">
        <f>R8/S8</f>
        <v>0.28867513459481292</v>
      </c>
      <c r="V8" s="254">
        <v>1</v>
      </c>
      <c r="W8" s="265">
        <f>U8*V8</f>
        <v>0.28867513459481292</v>
      </c>
      <c r="X8" s="262">
        <f>W8^2</f>
        <v>8.3333333333333356E-2</v>
      </c>
      <c r="Y8" s="262">
        <f>W8^4/T8</f>
        <v>1.3888888888888897E-4</v>
      </c>
    </row>
    <row r="9" spans="1:25" ht="17.399999999999999">
      <c r="A9" s="918" t="s">
        <v>143</v>
      </c>
      <c r="B9" s="918"/>
      <c r="C9" s="918"/>
      <c r="D9" s="918"/>
      <c r="E9" s="918"/>
      <c r="F9" s="918"/>
      <c r="G9" s="918"/>
      <c r="H9" s="918"/>
      <c r="I9" s="918"/>
      <c r="J9" s="106">
        <f>SUM(J5:J8)</f>
        <v>8.333358333333335E-2</v>
      </c>
      <c r="K9" s="106">
        <f>SUM(K5:K8)</f>
        <v>1.3888888889013897E-4</v>
      </c>
      <c r="L9" s="112"/>
      <c r="M9" s="112"/>
      <c r="N9" s="266" t="s">
        <v>144</v>
      </c>
      <c r="O9" s="249"/>
      <c r="P9" s="251"/>
      <c r="Q9" s="250" t="s">
        <v>125</v>
      </c>
      <c r="R9" s="264">
        <f t="shared" si="0"/>
        <v>1E-3</v>
      </c>
      <c r="S9" s="264">
        <v>2</v>
      </c>
      <c r="T9" s="254">
        <v>50</v>
      </c>
      <c r="U9" s="261">
        <f>R9/S9</f>
        <v>5.0000000000000001E-4</v>
      </c>
      <c r="V9" s="254">
        <v>1</v>
      </c>
      <c r="W9" s="261">
        <f>U9*V9</f>
        <v>5.0000000000000001E-4</v>
      </c>
      <c r="X9" s="262">
        <f>W9^2</f>
        <v>2.4999999999999999E-7</v>
      </c>
      <c r="Y9" s="262">
        <f>W9^4/T9</f>
        <v>1.25E-15</v>
      </c>
    </row>
    <row r="10" spans="1:25" ht="18">
      <c r="A10" s="918" t="s">
        <v>145</v>
      </c>
      <c r="B10" s="918"/>
      <c r="C10" s="918"/>
      <c r="D10" s="918"/>
      <c r="E10" s="918"/>
      <c r="F10" s="918"/>
      <c r="G10" s="919" t="s">
        <v>146</v>
      </c>
      <c r="H10" s="919"/>
      <c r="I10" s="919"/>
      <c r="J10" s="106">
        <f>SQRT(J9)</f>
        <v>0.28867556760719004</v>
      </c>
      <c r="K10" s="106"/>
      <c r="L10" s="112"/>
      <c r="M10" s="112"/>
      <c r="N10" s="269"/>
      <c r="O10" s="267"/>
      <c r="P10" s="270"/>
      <c r="Q10" s="254"/>
      <c r="R10" s="268"/>
      <c r="S10" s="264"/>
      <c r="T10" s="254"/>
      <c r="U10" s="261"/>
      <c r="V10" s="254"/>
      <c r="W10" s="261"/>
      <c r="X10" s="262"/>
      <c r="Y10" s="262"/>
    </row>
    <row r="11" spans="1:25" ht="18">
      <c r="A11" s="918" t="s">
        <v>147</v>
      </c>
      <c r="B11" s="918"/>
      <c r="C11" s="918"/>
      <c r="D11" s="918"/>
      <c r="E11" s="918"/>
      <c r="F11" s="918"/>
      <c r="G11" s="920" t="s">
        <v>148</v>
      </c>
      <c r="H11" s="920"/>
      <c r="I11" s="920"/>
      <c r="J11" s="106">
        <f>J10^4/(K9)</f>
        <v>50.000299999999982</v>
      </c>
      <c r="K11" s="106"/>
      <c r="L11" s="112"/>
      <c r="M11" s="112"/>
      <c r="N11" s="925" t="s">
        <v>143</v>
      </c>
      <c r="O11" s="926"/>
      <c r="P11" s="926"/>
      <c r="Q11" s="926"/>
      <c r="R11" s="926"/>
      <c r="S11" s="926"/>
      <c r="T11" s="926"/>
      <c r="U11" s="926"/>
      <c r="V11" s="927"/>
      <c r="W11" s="261"/>
      <c r="X11" s="262">
        <f>SUM(X6:X9)</f>
        <v>8.333358333333335E-2</v>
      </c>
      <c r="Y11" s="262">
        <f>SUM(Y6:Y9)</f>
        <v>1.3888888889013897E-4</v>
      </c>
    </row>
    <row r="12" spans="1:25" ht="17.399999999999999">
      <c r="A12" s="918" t="s">
        <v>149</v>
      </c>
      <c r="B12" s="918"/>
      <c r="C12" s="918"/>
      <c r="D12" s="918"/>
      <c r="E12" s="918"/>
      <c r="F12" s="918"/>
      <c r="G12" s="921" t="s">
        <v>150</v>
      </c>
      <c r="H12" s="921"/>
      <c r="I12" s="921"/>
      <c r="J12" s="106">
        <f>1.95996+(2.37356/J11)+(2.818745/J11^2)+(2.546662/J11^3)+(1.761829/J11^4)+(0.245458/J11^5)+(1.000764/J11^6)</f>
        <v>2.0085790553093026</v>
      </c>
      <c r="K12" s="106"/>
      <c r="L12" s="112"/>
      <c r="M12" s="112"/>
      <c r="N12" s="925" t="s">
        <v>145</v>
      </c>
      <c r="O12" s="926"/>
      <c r="P12" s="926"/>
      <c r="Q12" s="926"/>
      <c r="R12" s="926"/>
      <c r="S12" s="926"/>
      <c r="T12" s="926"/>
      <c r="U12" s="926"/>
      <c r="V12" s="927"/>
      <c r="W12" s="261"/>
      <c r="X12" s="271">
        <f>SQRT(X11)</f>
        <v>0.28867556760719004</v>
      </c>
      <c r="Y12" s="262"/>
    </row>
    <row r="13" spans="1:25" ht="17.399999999999999">
      <c r="A13" s="918" t="s">
        <v>151</v>
      </c>
      <c r="B13" s="918"/>
      <c r="C13" s="918"/>
      <c r="D13" s="918"/>
      <c r="E13" s="918"/>
      <c r="F13" s="918"/>
      <c r="G13" s="921" t="s">
        <v>152</v>
      </c>
      <c r="H13" s="921"/>
      <c r="I13" s="921"/>
      <c r="J13" s="279">
        <f>J12*J10</f>
        <v>0.57982769887532648</v>
      </c>
      <c r="K13" s="114" t="s">
        <v>65</v>
      </c>
      <c r="L13" s="112"/>
      <c r="M13" s="112"/>
      <c r="N13" s="925" t="s">
        <v>147</v>
      </c>
      <c r="O13" s="926"/>
      <c r="P13" s="926"/>
      <c r="Q13" s="926"/>
      <c r="R13" s="926"/>
      <c r="S13" s="926"/>
      <c r="T13" s="926"/>
      <c r="U13" s="926"/>
      <c r="V13" s="927"/>
      <c r="W13" s="272"/>
      <c r="X13" s="273">
        <f>X12^4/(Y11)</f>
        <v>50.000299999999982</v>
      </c>
      <c r="Y13" s="274"/>
    </row>
    <row r="14" spans="1:25" ht="17.399999999999999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112"/>
      <c r="M14" s="112"/>
      <c r="N14" s="925" t="s">
        <v>154</v>
      </c>
      <c r="O14" s="926"/>
      <c r="P14" s="926"/>
      <c r="Q14" s="926"/>
      <c r="R14" s="926"/>
      <c r="S14" s="926"/>
      <c r="T14" s="926"/>
      <c r="U14" s="926"/>
      <c r="V14" s="927"/>
      <c r="W14" s="272"/>
      <c r="X14" s="275">
        <f>1.95996+(2.37356/X13)+(2.818745/X13^2)+(2.546662/X13^3)+(1.761829/X13^4)+(0.245458/X13^5)+(1.000764/X13^6)</f>
        <v>2.0085790553093026</v>
      </c>
      <c r="Y14" s="274"/>
    </row>
    <row r="15" spans="1:25" ht="17.399999999999999">
      <c r="A15" s="98" t="s">
        <v>322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12"/>
      <c r="M15" s="112"/>
      <c r="N15" s="925" t="s">
        <v>155</v>
      </c>
      <c r="O15" s="926"/>
      <c r="P15" s="926"/>
      <c r="Q15" s="926"/>
      <c r="R15" s="926"/>
      <c r="S15" s="926"/>
      <c r="T15" s="926"/>
      <c r="U15" s="926"/>
      <c r="V15" s="927"/>
      <c r="W15" s="272"/>
      <c r="X15" s="277">
        <f>X14*X12</f>
        <v>0.57982769887532648</v>
      </c>
      <c r="Y15" s="276" t="s">
        <v>156</v>
      </c>
    </row>
    <row r="16" spans="1:25" ht="17.399999999999999">
      <c r="A16" s="100" t="s">
        <v>112</v>
      </c>
      <c r="B16" s="101" t="s">
        <v>113</v>
      </c>
      <c r="C16" s="102" t="s">
        <v>114</v>
      </c>
      <c r="D16" s="101" t="s">
        <v>122</v>
      </c>
      <c r="E16" s="103" t="s">
        <v>115</v>
      </c>
      <c r="F16" s="101" t="s">
        <v>117</v>
      </c>
      <c r="G16" s="102" t="s">
        <v>116</v>
      </c>
      <c r="H16" s="101" t="s">
        <v>118</v>
      </c>
      <c r="I16" s="102" t="s">
        <v>119</v>
      </c>
      <c r="J16" s="101" t="s">
        <v>120</v>
      </c>
      <c r="K16" s="113" t="s">
        <v>121</v>
      </c>
      <c r="L16" s="112"/>
      <c r="M16" s="112"/>
    </row>
    <row r="17" spans="1:25" ht="17.399999999999999">
      <c r="A17" s="104" t="s">
        <v>123</v>
      </c>
      <c r="B17" s="104" t="s">
        <v>124</v>
      </c>
      <c r="C17" s="104" t="s">
        <v>125</v>
      </c>
      <c r="D17" s="105">
        <f>ID!L75</f>
        <v>0</v>
      </c>
      <c r="E17" s="106">
        <f>SQRT(6)</f>
        <v>2.4494897427831779</v>
      </c>
      <c r="F17" s="106">
        <f>D17/E17</f>
        <v>0</v>
      </c>
      <c r="G17" s="107">
        <f>6-1</f>
        <v>5</v>
      </c>
      <c r="H17" s="107">
        <v>1</v>
      </c>
      <c r="I17" s="106">
        <f>F17*H17</f>
        <v>0</v>
      </c>
      <c r="J17" s="106">
        <f>I17^2</f>
        <v>0</v>
      </c>
      <c r="K17" s="106">
        <f>(J17^2)/G17</f>
        <v>0</v>
      </c>
      <c r="L17" s="112"/>
      <c r="M17" s="112"/>
      <c r="N17" s="278" t="s">
        <v>322</v>
      </c>
    </row>
    <row r="18" spans="1:25" ht="18">
      <c r="A18" s="104" t="s">
        <v>137</v>
      </c>
      <c r="B18" s="104" t="s">
        <v>124</v>
      </c>
      <c r="C18" s="104" t="s">
        <v>138</v>
      </c>
      <c r="D18" s="105">
        <f>M117</f>
        <v>0</v>
      </c>
      <c r="E18" s="106">
        <f>SQRT(3)</f>
        <v>1.7320508075688772</v>
      </c>
      <c r="F18" s="106">
        <f>D18/E18</f>
        <v>0</v>
      </c>
      <c r="G18" s="107">
        <v>50</v>
      </c>
      <c r="H18" s="107">
        <v>1</v>
      </c>
      <c r="I18" s="106">
        <f>F18*H18</f>
        <v>0</v>
      </c>
      <c r="J18" s="106">
        <f>I18^2</f>
        <v>0</v>
      </c>
      <c r="K18" s="106">
        <f>(J18^2)/G18</f>
        <v>0</v>
      </c>
      <c r="L18" s="112"/>
      <c r="M18" s="112"/>
      <c r="N18" s="914" t="s">
        <v>112</v>
      </c>
      <c r="O18" s="915"/>
      <c r="P18" s="245" t="s">
        <v>113</v>
      </c>
      <c r="Q18" s="245" t="s">
        <v>114</v>
      </c>
      <c r="R18" s="245" t="s">
        <v>122</v>
      </c>
      <c r="S18" s="245" t="s">
        <v>115</v>
      </c>
      <c r="T18" s="246" t="s">
        <v>314</v>
      </c>
      <c r="U18" s="245" t="s">
        <v>315</v>
      </c>
      <c r="V18" s="245" t="s">
        <v>316</v>
      </c>
      <c r="W18" s="245" t="s">
        <v>317</v>
      </c>
      <c r="X18" s="245" t="s">
        <v>318</v>
      </c>
      <c r="Y18" s="245" t="s">
        <v>319</v>
      </c>
    </row>
    <row r="19" spans="1:25" ht="17.399999999999999">
      <c r="A19" s="104" t="s">
        <v>5</v>
      </c>
      <c r="B19" s="104" t="s">
        <v>124</v>
      </c>
      <c r="C19" s="104" t="s">
        <v>138</v>
      </c>
      <c r="D19" s="105">
        <f>ID!E7*0.5</f>
        <v>0.5</v>
      </c>
      <c r="E19" s="106">
        <f>SQRT(3)</f>
        <v>1.7320508075688772</v>
      </c>
      <c r="F19" s="106">
        <f>D19/E19</f>
        <v>0.28867513459481292</v>
      </c>
      <c r="G19" s="107">
        <v>50</v>
      </c>
      <c r="H19" s="107">
        <v>1</v>
      </c>
      <c r="I19" s="106">
        <f>F19*H19</f>
        <v>0.28867513459481292</v>
      </c>
      <c r="J19" s="106">
        <f>I19^2</f>
        <v>8.3333333333333356E-2</v>
      </c>
      <c r="K19" s="106">
        <f>(J19^2)/G19</f>
        <v>1.3888888888888897E-4</v>
      </c>
      <c r="L19" s="112"/>
      <c r="M19" s="112"/>
      <c r="N19" s="916" t="s">
        <v>126</v>
      </c>
      <c r="O19" s="917"/>
      <c r="P19" s="247" t="s">
        <v>127</v>
      </c>
      <c r="Q19" s="247" t="s">
        <v>128</v>
      </c>
      <c r="R19" s="247" t="s">
        <v>129</v>
      </c>
      <c r="S19" s="247" t="s">
        <v>130</v>
      </c>
      <c r="T19" s="247" t="s">
        <v>131</v>
      </c>
      <c r="U19" s="247" t="s">
        <v>132</v>
      </c>
      <c r="V19" s="247" t="s">
        <v>133</v>
      </c>
      <c r="W19" s="247" t="s">
        <v>134</v>
      </c>
      <c r="X19" s="247" t="s">
        <v>135</v>
      </c>
      <c r="Y19" s="247" t="s">
        <v>136</v>
      </c>
    </row>
    <row r="20" spans="1:25" ht="17.399999999999999">
      <c r="A20" s="104" t="s">
        <v>141</v>
      </c>
      <c r="B20" s="104" t="s">
        <v>124</v>
      </c>
      <c r="C20" s="104" t="s">
        <v>125</v>
      </c>
      <c r="D20" s="105">
        <f>B117</f>
        <v>1E-3</v>
      </c>
      <c r="E20" s="106">
        <v>2</v>
      </c>
      <c r="F20" s="106">
        <f>D20/E20</f>
        <v>5.0000000000000001E-4</v>
      </c>
      <c r="G20" s="107">
        <v>50</v>
      </c>
      <c r="H20" s="107">
        <v>1</v>
      </c>
      <c r="I20" s="106">
        <f>F20*H20</f>
        <v>5.0000000000000001E-4</v>
      </c>
      <c r="J20" s="106">
        <f>I20^2</f>
        <v>2.4999999999999999E-7</v>
      </c>
      <c r="K20" s="106">
        <f>(J20^2)/G20</f>
        <v>1.25E-15</v>
      </c>
      <c r="L20" s="112"/>
      <c r="M20" s="112"/>
      <c r="N20" s="248" t="s">
        <v>139</v>
      </c>
      <c r="O20" s="249"/>
      <c r="P20" s="250"/>
      <c r="Q20" s="251" t="s">
        <v>125</v>
      </c>
      <c r="R20" s="252">
        <f>D17</f>
        <v>0</v>
      </c>
      <c r="S20" s="253">
        <v>2.4500000000000002</v>
      </c>
      <c r="T20" s="254">
        <v>5</v>
      </c>
      <c r="U20" s="255">
        <f>R20/S20</f>
        <v>0</v>
      </c>
      <c r="V20" s="256">
        <v>1</v>
      </c>
      <c r="W20" s="257">
        <f>U20*V20</f>
        <v>0</v>
      </c>
      <c r="X20" s="258">
        <f>W20^2</f>
        <v>0</v>
      </c>
      <c r="Y20" s="259">
        <f>W20^4/T20</f>
        <v>0</v>
      </c>
    </row>
    <row r="21" spans="1:25" ht="17.399999999999999">
      <c r="A21" s="918" t="s">
        <v>143</v>
      </c>
      <c r="B21" s="918"/>
      <c r="C21" s="918"/>
      <c r="D21" s="918"/>
      <c r="E21" s="918"/>
      <c r="F21" s="918"/>
      <c r="G21" s="918"/>
      <c r="H21" s="918"/>
      <c r="I21" s="918"/>
      <c r="J21" s="106">
        <f>SUM(J17:J20)</f>
        <v>8.333358333333335E-2</v>
      </c>
      <c r="K21" s="106">
        <f>SUM(K17:K20)</f>
        <v>1.3888888889013897E-4</v>
      </c>
      <c r="L21" s="112"/>
      <c r="M21" s="112"/>
      <c r="N21" s="248" t="s">
        <v>140</v>
      </c>
      <c r="O21" s="249"/>
      <c r="P21" s="260"/>
      <c r="Q21" s="251" t="s">
        <v>138</v>
      </c>
      <c r="R21" s="252">
        <f t="shared" ref="R21:R23" si="1">D18</f>
        <v>0</v>
      </c>
      <c r="S21" s="253">
        <v>1.73</v>
      </c>
      <c r="T21" s="254">
        <v>50</v>
      </c>
      <c r="U21" s="261">
        <f>R21/S21</f>
        <v>0</v>
      </c>
      <c r="V21" s="254">
        <v>1</v>
      </c>
      <c r="W21" s="261">
        <f>U21*V21</f>
        <v>0</v>
      </c>
      <c r="X21" s="262">
        <f>W21^2</f>
        <v>0</v>
      </c>
      <c r="Y21" s="263">
        <f>W21^4/T21</f>
        <v>0</v>
      </c>
    </row>
    <row r="22" spans="1:25" ht="18">
      <c r="A22" s="918" t="s">
        <v>145</v>
      </c>
      <c r="B22" s="918"/>
      <c r="C22" s="918"/>
      <c r="D22" s="918"/>
      <c r="E22" s="918"/>
      <c r="F22" s="918"/>
      <c r="G22" s="919" t="s">
        <v>146</v>
      </c>
      <c r="H22" s="919"/>
      <c r="I22" s="919"/>
      <c r="J22" s="106">
        <f>SQRT(J21)</f>
        <v>0.28867556760719004</v>
      </c>
      <c r="K22" s="106"/>
      <c r="L22" s="112"/>
      <c r="M22" s="112"/>
      <c r="N22" s="248" t="s">
        <v>142</v>
      </c>
      <c r="O22" s="249"/>
      <c r="P22" s="260"/>
      <c r="Q22" s="251" t="s">
        <v>138</v>
      </c>
      <c r="R22" s="252">
        <f t="shared" si="1"/>
        <v>0.5</v>
      </c>
      <c r="S22" s="264">
        <f>SQRT(3)</f>
        <v>1.7320508075688772</v>
      </c>
      <c r="T22" s="254">
        <v>50</v>
      </c>
      <c r="U22" s="265">
        <f>R22/S22</f>
        <v>0.28867513459481292</v>
      </c>
      <c r="V22" s="254">
        <v>1</v>
      </c>
      <c r="W22" s="265">
        <f>U22*V22</f>
        <v>0.28867513459481292</v>
      </c>
      <c r="X22" s="262">
        <f>W22^2</f>
        <v>8.3333333333333356E-2</v>
      </c>
      <c r="Y22" s="262">
        <f>W22^4/T22</f>
        <v>1.3888888888888897E-4</v>
      </c>
    </row>
    <row r="23" spans="1:25" ht="18">
      <c r="A23" s="918" t="s">
        <v>147</v>
      </c>
      <c r="B23" s="918"/>
      <c r="C23" s="918"/>
      <c r="D23" s="918"/>
      <c r="E23" s="918"/>
      <c r="F23" s="918"/>
      <c r="G23" s="920" t="s">
        <v>148</v>
      </c>
      <c r="H23" s="920"/>
      <c r="I23" s="920"/>
      <c r="J23" s="106">
        <f>J22^4/(K21)</f>
        <v>50.000299999999982</v>
      </c>
      <c r="K23" s="106"/>
      <c r="L23" s="112"/>
      <c r="M23" s="112"/>
      <c r="N23" s="266" t="s">
        <v>144</v>
      </c>
      <c r="O23" s="249"/>
      <c r="P23" s="251"/>
      <c r="Q23" s="250" t="s">
        <v>125</v>
      </c>
      <c r="R23" s="264">
        <f t="shared" si="1"/>
        <v>1E-3</v>
      </c>
      <c r="S23" s="264">
        <v>2</v>
      </c>
      <c r="T23" s="254">
        <v>50</v>
      </c>
      <c r="U23" s="261">
        <f>R23/S23</f>
        <v>5.0000000000000001E-4</v>
      </c>
      <c r="V23" s="254">
        <v>1</v>
      </c>
      <c r="W23" s="261">
        <f>U23*V23</f>
        <v>5.0000000000000001E-4</v>
      </c>
      <c r="X23" s="262">
        <f>W23^2</f>
        <v>2.4999999999999999E-7</v>
      </c>
      <c r="Y23" s="262">
        <f>W23^4/T23</f>
        <v>1.25E-15</v>
      </c>
    </row>
    <row r="24" spans="1:25" ht="17.399999999999999">
      <c r="A24" s="918" t="s">
        <v>149</v>
      </c>
      <c r="B24" s="918"/>
      <c r="C24" s="918"/>
      <c r="D24" s="918"/>
      <c r="E24" s="918"/>
      <c r="F24" s="918"/>
      <c r="G24" s="921" t="s">
        <v>150</v>
      </c>
      <c r="H24" s="921"/>
      <c r="I24" s="921"/>
      <c r="J24" s="106">
        <f>1.95996+(2.37356/J23)+(2.818745/J23^2)+(2.546662/J23^3)+(1.761829/J23^4)+(0.245458/J23^5)+(1.000764/J23^6)</f>
        <v>2.0085790553093026</v>
      </c>
      <c r="K24" s="106"/>
      <c r="L24" s="112"/>
      <c r="M24" s="112"/>
      <c r="N24" s="269"/>
      <c r="O24" s="267"/>
      <c r="P24" s="270"/>
      <c r="Q24" s="254"/>
      <c r="R24" s="268"/>
      <c r="S24" s="264"/>
      <c r="T24" s="254"/>
      <c r="U24" s="261"/>
      <c r="V24" s="254"/>
      <c r="W24" s="261"/>
      <c r="X24" s="262"/>
      <c r="Y24" s="262"/>
    </row>
    <row r="25" spans="1:25" ht="17.399999999999999">
      <c r="A25" s="918" t="s">
        <v>151</v>
      </c>
      <c r="B25" s="918"/>
      <c r="C25" s="918"/>
      <c r="D25" s="918"/>
      <c r="E25" s="918"/>
      <c r="F25" s="918"/>
      <c r="G25" s="921" t="s">
        <v>152</v>
      </c>
      <c r="H25" s="921"/>
      <c r="I25" s="921"/>
      <c r="J25" s="279">
        <f>J24*J22</f>
        <v>0.57982769887532648</v>
      </c>
      <c r="K25" s="114" t="s">
        <v>65</v>
      </c>
      <c r="L25" s="112"/>
      <c r="M25" s="112"/>
      <c r="N25" s="925" t="s">
        <v>143</v>
      </c>
      <c r="O25" s="926"/>
      <c r="P25" s="926"/>
      <c r="Q25" s="926"/>
      <c r="R25" s="926"/>
      <c r="S25" s="926"/>
      <c r="T25" s="926"/>
      <c r="U25" s="926"/>
      <c r="V25" s="927"/>
      <c r="W25" s="261"/>
      <c r="X25" s="262">
        <f>SUM(X20:X23)</f>
        <v>8.333358333333335E-2</v>
      </c>
      <c r="Y25" s="262">
        <f>SUM(Y20:Y23)</f>
        <v>1.3888888889013897E-4</v>
      </c>
    </row>
    <row r="26" spans="1:25" ht="17.399999999999999">
      <c r="A26" s="108"/>
      <c r="B26" s="108"/>
      <c r="C26" s="108"/>
      <c r="D26" s="108"/>
      <c r="E26" s="108"/>
      <c r="F26" s="108"/>
      <c r="G26" s="109"/>
      <c r="H26" s="109"/>
      <c r="I26" s="109"/>
      <c r="J26" s="115"/>
      <c r="K26" s="116"/>
      <c r="L26" s="112"/>
      <c r="M26" s="112"/>
      <c r="N26" s="925" t="s">
        <v>145</v>
      </c>
      <c r="O26" s="926"/>
      <c r="P26" s="926"/>
      <c r="Q26" s="926"/>
      <c r="R26" s="926"/>
      <c r="S26" s="926"/>
      <c r="T26" s="926"/>
      <c r="U26" s="926"/>
      <c r="V26" s="927"/>
      <c r="W26" s="261"/>
      <c r="X26" s="271">
        <f>SQRT(X25)</f>
        <v>0.28867556760719004</v>
      </c>
      <c r="Y26" s="262"/>
    </row>
    <row r="27" spans="1:25" ht="13.8">
      <c r="A27" s="98" t="s">
        <v>323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N27" s="925" t="s">
        <v>147</v>
      </c>
      <c r="O27" s="926"/>
      <c r="P27" s="926"/>
      <c r="Q27" s="926"/>
      <c r="R27" s="926"/>
      <c r="S27" s="926"/>
      <c r="T27" s="926"/>
      <c r="U27" s="926"/>
      <c r="V27" s="927"/>
      <c r="W27" s="272"/>
      <c r="X27" s="273">
        <f>X26^4/(Y25)</f>
        <v>50.000299999999982</v>
      </c>
      <c r="Y27" s="274"/>
    </row>
    <row r="28" spans="1:25" ht="21" customHeight="1">
      <c r="A28" s="100" t="s">
        <v>112</v>
      </c>
      <c r="B28" s="101" t="s">
        <v>113</v>
      </c>
      <c r="C28" s="102" t="s">
        <v>114</v>
      </c>
      <c r="D28" s="101" t="s">
        <v>122</v>
      </c>
      <c r="E28" s="103" t="s">
        <v>115</v>
      </c>
      <c r="F28" s="101" t="s">
        <v>117</v>
      </c>
      <c r="G28" s="102" t="s">
        <v>116</v>
      </c>
      <c r="H28" s="101" t="s">
        <v>118</v>
      </c>
      <c r="I28" s="102" t="s">
        <v>119</v>
      </c>
      <c r="J28" s="101" t="s">
        <v>120</v>
      </c>
      <c r="K28" s="113" t="s">
        <v>121</v>
      </c>
      <c r="N28" s="925" t="s">
        <v>154</v>
      </c>
      <c r="O28" s="926"/>
      <c r="P28" s="926"/>
      <c r="Q28" s="926"/>
      <c r="R28" s="926"/>
      <c r="S28" s="926"/>
      <c r="T28" s="926"/>
      <c r="U28" s="926"/>
      <c r="V28" s="927"/>
      <c r="W28" s="272"/>
      <c r="X28" s="275">
        <f>1.95996+(2.37356/X27)+(2.818745/X27^2)+(2.546662/X27^3)+(1.761829/X27^4)+(0.245458/X27^5)+(1.000764/X27^6)</f>
        <v>2.0085790553093026</v>
      </c>
      <c r="Y28" s="274"/>
    </row>
    <row r="29" spans="1:25" ht="21" customHeight="1">
      <c r="A29" s="104" t="s">
        <v>123</v>
      </c>
      <c r="B29" s="104" t="s">
        <v>124</v>
      </c>
      <c r="C29" s="104" t="s">
        <v>125</v>
      </c>
      <c r="D29" s="105">
        <f>ID!L76</f>
        <v>0</v>
      </c>
      <c r="E29" s="106">
        <f>SQRT(6)</f>
        <v>2.4494897427831779</v>
      </c>
      <c r="F29" s="106">
        <f>D29/E29</f>
        <v>0</v>
      </c>
      <c r="G29" s="110">
        <f>6-1</f>
        <v>5</v>
      </c>
      <c r="H29" s="110">
        <v>1</v>
      </c>
      <c r="I29" s="106">
        <f>F29*H29</f>
        <v>0</v>
      </c>
      <c r="J29" s="106">
        <f>I29^2</f>
        <v>0</v>
      </c>
      <c r="K29" s="106">
        <f>(J29^2)/G29</f>
        <v>0</v>
      </c>
      <c r="N29" s="925" t="s">
        <v>155</v>
      </c>
      <c r="O29" s="926"/>
      <c r="P29" s="926"/>
      <c r="Q29" s="926"/>
      <c r="R29" s="926"/>
      <c r="S29" s="926"/>
      <c r="T29" s="926"/>
      <c r="U29" s="926"/>
      <c r="V29" s="927"/>
      <c r="W29" s="272"/>
      <c r="X29" s="277">
        <f>X28*X26</f>
        <v>0.57982769887532648</v>
      </c>
      <c r="Y29" s="276" t="s">
        <v>156</v>
      </c>
    </row>
    <row r="30" spans="1:25" ht="21" customHeight="1">
      <c r="A30" s="104" t="s">
        <v>137</v>
      </c>
      <c r="B30" s="104" t="s">
        <v>124</v>
      </c>
      <c r="C30" s="104" t="s">
        <v>138</v>
      </c>
      <c r="D30" s="105">
        <f>N115</f>
        <v>0</v>
      </c>
      <c r="E30" s="106">
        <f>SQRT(3)</f>
        <v>1.7320508075688772</v>
      </c>
      <c r="F30" s="106">
        <f>D30/E30</f>
        <v>0</v>
      </c>
      <c r="G30" s="110">
        <v>50</v>
      </c>
      <c r="H30" s="110">
        <v>1</v>
      </c>
      <c r="I30" s="106">
        <f>F30*H30</f>
        <v>0</v>
      </c>
      <c r="J30" s="106">
        <f>I30^2</f>
        <v>0</v>
      </c>
      <c r="K30" s="106">
        <f>(J30^2)/G30</f>
        <v>0</v>
      </c>
      <c r="T30" s="21"/>
      <c r="U30" s="21"/>
      <c r="V30" s="21"/>
      <c r="W30" s="21"/>
    </row>
    <row r="31" spans="1:25" ht="21" customHeight="1">
      <c r="A31" s="104" t="s">
        <v>5</v>
      </c>
      <c r="B31" s="104" t="s">
        <v>124</v>
      </c>
      <c r="C31" s="104" t="s">
        <v>138</v>
      </c>
      <c r="D31" s="105">
        <f>ID!E7*0.5</f>
        <v>0.5</v>
      </c>
      <c r="E31" s="106">
        <f>SQRT(3)</f>
        <v>1.7320508075688772</v>
      </c>
      <c r="F31" s="106">
        <f>D31/E31</f>
        <v>0.28867513459481292</v>
      </c>
      <c r="G31" s="110">
        <v>50</v>
      </c>
      <c r="H31" s="110">
        <v>1</v>
      </c>
      <c r="I31" s="106">
        <f>F31*H31</f>
        <v>0.28867513459481292</v>
      </c>
      <c r="J31" s="106">
        <f>I31^2</f>
        <v>8.3333333333333356E-2</v>
      </c>
      <c r="K31" s="106">
        <f>(J31^2)/G31</f>
        <v>1.3888888888888897E-4</v>
      </c>
      <c r="N31" s="278" t="s">
        <v>323</v>
      </c>
    </row>
    <row r="32" spans="1:25" ht="21" customHeight="1">
      <c r="A32" s="104" t="s">
        <v>141</v>
      </c>
      <c r="B32" s="104" t="s">
        <v>124</v>
      </c>
      <c r="C32" s="104" t="s">
        <v>125</v>
      </c>
      <c r="D32" s="105">
        <f>B118</f>
        <v>1E-3</v>
      </c>
      <c r="E32" s="106">
        <v>2</v>
      </c>
      <c r="F32" s="106">
        <f>D32/E32</f>
        <v>5.0000000000000001E-4</v>
      </c>
      <c r="G32" s="110">
        <v>50</v>
      </c>
      <c r="H32" s="110">
        <v>1</v>
      </c>
      <c r="I32" s="106">
        <f>F32*H32</f>
        <v>5.0000000000000001E-4</v>
      </c>
      <c r="J32" s="106">
        <f>I32^2</f>
        <v>2.4999999999999999E-7</v>
      </c>
      <c r="K32" s="106">
        <f>(J32^2)/G32</f>
        <v>1.25E-15</v>
      </c>
      <c r="N32" s="914" t="s">
        <v>112</v>
      </c>
      <c r="O32" s="915"/>
      <c r="P32" s="245" t="s">
        <v>113</v>
      </c>
      <c r="Q32" s="245" t="s">
        <v>114</v>
      </c>
      <c r="R32" s="245" t="s">
        <v>122</v>
      </c>
      <c r="S32" s="245" t="s">
        <v>115</v>
      </c>
      <c r="T32" s="246" t="s">
        <v>314</v>
      </c>
      <c r="U32" s="245" t="s">
        <v>315</v>
      </c>
      <c r="V32" s="245" t="s">
        <v>316</v>
      </c>
      <c r="W32" s="245" t="s">
        <v>317</v>
      </c>
      <c r="X32" s="245" t="s">
        <v>318</v>
      </c>
      <c r="Y32" s="245" t="s">
        <v>319</v>
      </c>
    </row>
    <row r="33" spans="1:25" ht="21" customHeight="1">
      <c r="A33" s="918" t="s">
        <v>143</v>
      </c>
      <c r="B33" s="918"/>
      <c r="C33" s="918"/>
      <c r="D33" s="918"/>
      <c r="E33" s="918"/>
      <c r="F33" s="918"/>
      <c r="G33" s="918"/>
      <c r="H33" s="918"/>
      <c r="I33" s="918"/>
      <c r="J33" s="106">
        <f>SUM(J29:J32)</f>
        <v>8.333358333333335E-2</v>
      </c>
      <c r="K33" s="106">
        <f>SUM(K29:K32)</f>
        <v>1.3888888889013897E-4</v>
      </c>
      <c r="N33" s="916" t="s">
        <v>126</v>
      </c>
      <c r="O33" s="917"/>
      <c r="P33" s="247" t="s">
        <v>127</v>
      </c>
      <c r="Q33" s="247" t="s">
        <v>128</v>
      </c>
      <c r="R33" s="247" t="s">
        <v>129</v>
      </c>
      <c r="S33" s="247" t="s">
        <v>130</v>
      </c>
      <c r="T33" s="247" t="s">
        <v>131</v>
      </c>
      <c r="U33" s="247" t="s">
        <v>132</v>
      </c>
      <c r="V33" s="247" t="s">
        <v>133</v>
      </c>
      <c r="W33" s="247" t="s">
        <v>134</v>
      </c>
      <c r="X33" s="247" t="s">
        <v>135</v>
      </c>
      <c r="Y33" s="247" t="s">
        <v>136</v>
      </c>
    </row>
    <row r="34" spans="1:25" ht="21" customHeight="1">
      <c r="A34" s="918" t="s">
        <v>145</v>
      </c>
      <c r="B34" s="918"/>
      <c r="C34" s="918"/>
      <c r="D34" s="918"/>
      <c r="E34" s="918"/>
      <c r="F34" s="918"/>
      <c r="G34" s="919" t="s">
        <v>146</v>
      </c>
      <c r="H34" s="919"/>
      <c r="I34" s="919"/>
      <c r="J34" s="106">
        <f>SQRT(J33)</f>
        <v>0.28867556760719004</v>
      </c>
      <c r="K34" s="106"/>
      <c r="N34" s="248" t="s">
        <v>139</v>
      </c>
      <c r="O34" s="249"/>
      <c r="P34" s="250"/>
      <c r="Q34" s="251" t="s">
        <v>125</v>
      </c>
      <c r="R34" s="252">
        <f>D29</f>
        <v>0</v>
      </c>
      <c r="S34" s="253">
        <v>2.4500000000000002</v>
      </c>
      <c r="T34" s="254">
        <v>5</v>
      </c>
      <c r="U34" s="255">
        <f>R34/S34</f>
        <v>0</v>
      </c>
      <c r="V34" s="256">
        <v>1</v>
      </c>
      <c r="W34" s="257">
        <f>U34*V34</f>
        <v>0</v>
      </c>
      <c r="X34" s="258">
        <f>W34^2</f>
        <v>0</v>
      </c>
      <c r="Y34" s="259">
        <f>W34^4/T34</f>
        <v>0</v>
      </c>
    </row>
    <row r="35" spans="1:25" ht="21" customHeight="1">
      <c r="A35" s="918" t="s">
        <v>147</v>
      </c>
      <c r="B35" s="918"/>
      <c r="C35" s="918"/>
      <c r="D35" s="918"/>
      <c r="E35" s="918"/>
      <c r="F35" s="918"/>
      <c r="G35" s="920" t="s">
        <v>148</v>
      </c>
      <c r="H35" s="920"/>
      <c r="I35" s="920"/>
      <c r="J35" s="106">
        <f>J34^4/(K33)</f>
        <v>50.000299999999982</v>
      </c>
      <c r="K35" s="106"/>
      <c r="N35" s="248" t="s">
        <v>140</v>
      </c>
      <c r="O35" s="249"/>
      <c r="P35" s="260"/>
      <c r="Q35" s="251" t="s">
        <v>138</v>
      </c>
      <c r="R35" s="252">
        <f t="shared" ref="R35:R37" si="2">D30</f>
        <v>0</v>
      </c>
      <c r="S35" s="253">
        <v>1.73</v>
      </c>
      <c r="T35" s="254">
        <v>50</v>
      </c>
      <c r="U35" s="261">
        <f>R35/S35</f>
        <v>0</v>
      </c>
      <c r="V35" s="254">
        <v>1</v>
      </c>
      <c r="W35" s="261">
        <f>U35*V35</f>
        <v>0</v>
      </c>
      <c r="X35" s="262">
        <f>W35^2</f>
        <v>0</v>
      </c>
      <c r="Y35" s="263">
        <f>W35^4/T35</f>
        <v>0</v>
      </c>
    </row>
    <row r="36" spans="1:25" ht="21" customHeight="1">
      <c r="A36" s="918" t="s">
        <v>149</v>
      </c>
      <c r="B36" s="918"/>
      <c r="C36" s="918"/>
      <c r="D36" s="918"/>
      <c r="E36" s="918"/>
      <c r="F36" s="918"/>
      <c r="G36" s="921" t="s">
        <v>150</v>
      </c>
      <c r="H36" s="921"/>
      <c r="I36" s="921"/>
      <c r="J36" s="106">
        <f>1.95996+(2.37356/J35)+(2.818745/J35^2)+(2.546662/J35^3)+(1.761829/J35^4)+(0.245458/J35^5)+(1.000764/J35^6)</f>
        <v>2.0085790553093026</v>
      </c>
      <c r="K36" s="106"/>
      <c r="N36" s="248" t="s">
        <v>142</v>
      </c>
      <c r="O36" s="249"/>
      <c r="P36" s="260"/>
      <c r="Q36" s="251" t="s">
        <v>138</v>
      </c>
      <c r="R36" s="252">
        <f t="shared" si="2"/>
        <v>0.5</v>
      </c>
      <c r="S36" s="264">
        <f>SQRT(3)</f>
        <v>1.7320508075688772</v>
      </c>
      <c r="T36" s="254">
        <v>50</v>
      </c>
      <c r="U36" s="265">
        <f>R36/S36</f>
        <v>0.28867513459481292</v>
      </c>
      <c r="V36" s="254">
        <v>1</v>
      </c>
      <c r="W36" s="265">
        <f>U36*V36</f>
        <v>0.28867513459481292</v>
      </c>
      <c r="X36" s="262">
        <f>W36^2</f>
        <v>8.3333333333333356E-2</v>
      </c>
      <c r="Y36" s="262">
        <f>W36^4/T36</f>
        <v>1.3888888888888897E-4</v>
      </c>
    </row>
    <row r="37" spans="1:25" ht="21" customHeight="1">
      <c r="A37" s="918" t="s">
        <v>151</v>
      </c>
      <c r="B37" s="918"/>
      <c r="C37" s="918"/>
      <c r="D37" s="918"/>
      <c r="E37" s="918"/>
      <c r="F37" s="918"/>
      <c r="G37" s="921" t="s">
        <v>152</v>
      </c>
      <c r="H37" s="921"/>
      <c r="I37" s="921"/>
      <c r="J37" s="279">
        <f>J36*J34</f>
        <v>0.57982769887532648</v>
      </c>
      <c r="K37" s="114" t="s">
        <v>65</v>
      </c>
      <c r="N37" s="266" t="s">
        <v>144</v>
      </c>
      <c r="O37" s="249"/>
      <c r="P37" s="251"/>
      <c r="Q37" s="250" t="s">
        <v>125</v>
      </c>
      <c r="R37" s="264">
        <f t="shared" si="2"/>
        <v>1E-3</v>
      </c>
      <c r="S37" s="264">
        <v>2</v>
      </c>
      <c r="T37" s="254">
        <v>50</v>
      </c>
      <c r="U37" s="261">
        <f>R37/S37</f>
        <v>5.0000000000000001E-4</v>
      </c>
      <c r="V37" s="254">
        <v>1</v>
      </c>
      <c r="W37" s="261">
        <f>U37*V37</f>
        <v>5.0000000000000001E-4</v>
      </c>
      <c r="X37" s="262">
        <f>W37^2</f>
        <v>2.4999999999999999E-7</v>
      </c>
      <c r="Y37" s="262">
        <f>W37^4/T37</f>
        <v>1.25E-15</v>
      </c>
    </row>
    <row r="38" spans="1:25" ht="14.4">
      <c r="A38" s="108"/>
      <c r="B38" s="108"/>
      <c r="C38" s="108"/>
      <c r="D38" s="108"/>
      <c r="E38" s="108"/>
      <c r="F38" s="108"/>
      <c r="G38" s="109"/>
      <c r="H38" s="109"/>
      <c r="I38" s="109"/>
      <c r="J38" s="14"/>
      <c r="K38" s="117"/>
      <c r="N38" s="269"/>
      <c r="O38" s="267"/>
      <c r="P38" s="270"/>
      <c r="Q38" s="254"/>
      <c r="R38" s="268"/>
      <c r="S38" s="264"/>
      <c r="T38" s="254"/>
      <c r="U38" s="261"/>
      <c r="V38" s="254"/>
      <c r="W38" s="261"/>
      <c r="X38" s="262"/>
      <c r="Y38" s="262"/>
    </row>
    <row r="39" spans="1:25">
      <c r="A39" s="98" t="s">
        <v>324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N39" s="925" t="s">
        <v>143</v>
      </c>
      <c r="O39" s="926"/>
      <c r="P39" s="926"/>
      <c r="Q39" s="926"/>
      <c r="R39" s="926"/>
      <c r="S39" s="926"/>
      <c r="T39" s="926"/>
      <c r="U39" s="926"/>
      <c r="V39" s="927"/>
      <c r="W39" s="261"/>
      <c r="X39" s="262">
        <f>SUM(X34:X37)</f>
        <v>8.333358333333335E-2</v>
      </c>
      <c r="Y39" s="262">
        <f>SUM(Y34:Y37)</f>
        <v>1.3888888889013897E-4</v>
      </c>
    </row>
    <row r="40" spans="1:25" ht="21.75" customHeight="1">
      <c r="A40" s="100" t="s">
        <v>112</v>
      </c>
      <c r="B40" s="101" t="s">
        <v>113</v>
      </c>
      <c r="C40" s="102" t="s">
        <v>114</v>
      </c>
      <c r="D40" s="101" t="s">
        <v>122</v>
      </c>
      <c r="E40" s="103" t="s">
        <v>115</v>
      </c>
      <c r="F40" s="101" t="s">
        <v>117</v>
      </c>
      <c r="G40" s="102" t="s">
        <v>116</v>
      </c>
      <c r="H40" s="101" t="s">
        <v>118</v>
      </c>
      <c r="I40" s="102" t="s">
        <v>119</v>
      </c>
      <c r="J40" s="101" t="s">
        <v>120</v>
      </c>
      <c r="K40" s="113" t="s">
        <v>121</v>
      </c>
      <c r="N40" s="925" t="s">
        <v>145</v>
      </c>
      <c r="O40" s="926"/>
      <c r="P40" s="926"/>
      <c r="Q40" s="926"/>
      <c r="R40" s="926"/>
      <c r="S40" s="926"/>
      <c r="T40" s="926"/>
      <c r="U40" s="926"/>
      <c r="V40" s="927"/>
      <c r="W40" s="261"/>
      <c r="X40" s="271">
        <f>SQRT(X39)</f>
        <v>0.28867556760719004</v>
      </c>
      <c r="Y40" s="262"/>
    </row>
    <row r="41" spans="1:25" ht="21.75" customHeight="1">
      <c r="A41" s="104" t="s">
        <v>123</v>
      </c>
      <c r="B41" s="104" t="s">
        <v>124</v>
      </c>
      <c r="C41" s="104" t="s">
        <v>125</v>
      </c>
      <c r="D41" s="111">
        <f>ID!L77</f>
        <v>0</v>
      </c>
      <c r="E41" s="106">
        <f>SQRT(6)</f>
        <v>2.4494897427831779</v>
      </c>
      <c r="F41" s="106">
        <f>D41/E41</f>
        <v>0</v>
      </c>
      <c r="G41" s="110">
        <f>6-1</f>
        <v>5</v>
      </c>
      <c r="H41" s="110">
        <v>1</v>
      </c>
      <c r="I41" s="106">
        <f>F41*H41</f>
        <v>0</v>
      </c>
      <c r="J41" s="106">
        <f>I41^2</f>
        <v>0</v>
      </c>
      <c r="K41" s="106">
        <f>(J41^2)/G41</f>
        <v>0</v>
      </c>
      <c r="N41" s="925" t="s">
        <v>147</v>
      </c>
      <c r="O41" s="926"/>
      <c r="P41" s="926"/>
      <c r="Q41" s="926"/>
      <c r="R41" s="926"/>
      <c r="S41" s="926"/>
      <c r="T41" s="926"/>
      <c r="U41" s="926"/>
      <c r="V41" s="927"/>
      <c r="W41" s="272"/>
      <c r="X41" s="273">
        <f>X40^4/(Y39)</f>
        <v>50.000299999999982</v>
      </c>
      <c r="Y41" s="274"/>
    </row>
    <row r="42" spans="1:25" ht="21.75" customHeight="1">
      <c r="A42" s="104" t="s">
        <v>137</v>
      </c>
      <c r="B42" s="104" t="s">
        <v>124</v>
      </c>
      <c r="C42" s="104" t="s">
        <v>138</v>
      </c>
      <c r="D42" s="111">
        <f>M119</f>
        <v>0</v>
      </c>
      <c r="E42" s="106">
        <f>SQRT(3)</f>
        <v>1.7320508075688772</v>
      </c>
      <c r="F42" s="106">
        <f>D42/E42</f>
        <v>0</v>
      </c>
      <c r="G42" s="110">
        <v>50</v>
      </c>
      <c r="H42" s="110">
        <v>1</v>
      </c>
      <c r="I42" s="106">
        <f>F42*H42</f>
        <v>0</v>
      </c>
      <c r="J42" s="106">
        <f>I42^2</f>
        <v>0</v>
      </c>
      <c r="K42" s="106">
        <f>(J42^2)/G42</f>
        <v>0</v>
      </c>
      <c r="N42" s="925" t="s">
        <v>154</v>
      </c>
      <c r="O42" s="926"/>
      <c r="P42" s="926"/>
      <c r="Q42" s="926"/>
      <c r="R42" s="926"/>
      <c r="S42" s="926"/>
      <c r="T42" s="926"/>
      <c r="U42" s="926"/>
      <c r="V42" s="927"/>
      <c r="W42" s="272"/>
      <c r="X42" s="275">
        <f>1.95996+(2.37356/X41)+(2.818745/X41^2)+(2.546662/X41^3)+(1.761829/X41^4)+(0.245458/X41^5)+(1.000764/X41^6)</f>
        <v>2.0085790553093026</v>
      </c>
      <c r="Y42" s="274"/>
    </row>
    <row r="43" spans="1:25" ht="21.75" customHeight="1">
      <c r="A43" s="104" t="s">
        <v>5</v>
      </c>
      <c r="B43" s="104" t="s">
        <v>124</v>
      </c>
      <c r="C43" s="104" t="s">
        <v>138</v>
      </c>
      <c r="D43" s="111">
        <f>ID!E7*0.5</f>
        <v>0.5</v>
      </c>
      <c r="E43" s="106">
        <f>SQRT(3)</f>
        <v>1.7320508075688772</v>
      </c>
      <c r="F43" s="106">
        <f>D43/E43</f>
        <v>0.28867513459481292</v>
      </c>
      <c r="G43" s="110">
        <v>50</v>
      </c>
      <c r="H43" s="110">
        <v>1</v>
      </c>
      <c r="I43" s="106">
        <f>F43*H43</f>
        <v>0.28867513459481292</v>
      </c>
      <c r="J43" s="106">
        <f>I43^2</f>
        <v>8.3333333333333356E-2</v>
      </c>
      <c r="K43" s="106">
        <f>(J43^2)/G43</f>
        <v>1.3888888888888897E-4</v>
      </c>
      <c r="N43" s="925" t="s">
        <v>155</v>
      </c>
      <c r="O43" s="926"/>
      <c r="P43" s="926"/>
      <c r="Q43" s="926"/>
      <c r="R43" s="926"/>
      <c r="S43" s="926"/>
      <c r="T43" s="926"/>
      <c r="U43" s="926"/>
      <c r="V43" s="927"/>
      <c r="W43" s="272"/>
      <c r="X43" s="277">
        <f>X42*X40</f>
        <v>0.57982769887532648</v>
      </c>
      <c r="Y43" s="276" t="s">
        <v>156</v>
      </c>
    </row>
    <row r="44" spans="1:25" ht="21.75" customHeight="1">
      <c r="A44" s="104" t="s">
        <v>141</v>
      </c>
      <c r="B44" s="104" t="s">
        <v>124</v>
      </c>
      <c r="C44" s="104" t="s">
        <v>125</v>
      </c>
      <c r="D44" s="111">
        <f>B119</f>
        <v>1E-3</v>
      </c>
      <c r="E44" s="106">
        <v>2</v>
      </c>
      <c r="F44" s="106">
        <f>D44/E44</f>
        <v>5.0000000000000001E-4</v>
      </c>
      <c r="G44" s="110">
        <v>50</v>
      </c>
      <c r="H44" s="110">
        <v>1</v>
      </c>
      <c r="I44" s="106">
        <f>F44*H44</f>
        <v>5.0000000000000001E-4</v>
      </c>
      <c r="J44" s="106">
        <f>I44^2</f>
        <v>2.4999999999999999E-7</v>
      </c>
      <c r="K44" s="106">
        <f>(J44^2)/G44</f>
        <v>1.25E-15</v>
      </c>
    </row>
    <row r="45" spans="1:25" ht="21.75" customHeight="1">
      <c r="A45" s="918" t="s">
        <v>143</v>
      </c>
      <c r="B45" s="918"/>
      <c r="C45" s="918"/>
      <c r="D45" s="918"/>
      <c r="E45" s="918"/>
      <c r="F45" s="918"/>
      <c r="G45" s="918"/>
      <c r="H45" s="918"/>
      <c r="I45" s="918"/>
      <c r="J45" s="106">
        <f>SUM(J41:J44)</f>
        <v>8.333358333333335E-2</v>
      </c>
      <c r="K45" s="106">
        <f>SUM(K41:K44)</f>
        <v>1.3888888889013897E-4</v>
      </c>
      <c r="N45" s="278" t="s">
        <v>324</v>
      </c>
    </row>
    <row r="46" spans="1:25" ht="21.75" customHeight="1">
      <c r="A46" s="918" t="s">
        <v>145</v>
      </c>
      <c r="B46" s="918"/>
      <c r="C46" s="918"/>
      <c r="D46" s="918"/>
      <c r="E46" s="918"/>
      <c r="F46" s="918"/>
      <c r="G46" s="919" t="s">
        <v>146</v>
      </c>
      <c r="H46" s="919"/>
      <c r="I46" s="919"/>
      <c r="J46" s="106">
        <f>SQRT(J45)</f>
        <v>0.28867556760719004</v>
      </c>
      <c r="K46" s="106"/>
      <c r="N46" s="914" t="s">
        <v>112</v>
      </c>
      <c r="O46" s="915"/>
      <c r="P46" s="245" t="s">
        <v>113</v>
      </c>
      <c r="Q46" s="245" t="s">
        <v>114</v>
      </c>
      <c r="R46" s="245" t="s">
        <v>122</v>
      </c>
      <c r="S46" s="245" t="s">
        <v>115</v>
      </c>
      <c r="T46" s="246" t="s">
        <v>314</v>
      </c>
      <c r="U46" s="245" t="s">
        <v>315</v>
      </c>
      <c r="V46" s="245" t="s">
        <v>316</v>
      </c>
      <c r="W46" s="245" t="s">
        <v>317</v>
      </c>
      <c r="X46" s="245" t="s">
        <v>318</v>
      </c>
      <c r="Y46" s="245" t="s">
        <v>319</v>
      </c>
    </row>
    <row r="47" spans="1:25" ht="21.75" customHeight="1">
      <c r="A47" s="918" t="s">
        <v>147</v>
      </c>
      <c r="B47" s="918"/>
      <c r="C47" s="918"/>
      <c r="D47" s="918"/>
      <c r="E47" s="918"/>
      <c r="F47" s="918"/>
      <c r="G47" s="920" t="s">
        <v>148</v>
      </c>
      <c r="H47" s="920"/>
      <c r="I47" s="920"/>
      <c r="J47" s="106">
        <f>J46^4/(K45)</f>
        <v>50.000299999999982</v>
      </c>
      <c r="K47" s="106"/>
      <c r="N47" s="916" t="s">
        <v>126</v>
      </c>
      <c r="O47" s="917"/>
      <c r="P47" s="247" t="s">
        <v>127</v>
      </c>
      <c r="Q47" s="247" t="s">
        <v>128</v>
      </c>
      <c r="R47" s="247" t="s">
        <v>129</v>
      </c>
      <c r="S47" s="247" t="s">
        <v>130</v>
      </c>
      <c r="T47" s="247" t="s">
        <v>131</v>
      </c>
      <c r="U47" s="247" t="s">
        <v>132</v>
      </c>
      <c r="V47" s="247" t="s">
        <v>133</v>
      </c>
      <c r="W47" s="247" t="s">
        <v>134</v>
      </c>
      <c r="X47" s="247" t="s">
        <v>135</v>
      </c>
      <c r="Y47" s="247" t="s">
        <v>136</v>
      </c>
    </row>
    <row r="48" spans="1:25" ht="21.75" customHeight="1">
      <c r="A48" s="918" t="s">
        <v>149</v>
      </c>
      <c r="B48" s="918"/>
      <c r="C48" s="918"/>
      <c r="D48" s="918"/>
      <c r="E48" s="918"/>
      <c r="F48" s="918"/>
      <c r="G48" s="921" t="s">
        <v>150</v>
      </c>
      <c r="H48" s="921"/>
      <c r="I48" s="921"/>
      <c r="J48" s="106">
        <f>1.95996+(2.37356/J47)+(2.818745/J47^2)+(2.546662/J47^3)+(1.761829/J47^4)+(0.245458/J47^5)+(1.000764/J47^6)</f>
        <v>2.0085790553093026</v>
      </c>
      <c r="K48" s="106"/>
      <c r="N48" s="248" t="s">
        <v>139</v>
      </c>
      <c r="O48" s="249"/>
      <c r="P48" s="250"/>
      <c r="Q48" s="251" t="s">
        <v>125</v>
      </c>
      <c r="R48" s="252">
        <f>D41</f>
        <v>0</v>
      </c>
      <c r="S48" s="253">
        <v>2.4500000000000002</v>
      </c>
      <c r="T48" s="254">
        <v>5</v>
      </c>
      <c r="U48" s="255">
        <f>R48/S48</f>
        <v>0</v>
      </c>
      <c r="V48" s="256">
        <v>1</v>
      </c>
      <c r="W48" s="257">
        <f>U48*V48</f>
        <v>0</v>
      </c>
      <c r="X48" s="258">
        <f>W48^2</f>
        <v>0</v>
      </c>
      <c r="Y48" s="259">
        <f>W48^4/T48</f>
        <v>0</v>
      </c>
    </row>
    <row r="49" spans="1:25" ht="21.75" customHeight="1">
      <c r="A49" s="918" t="s">
        <v>151</v>
      </c>
      <c r="B49" s="918"/>
      <c r="C49" s="918"/>
      <c r="D49" s="918"/>
      <c r="E49" s="918"/>
      <c r="F49" s="918"/>
      <c r="G49" s="921" t="s">
        <v>152</v>
      </c>
      <c r="H49" s="921"/>
      <c r="I49" s="921"/>
      <c r="J49" s="279">
        <f>J48*J46</f>
        <v>0.57982769887532648</v>
      </c>
      <c r="K49" s="114" t="s">
        <v>65</v>
      </c>
      <c r="N49" s="248" t="s">
        <v>140</v>
      </c>
      <c r="O49" s="249"/>
      <c r="P49" s="260"/>
      <c r="Q49" s="251" t="s">
        <v>138</v>
      </c>
      <c r="R49" s="252">
        <f t="shared" ref="R49:R51" si="3">D42</f>
        <v>0</v>
      </c>
      <c r="S49" s="253">
        <v>1.73</v>
      </c>
      <c r="T49" s="254">
        <v>50</v>
      </c>
      <c r="U49" s="261">
        <f>R49/S49</f>
        <v>0</v>
      </c>
      <c r="V49" s="254">
        <v>1</v>
      </c>
      <c r="W49" s="261">
        <f>U49*V49</f>
        <v>0</v>
      </c>
      <c r="X49" s="262">
        <f>W49^2</f>
        <v>0</v>
      </c>
      <c r="Y49" s="263">
        <f>W49^4/T49</f>
        <v>0</v>
      </c>
    </row>
    <row r="50" spans="1:25" ht="21.75" customHeight="1">
      <c r="A50" s="108"/>
      <c r="B50" s="108"/>
      <c r="C50" s="108"/>
      <c r="D50" s="108"/>
      <c r="E50" s="108"/>
      <c r="F50" s="108"/>
      <c r="G50" s="109"/>
      <c r="H50" s="109"/>
      <c r="I50" s="109"/>
      <c r="J50" s="115"/>
      <c r="K50" s="116"/>
      <c r="N50" s="248" t="s">
        <v>142</v>
      </c>
      <c r="O50" s="249"/>
      <c r="P50" s="260"/>
      <c r="Q50" s="251" t="s">
        <v>138</v>
      </c>
      <c r="R50" s="252">
        <f t="shared" si="3"/>
        <v>0.5</v>
      </c>
      <c r="S50" s="264">
        <f>SQRT(3)</f>
        <v>1.7320508075688772</v>
      </c>
      <c r="T50" s="254">
        <v>50</v>
      </c>
      <c r="U50" s="265">
        <f>R50/S50</f>
        <v>0.28867513459481292</v>
      </c>
      <c r="V50" s="254">
        <v>1</v>
      </c>
      <c r="W50" s="265">
        <f>U50*V50</f>
        <v>0.28867513459481292</v>
      </c>
      <c r="X50" s="262">
        <f>W50^2</f>
        <v>8.3333333333333356E-2</v>
      </c>
      <c r="Y50" s="262">
        <f>W50^4/T50</f>
        <v>1.3888888888888897E-4</v>
      </c>
    </row>
    <row r="51" spans="1:25" ht="21.75" customHeight="1">
      <c r="A51" s="98" t="s">
        <v>325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N51" s="266" t="s">
        <v>144</v>
      </c>
      <c r="O51" s="249"/>
      <c r="P51" s="251"/>
      <c r="Q51" s="250" t="s">
        <v>125</v>
      </c>
      <c r="R51" s="264">
        <f t="shared" si="3"/>
        <v>1E-3</v>
      </c>
      <c r="S51" s="264">
        <v>2</v>
      </c>
      <c r="T51" s="254">
        <v>50</v>
      </c>
      <c r="U51" s="261">
        <f>R51/S51</f>
        <v>5.0000000000000001E-4</v>
      </c>
      <c r="V51" s="254">
        <v>1</v>
      </c>
      <c r="W51" s="261">
        <f>U51*V51</f>
        <v>5.0000000000000001E-4</v>
      </c>
      <c r="X51" s="262">
        <f>W51^2</f>
        <v>2.4999999999999999E-7</v>
      </c>
      <c r="Y51" s="262">
        <f>W51^4/T51</f>
        <v>1.25E-15</v>
      </c>
    </row>
    <row r="52" spans="1:25" ht="21.75" customHeight="1">
      <c r="A52" s="100" t="s">
        <v>112</v>
      </c>
      <c r="B52" s="101" t="s">
        <v>113</v>
      </c>
      <c r="C52" s="102" t="s">
        <v>114</v>
      </c>
      <c r="D52" s="101" t="s">
        <v>122</v>
      </c>
      <c r="E52" s="103" t="s">
        <v>115</v>
      </c>
      <c r="F52" s="101" t="s">
        <v>117</v>
      </c>
      <c r="G52" s="102" t="s">
        <v>116</v>
      </c>
      <c r="H52" s="101" t="s">
        <v>118</v>
      </c>
      <c r="I52" s="102" t="s">
        <v>119</v>
      </c>
      <c r="J52" s="101" t="s">
        <v>120</v>
      </c>
      <c r="K52" s="113" t="s">
        <v>121</v>
      </c>
      <c r="N52" s="269"/>
      <c r="O52" s="267"/>
      <c r="P52" s="270"/>
      <c r="Q52" s="254"/>
      <c r="R52" s="268"/>
      <c r="S52" s="264"/>
      <c r="T52" s="254"/>
      <c r="U52" s="261"/>
      <c r="V52" s="254"/>
      <c r="W52" s="261"/>
      <c r="X52" s="262"/>
      <c r="Y52" s="262"/>
    </row>
    <row r="53" spans="1:25" ht="21.75" customHeight="1">
      <c r="A53" s="104" t="s">
        <v>123</v>
      </c>
      <c r="B53" s="104" t="s">
        <v>124</v>
      </c>
      <c r="C53" s="104" t="s">
        <v>125</v>
      </c>
      <c r="D53" s="105">
        <f>ID!L78</f>
        <v>0</v>
      </c>
      <c r="E53" s="106">
        <f>SQRT(6)</f>
        <v>2.4494897427831779</v>
      </c>
      <c r="F53" s="106">
        <f>D53/E53</f>
        <v>0</v>
      </c>
      <c r="G53" s="110">
        <f>6-1</f>
        <v>5</v>
      </c>
      <c r="H53" s="110">
        <v>1</v>
      </c>
      <c r="I53" s="106">
        <f>F53*H53</f>
        <v>0</v>
      </c>
      <c r="J53" s="106">
        <f>I53^2</f>
        <v>0</v>
      </c>
      <c r="K53" s="106">
        <f>(J53^2)/G53</f>
        <v>0</v>
      </c>
      <c r="N53" s="925" t="s">
        <v>143</v>
      </c>
      <c r="O53" s="926"/>
      <c r="P53" s="926"/>
      <c r="Q53" s="926"/>
      <c r="R53" s="926"/>
      <c r="S53" s="926"/>
      <c r="T53" s="926"/>
      <c r="U53" s="926"/>
      <c r="V53" s="927"/>
      <c r="W53" s="261"/>
      <c r="X53" s="262">
        <f>SUM(X48:X51)</f>
        <v>8.333358333333335E-2</v>
      </c>
      <c r="Y53" s="262">
        <f>SUM(Y48:Y51)</f>
        <v>1.3888888889013897E-4</v>
      </c>
    </row>
    <row r="54" spans="1:25" ht="21.75" customHeight="1">
      <c r="A54" s="104" t="s">
        <v>159</v>
      </c>
      <c r="B54" s="104" t="s">
        <v>124</v>
      </c>
      <c r="C54" s="104" t="s">
        <v>138</v>
      </c>
      <c r="D54" s="105">
        <f>M120</f>
        <v>0</v>
      </c>
      <c r="E54" s="106">
        <f>SQRT(3)</f>
        <v>1.7320508075688772</v>
      </c>
      <c r="F54" s="106">
        <f>D54/E54</f>
        <v>0</v>
      </c>
      <c r="G54" s="110">
        <v>50</v>
      </c>
      <c r="H54" s="110">
        <v>1</v>
      </c>
      <c r="I54" s="106">
        <f>F54*H54</f>
        <v>0</v>
      </c>
      <c r="J54" s="106">
        <f>I54^2</f>
        <v>0</v>
      </c>
      <c r="K54" s="106">
        <f>(J54^2)/G54</f>
        <v>0</v>
      </c>
      <c r="N54" s="925" t="s">
        <v>145</v>
      </c>
      <c r="O54" s="926"/>
      <c r="P54" s="926"/>
      <c r="Q54" s="926"/>
      <c r="R54" s="926"/>
      <c r="S54" s="926"/>
      <c r="T54" s="926"/>
      <c r="U54" s="926"/>
      <c r="V54" s="927"/>
      <c r="W54" s="261"/>
      <c r="X54" s="271">
        <f>SQRT(X53)</f>
        <v>0.28867556760719004</v>
      </c>
      <c r="Y54" s="262"/>
    </row>
    <row r="55" spans="1:25" ht="21.75" customHeight="1">
      <c r="A55" s="104" t="s">
        <v>5</v>
      </c>
      <c r="B55" s="104" t="s">
        <v>124</v>
      </c>
      <c r="C55" s="104" t="s">
        <v>138</v>
      </c>
      <c r="D55" s="105">
        <f>ID!E7*0.5</f>
        <v>0.5</v>
      </c>
      <c r="E55" s="106">
        <f>SQRT(3)</f>
        <v>1.7320508075688772</v>
      </c>
      <c r="F55" s="106">
        <f>D55/E55</f>
        <v>0.28867513459481292</v>
      </c>
      <c r="G55" s="110">
        <v>50</v>
      </c>
      <c r="H55" s="110">
        <v>1</v>
      </c>
      <c r="I55" s="106">
        <f>F55*H55</f>
        <v>0.28867513459481292</v>
      </c>
      <c r="J55" s="106">
        <f>I55^2</f>
        <v>8.3333333333333356E-2</v>
      </c>
      <c r="K55" s="106">
        <f>(J55^2)/G55</f>
        <v>1.3888888888888897E-4</v>
      </c>
      <c r="N55" s="925" t="s">
        <v>147</v>
      </c>
      <c r="O55" s="926"/>
      <c r="P55" s="926"/>
      <c r="Q55" s="926"/>
      <c r="R55" s="926"/>
      <c r="S55" s="926"/>
      <c r="T55" s="926"/>
      <c r="U55" s="926"/>
      <c r="V55" s="927"/>
      <c r="W55" s="272"/>
      <c r="X55" s="273">
        <f>X54^4/(Y53)</f>
        <v>50.000299999999982</v>
      </c>
      <c r="Y55" s="274"/>
    </row>
    <row r="56" spans="1:25" ht="21.75" customHeight="1">
      <c r="A56" s="104" t="s">
        <v>141</v>
      </c>
      <c r="B56" s="104" t="s">
        <v>124</v>
      </c>
      <c r="C56" s="104" t="s">
        <v>125</v>
      </c>
      <c r="D56" s="105">
        <f>B120</f>
        <v>1E-3</v>
      </c>
      <c r="E56" s="106">
        <v>2</v>
      </c>
      <c r="F56" s="106">
        <f>D56/E56</f>
        <v>5.0000000000000001E-4</v>
      </c>
      <c r="G56" s="110">
        <v>50</v>
      </c>
      <c r="H56" s="110">
        <v>1</v>
      </c>
      <c r="I56" s="106">
        <f>F56*H56</f>
        <v>5.0000000000000001E-4</v>
      </c>
      <c r="J56" s="106">
        <f>I56^2</f>
        <v>2.4999999999999999E-7</v>
      </c>
      <c r="K56" s="106">
        <f>(J56^2)/G56</f>
        <v>1.25E-15</v>
      </c>
      <c r="N56" s="925" t="s">
        <v>154</v>
      </c>
      <c r="O56" s="926"/>
      <c r="P56" s="926"/>
      <c r="Q56" s="926"/>
      <c r="R56" s="926"/>
      <c r="S56" s="926"/>
      <c r="T56" s="926"/>
      <c r="U56" s="926"/>
      <c r="V56" s="927"/>
      <c r="W56" s="272"/>
      <c r="X56" s="275">
        <f>1.95996+(2.37356/X55)+(2.818745/X55^2)+(2.546662/X55^3)+(1.761829/X55^4)+(0.245458/X55^5)+(1.000764/X55^6)</f>
        <v>2.0085790553093026</v>
      </c>
      <c r="Y56" s="274"/>
    </row>
    <row r="57" spans="1:25" ht="21.75" customHeight="1">
      <c r="A57" s="918" t="s">
        <v>143</v>
      </c>
      <c r="B57" s="918"/>
      <c r="C57" s="918"/>
      <c r="D57" s="918"/>
      <c r="E57" s="918"/>
      <c r="F57" s="918"/>
      <c r="G57" s="918"/>
      <c r="H57" s="918"/>
      <c r="I57" s="918"/>
      <c r="J57" s="106">
        <f>SUM(J53:J56)</f>
        <v>8.333358333333335E-2</v>
      </c>
      <c r="K57" s="106">
        <f>SUM(K53:K56)</f>
        <v>1.3888888889013897E-4</v>
      </c>
      <c r="N57" s="925" t="s">
        <v>155</v>
      </c>
      <c r="O57" s="926"/>
      <c r="P57" s="926"/>
      <c r="Q57" s="926"/>
      <c r="R57" s="926"/>
      <c r="S57" s="926"/>
      <c r="T57" s="926"/>
      <c r="U57" s="926"/>
      <c r="V57" s="927"/>
      <c r="W57" s="272"/>
      <c r="X57" s="277">
        <f>X56*X54</f>
        <v>0.57982769887532648</v>
      </c>
      <c r="Y57" s="276" t="s">
        <v>156</v>
      </c>
    </row>
    <row r="58" spans="1:25" ht="21.75" customHeight="1">
      <c r="A58" s="918" t="s">
        <v>145</v>
      </c>
      <c r="B58" s="918"/>
      <c r="C58" s="918"/>
      <c r="D58" s="918"/>
      <c r="E58" s="918"/>
      <c r="F58" s="918"/>
      <c r="G58" s="919" t="s">
        <v>146</v>
      </c>
      <c r="H58" s="919"/>
      <c r="I58" s="919"/>
      <c r="J58" s="106">
        <f>SQRT(J57)</f>
        <v>0.28867556760719004</v>
      </c>
      <c r="K58" s="106"/>
    </row>
    <row r="59" spans="1:25" ht="21.75" customHeight="1">
      <c r="A59" s="918" t="s">
        <v>147</v>
      </c>
      <c r="B59" s="918"/>
      <c r="C59" s="918"/>
      <c r="D59" s="918"/>
      <c r="E59" s="918"/>
      <c r="F59" s="918"/>
      <c r="G59" s="920" t="s">
        <v>148</v>
      </c>
      <c r="H59" s="920"/>
      <c r="I59" s="920"/>
      <c r="J59" s="106">
        <f>J58^4/(K57)</f>
        <v>50.000299999999982</v>
      </c>
      <c r="K59" s="106"/>
      <c r="N59" s="278" t="s">
        <v>325</v>
      </c>
    </row>
    <row r="60" spans="1:25" ht="21.75" customHeight="1">
      <c r="A60" s="918" t="s">
        <v>149</v>
      </c>
      <c r="B60" s="918"/>
      <c r="C60" s="918"/>
      <c r="D60" s="918"/>
      <c r="E60" s="918"/>
      <c r="F60" s="918"/>
      <c r="G60" s="921" t="s">
        <v>150</v>
      </c>
      <c r="H60" s="921"/>
      <c r="I60" s="921"/>
      <c r="J60" s="106">
        <f>1.95996+(2.37356/J59)+(2.818745/J59^2)+(2.546662/J59^3)+(1.761829/J59^4)+(0.245458/J59^5)+(1.000764/J59^6)</f>
        <v>2.0085790553093026</v>
      </c>
      <c r="K60" s="106"/>
      <c r="N60" s="914" t="s">
        <v>112</v>
      </c>
      <c r="O60" s="915"/>
      <c r="P60" s="245" t="s">
        <v>113</v>
      </c>
      <c r="Q60" s="245" t="s">
        <v>114</v>
      </c>
      <c r="R60" s="245" t="s">
        <v>122</v>
      </c>
      <c r="S60" s="245" t="s">
        <v>115</v>
      </c>
      <c r="T60" s="246" t="s">
        <v>314</v>
      </c>
      <c r="U60" s="245" t="s">
        <v>315</v>
      </c>
      <c r="V60" s="245" t="s">
        <v>316</v>
      </c>
      <c r="W60" s="245" t="s">
        <v>317</v>
      </c>
      <c r="X60" s="245" t="s">
        <v>318</v>
      </c>
      <c r="Y60" s="245" t="s">
        <v>319</v>
      </c>
    </row>
    <row r="61" spans="1:25" ht="21.75" customHeight="1">
      <c r="A61" s="918" t="s">
        <v>151</v>
      </c>
      <c r="B61" s="918"/>
      <c r="C61" s="918"/>
      <c r="D61" s="918"/>
      <c r="E61" s="918"/>
      <c r="F61" s="918"/>
      <c r="G61" s="921" t="s">
        <v>152</v>
      </c>
      <c r="H61" s="921"/>
      <c r="I61" s="921"/>
      <c r="J61" s="279">
        <f>J60*J58</f>
        <v>0.57982769887532648</v>
      </c>
      <c r="K61" s="114" t="s">
        <v>65</v>
      </c>
      <c r="N61" s="916" t="s">
        <v>126</v>
      </c>
      <c r="O61" s="917"/>
      <c r="P61" s="247" t="s">
        <v>127</v>
      </c>
      <c r="Q61" s="247" t="s">
        <v>128</v>
      </c>
      <c r="R61" s="247" t="s">
        <v>129</v>
      </c>
      <c r="S61" s="247" t="s">
        <v>130</v>
      </c>
      <c r="T61" s="247" t="s">
        <v>131</v>
      </c>
      <c r="U61" s="247" t="s">
        <v>132</v>
      </c>
      <c r="V61" s="247" t="s">
        <v>133</v>
      </c>
      <c r="W61" s="247" t="s">
        <v>134</v>
      </c>
      <c r="X61" s="247" t="s">
        <v>135</v>
      </c>
      <c r="Y61" s="247" t="s">
        <v>136</v>
      </c>
    </row>
    <row r="62" spans="1:25" ht="14.4">
      <c r="A62" s="108"/>
      <c r="B62" s="108"/>
      <c r="C62" s="108"/>
      <c r="D62" s="108"/>
      <c r="E62" s="108"/>
      <c r="F62" s="108"/>
      <c r="G62" s="109"/>
      <c r="H62" s="109"/>
      <c r="I62" s="109"/>
      <c r="J62" s="14"/>
      <c r="K62" s="117"/>
      <c r="N62" s="248" t="s">
        <v>139</v>
      </c>
      <c r="O62" s="249"/>
      <c r="P62" s="250"/>
      <c r="Q62" s="251" t="s">
        <v>125</v>
      </c>
      <c r="R62" s="252">
        <f>D53</f>
        <v>0</v>
      </c>
      <c r="S62" s="253">
        <v>2.4500000000000002</v>
      </c>
      <c r="T62" s="254">
        <v>5</v>
      </c>
      <c r="U62" s="255">
        <f>R62/S62</f>
        <v>0</v>
      </c>
      <c r="V62" s="256">
        <v>1</v>
      </c>
      <c r="W62" s="257">
        <f>U62*V62</f>
        <v>0</v>
      </c>
      <c r="X62" s="280">
        <f>W62^2</f>
        <v>0</v>
      </c>
      <c r="Y62" s="259">
        <f>W62^4/T62</f>
        <v>0</v>
      </c>
    </row>
    <row r="63" spans="1:25">
      <c r="A63" s="98" t="s">
        <v>326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N63" s="248" t="s">
        <v>140</v>
      </c>
      <c r="O63" s="249"/>
      <c r="P63" s="260"/>
      <c r="Q63" s="251" t="s">
        <v>138</v>
      </c>
      <c r="R63" s="252">
        <f t="shared" ref="R63:R65" si="4">D54</f>
        <v>0</v>
      </c>
      <c r="S63" s="253">
        <v>1.73</v>
      </c>
      <c r="T63" s="254">
        <v>50</v>
      </c>
      <c r="U63" s="261">
        <f>R63/S63</f>
        <v>0</v>
      </c>
      <c r="V63" s="254">
        <v>1</v>
      </c>
      <c r="W63" s="261">
        <f>U63*V63</f>
        <v>0</v>
      </c>
      <c r="X63" s="271">
        <f>W63^2</f>
        <v>0</v>
      </c>
      <c r="Y63" s="263">
        <f>W63^4/T63</f>
        <v>0</v>
      </c>
    </row>
    <row r="64" spans="1:25" ht="18.75" customHeight="1">
      <c r="A64" s="100" t="s">
        <v>112</v>
      </c>
      <c r="B64" s="101" t="s">
        <v>113</v>
      </c>
      <c r="C64" s="102" t="s">
        <v>114</v>
      </c>
      <c r="D64" s="101" t="s">
        <v>122</v>
      </c>
      <c r="E64" s="103" t="s">
        <v>115</v>
      </c>
      <c r="F64" s="101" t="s">
        <v>117</v>
      </c>
      <c r="G64" s="102" t="s">
        <v>116</v>
      </c>
      <c r="H64" s="101" t="s">
        <v>118</v>
      </c>
      <c r="I64" s="102" t="s">
        <v>119</v>
      </c>
      <c r="J64" s="101" t="s">
        <v>120</v>
      </c>
      <c r="K64" s="113" t="s">
        <v>121</v>
      </c>
      <c r="N64" s="248" t="s">
        <v>142</v>
      </c>
      <c r="O64" s="249"/>
      <c r="P64" s="260"/>
      <c r="Q64" s="251" t="s">
        <v>138</v>
      </c>
      <c r="R64" s="252">
        <f t="shared" si="4"/>
        <v>0.5</v>
      </c>
      <c r="S64" s="264">
        <f>SQRT(3)</f>
        <v>1.7320508075688772</v>
      </c>
      <c r="T64" s="254">
        <v>50</v>
      </c>
      <c r="U64" s="265">
        <f>R64/S64</f>
        <v>0.28867513459481292</v>
      </c>
      <c r="V64" s="254">
        <v>1</v>
      </c>
      <c r="W64" s="265">
        <f>U64*V64</f>
        <v>0.28867513459481292</v>
      </c>
      <c r="X64" s="271">
        <f>W64^2</f>
        <v>8.3333333333333356E-2</v>
      </c>
      <c r="Y64" s="262">
        <f>W64^4/T64</f>
        <v>1.3888888888888897E-4</v>
      </c>
    </row>
    <row r="65" spans="1:25" ht="18.75" customHeight="1">
      <c r="A65" s="104" t="s">
        <v>123</v>
      </c>
      <c r="B65" s="104" t="s">
        <v>124</v>
      </c>
      <c r="C65" s="104" t="s">
        <v>125</v>
      </c>
      <c r="D65" s="105">
        <f>ID!L79</f>
        <v>0</v>
      </c>
      <c r="E65" s="106">
        <f>SQRT(6)</f>
        <v>2.4494897427831779</v>
      </c>
      <c r="F65" s="106">
        <f>D65/E65</f>
        <v>0</v>
      </c>
      <c r="G65" s="110">
        <f>6-1</f>
        <v>5</v>
      </c>
      <c r="H65" s="110">
        <v>1</v>
      </c>
      <c r="I65" s="106">
        <f>F65*H65</f>
        <v>0</v>
      </c>
      <c r="J65" s="106">
        <f>I65^2</f>
        <v>0</v>
      </c>
      <c r="K65" s="106">
        <f>(J65^2)/G65</f>
        <v>0</v>
      </c>
      <c r="N65" s="266" t="s">
        <v>144</v>
      </c>
      <c r="O65" s="249"/>
      <c r="P65" s="251"/>
      <c r="Q65" s="250" t="s">
        <v>125</v>
      </c>
      <c r="R65" s="264">
        <f t="shared" si="4"/>
        <v>1E-3</v>
      </c>
      <c r="S65" s="264">
        <v>2</v>
      </c>
      <c r="T65" s="254">
        <v>50</v>
      </c>
      <c r="U65" s="261">
        <f>R65/S65</f>
        <v>5.0000000000000001E-4</v>
      </c>
      <c r="V65" s="254">
        <v>1</v>
      </c>
      <c r="W65" s="261">
        <f>U65*V65</f>
        <v>5.0000000000000001E-4</v>
      </c>
      <c r="X65" s="271">
        <f>W65^2</f>
        <v>2.4999999999999999E-7</v>
      </c>
      <c r="Y65" s="262">
        <f>W65^4/T65</f>
        <v>1.25E-15</v>
      </c>
    </row>
    <row r="66" spans="1:25" ht="18.75" customHeight="1">
      <c r="A66" s="104" t="s">
        <v>159</v>
      </c>
      <c r="B66" s="104" t="s">
        <v>124</v>
      </c>
      <c r="C66" s="104" t="s">
        <v>138</v>
      </c>
      <c r="D66" s="105">
        <f>M121</f>
        <v>0</v>
      </c>
      <c r="E66" s="106">
        <f>SQRT(3)</f>
        <v>1.7320508075688772</v>
      </c>
      <c r="F66" s="106">
        <f>D66/E66</f>
        <v>0</v>
      </c>
      <c r="G66" s="110">
        <v>50</v>
      </c>
      <c r="H66" s="110">
        <v>1</v>
      </c>
      <c r="I66" s="106">
        <f>F66*H66</f>
        <v>0</v>
      </c>
      <c r="J66" s="106">
        <f>I66^2</f>
        <v>0</v>
      </c>
      <c r="K66" s="106">
        <f>(J66^2)/G66</f>
        <v>0</v>
      </c>
      <c r="N66" s="269"/>
      <c r="O66" s="267"/>
      <c r="P66" s="270"/>
      <c r="Q66" s="254"/>
      <c r="R66" s="268"/>
      <c r="S66" s="264"/>
      <c r="T66" s="254"/>
      <c r="U66" s="261"/>
      <c r="V66" s="254"/>
      <c r="W66" s="261"/>
      <c r="X66" s="262"/>
      <c r="Y66" s="262"/>
    </row>
    <row r="67" spans="1:25" ht="18.75" customHeight="1">
      <c r="A67" s="104" t="s">
        <v>5</v>
      </c>
      <c r="B67" s="104" t="s">
        <v>124</v>
      </c>
      <c r="C67" s="104" t="s">
        <v>138</v>
      </c>
      <c r="D67" s="105">
        <f>ID!E7*0.5</f>
        <v>0.5</v>
      </c>
      <c r="E67" s="106">
        <f>SQRT(3)</f>
        <v>1.7320508075688772</v>
      </c>
      <c r="F67" s="106">
        <f>D67/E67</f>
        <v>0.28867513459481292</v>
      </c>
      <c r="G67" s="110">
        <v>50</v>
      </c>
      <c r="H67" s="110">
        <v>1</v>
      </c>
      <c r="I67" s="106">
        <f>F67*H67</f>
        <v>0.28867513459481292</v>
      </c>
      <c r="J67" s="106">
        <f>I67^2</f>
        <v>8.3333333333333356E-2</v>
      </c>
      <c r="K67" s="106">
        <f>(J67^2)/G67</f>
        <v>1.3888888888888897E-4</v>
      </c>
      <c r="N67" s="925" t="s">
        <v>143</v>
      </c>
      <c r="O67" s="926"/>
      <c r="P67" s="926"/>
      <c r="Q67" s="926"/>
      <c r="R67" s="926"/>
      <c r="S67" s="926"/>
      <c r="T67" s="926"/>
      <c r="U67" s="926"/>
      <c r="V67" s="927"/>
      <c r="W67" s="261"/>
      <c r="X67" s="271">
        <f>SUM(X62:X65)</f>
        <v>8.333358333333335E-2</v>
      </c>
      <c r="Y67" s="262">
        <f>SUM(Y62:Y65)</f>
        <v>1.3888888889013897E-4</v>
      </c>
    </row>
    <row r="68" spans="1:25" ht="18.75" customHeight="1">
      <c r="A68" s="104" t="s">
        <v>141</v>
      </c>
      <c r="B68" s="104" t="s">
        <v>124</v>
      </c>
      <c r="C68" s="104" t="s">
        <v>125</v>
      </c>
      <c r="D68" s="105">
        <f>B121</f>
        <v>1E-3</v>
      </c>
      <c r="E68" s="106">
        <v>2</v>
      </c>
      <c r="F68" s="106">
        <f>D68/E68</f>
        <v>5.0000000000000001E-4</v>
      </c>
      <c r="G68" s="110">
        <v>50</v>
      </c>
      <c r="H68" s="110">
        <v>1</v>
      </c>
      <c r="I68" s="106">
        <f>F68*H68</f>
        <v>5.0000000000000001E-4</v>
      </c>
      <c r="J68" s="106">
        <f>I68^2</f>
        <v>2.4999999999999999E-7</v>
      </c>
      <c r="K68" s="106">
        <f>(J68^2)/G68</f>
        <v>1.25E-15</v>
      </c>
      <c r="N68" s="925" t="s">
        <v>145</v>
      </c>
      <c r="O68" s="926"/>
      <c r="P68" s="926"/>
      <c r="Q68" s="926"/>
      <c r="R68" s="926"/>
      <c r="S68" s="926"/>
      <c r="T68" s="926"/>
      <c r="U68" s="926"/>
      <c r="V68" s="927"/>
      <c r="W68" s="261"/>
      <c r="X68" s="271">
        <f>SQRT(X67)</f>
        <v>0.28867556760719004</v>
      </c>
      <c r="Y68" s="262"/>
    </row>
    <row r="69" spans="1:25" ht="18.75" customHeight="1">
      <c r="A69" s="918" t="s">
        <v>143</v>
      </c>
      <c r="B69" s="918"/>
      <c r="C69" s="918"/>
      <c r="D69" s="918"/>
      <c r="E69" s="918"/>
      <c r="F69" s="918"/>
      <c r="G69" s="918"/>
      <c r="H69" s="918"/>
      <c r="I69" s="918"/>
      <c r="J69" s="106">
        <f>SUM(J65:J68)</f>
        <v>8.333358333333335E-2</v>
      </c>
      <c r="K69" s="106">
        <f>SUM(K65:K68)</f>
        <v>1.3888888889013897E-4</v>
      </c>
      <c r="N69" s="925" t="s">
        <v>147</v>
      </c>
      <c r="O69" s="926"/>
      <c r="P69" s="926"/>
      <c r="Q69" s="926"/>
      <c r="R69" s="926"/>
      <c r="S69" s="926"/>
      <c r="T69" s="926"/>
      <c r="U69" s="926"/>
      <c r="V69" s="927"/>
      <c r="W69" s="272"/>
      <c r="X69" s="282">
        <f>X68^4/(Y67)</f>
        <v>50.000299999999982</v>
      </c>
      <c r="Y69" s="274"/>
    </row>
    <row r="70" spans="1:25" ht="18.75" customHeight="1">
      <c r="A70" s="918" t="s">
        <v>145</v>
      </c>
      <c r="B70" s="918"/>
      <c r="C70" s="918"/>
      <c r="D70" s="918"/>
      <c r="E70" s="918"/>
      <c r="F70" s="918"/>
      <c r="G70" s="919" t="s">
        <v>146</v>
      </c>
      <c r="H70" s="919"/>
      <c r="I70" s="919"/>
      <c r="J70" s="106">
        <f>SQRT(J69)</f>
        <v>0.28867556760719004</v>
      </c>
      <c r="K70" s="106"/>
      <c r="N70" s="925" t="s">
        <v>154</v>
      </c>
      <c r="O70" s="926"/>
      <c r="P70" s="926"/>
      <c r="Q70" s="926"/>
      <c r="R70" s="926"/>
      <c r="S70" s="926"/>
      <c r="T70" s="926"/>
      <c r="U70" s="926"/>
      <c r="V70" s="927"/>
      <c r="W70" s="272"/>
      <c r="X70" s="281">
        <f>1.95996+(2.37356/X69)+(2.818745/X69^2)+(2.546662/X69^3)+(1.761829/X69^4)+(0.245458/X69^5)+(1.000764/X69^6)</f>
        <v>2.0085790553093026</v>
      </c>
      <c r="Y70" s="274"/>
    </row>
    <row r="71" spans="1:25" ht="18.75" customHeight="1">
      <c r="A71" s="918" t="s">
        <v>147</v>
      </c>
      <c r="B71" s="918"/>
      <c r="C71" s="918"/>
      <c r="D71" s="918"/>
      <c r="E71" s="918"/>
      <c r="F71" s="918"/>
      <c r="G71" s="920" t="s">
        <v>148</v>
      </c>
      <c r="H71" s="920"/>
      <c r="I71" s="920"/>
      <c r="J71" s="106">
        <f>J70^4/(K69)</f>
        <v>50.000299999999982</v>
      </c>
      <c r="K71" s="106"/>
      <c r="N71" s="925" t="s">
        <v>155</v>
      </c>
      <c r="O71" s="926"/>
      <c r="P71" s="926"/>
      <c r="Q71" s="926"/>
      <c r="R71" s="926"/>
      <c r="S71" s="926"/>
      <c r="T71" s="926"/>
      <c r="U71" s="926"/>
      <c r="V71" s="927"/>
      <c r="W71" s="272"/>
      <c r="X71" s="277">
        <f>X70*X68</f>
        <v>0.57982769887532648</v>
      </c>
      <c r="Y71" s="276" t="s">
        <v>156</v>
      </c>
    </row>
    <row r="72" spans="1:25" ht="18.75" customHeight="1">
      <c r="A72" s="918" t="s">
        <v>149</v>
      </c>
      <c r="B72" s="918"/>
      <c r="C72" s="918"/>
      <c r="D72" s="918"/>
      <c r="E72" s="918"/>
      <c r="F72" s="918"/>
      <c r="G72" s="921" t="s">
        <v>150</v>
      </c>
      <c r="H72" s="921"/>
      <c r="I72" s="921"/>
      <c r="J72" s="106">
        <f>1.95996+(2.37356/J71)+(2.818745/J71^2)+(2.546662/J71^3)+(1.761829/J71^4)+(0.245458/J71^5)+(1.000764/J71^6)</f>
        <v>2.0085790553093026</v>
      </c>
      <c r="K72" s="106"/>
    </row>
    <row r="73" spans="1:25" ht="18.75" customHeight="1">
      <c r="A73" s="918" t="s">
        <v>151</v>
      </c>
      <c r="B73" s="918"/>
      <c r="C73" s="918"/>
      <c r="D73" s="918"/>
      <c r="E73" s="918"/>
      <c r="F73" s="918"/>
      <c r="G73" s="921" t="s">
        <v>152</v>
      </c>
      <c r="H73" s="921"/>
      <c r="I73" s="921"/>
      <c r="J73" s="279">
        <f>J72*J70</f>
        <v>0.57982769887532648</v>
      </c>
      <c r="K73" s="114" t="s">
        <v>65</v>
      </c>
      <c r="N73" s="278" t="s">
        <v>326</v>
      </c>
    </row>
    <row r="74" spans="1:25" ht="18.75" customHeight="1">
      <c r="A74" s="108"/>
      <c r="B74" s="108"/>
      <c r="C74" s="108"/>
      <c r="D74" s="108"/>
      <c r="E74" s="108"/>
      <c r="F74" s="108"/>
      <c r="G74" s="109"/>
      <c r="H74" s="109"/>
      <c r="I74" s="109"/>
      <c r="J74" s="115"/>
      <c r="K74" s="116"/>
      <c r="N74" s="914" t="s">
        <v>112</v>
      </c>
      <c r="O74" s="915"/>
      <c r="P74" s="245" t="s">
        <v>113</v>
      </c>
      <c r="Q74" s="245" t="s">
        <v>114</v>
      </c>
      <c r="R74" s="245" t="s">
        <v>122</v>
      </c>
      <c r="S74" s="245" t="s">
        <v>115</v>
      </c>
      <c r="T74" s="246" t="s">
        <v>314</v>
      </c>
      <c r="U74" s="245" t="s">
        <v>315</v>
      </c>
      <c r="V74" s="245" t="s">
        <v>316</v>
      </c>
      <c r="W74" s="245" t="s">
        <v>317</v>
      </c>
      <c r="X74" s="245" t="s">
        <v>318</v>
      </c>
      <c r="Y74" s="245" t="s">
        <v>319</v>
      </c>
    </row>
    <row r="75" spans="1:25" ht="18.75" customHeight="1">
      <c r="A75" s="98" t="s">
        <v>327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N75" s="916" t="s">
        <v>126</v>
      </c>
      <c r="O75" s="917"/>
      <c r="P75" s="247" t="s">
        <v>127</v>
      </c>
      <c r="Q75" s="247" t="s">
        <v>128</v>
      </c>
      <c r="R75" s="247" t="s">
        <v>129</v>
      </c>
      <c r="S75" s="247" t="s">
        <v>130</v>
      </c>
      <c r="T75" s="247" t="s">
        <v>131</v>
      </c>
      <c r="U75" s="247" t="s">
        <v>132</v>
      </c>
      <c r="V75" s="247" t="s">
        <v>133</v>
      </c>
      <c r="W75" s="247" t="s">
        <v>134</v>
      </c>
      <c r="X75" s="247" t="s">
        <v>135</v>
      </c>
      <c r="Y75" s="247" t="s">
        <v>136</v>
      </c>
    </row>
    <row r="76" spans="1:25" ht="18.75" customHeight="1">
      <c r="A76" s="100" t="s">
        <v>112</v>
      </c>
      <c r="B76" s="101" t="s">
        <v>113</v>
      </c>
      <c r="C76" s="102" t="s">
        <v>114</v>
      </c>
      <c r="D76" s="101" t="s">
        <v>122</v>
      </c>
      <c r="E76" s="103" t="s">
        <v>115</v>
      </c>
      <c r="F76" s="101" t="s">
        <v>117</v>
      </c>
      <c r="G76" s="102" t="s">
        <v>116</v>
      </c>
      <c r="H76" s="101" t="s">
        <v>118</v>
      </c>
      <c r="I76" s="102" t="s">
        <v>119</v>
      </c>
      <c r="J76" s="101" t="s">
        <v>120</v>
      </c>
      <c r="K76" s="113" t="s">
        <v>121</v>
      </c>
      <c r="N76" s="248" t="s">
        <v>139</v>
      </c>
      <c r="O76" s="249"/>
      <c r="P76" s="250"/>
      <c r="Q76" s="251" t="s">
        <v>125</v>
      </c>
      <c r="R76" s="252">
        <f>D65</f>
        <v>0</v>
      </c>
      <c r="S76" s="253">
        <v>2.4500000000000002</v>
      </c>
      <c r="T76" s="254">
        <v>5</v>
      </c>
      <c r="U76" s="255">
        <f>R76/S76</f>
        <v>0</v>
      </c>
      <c r="V76" s="256">
        <v>1</v>
      </c>
      <c r="W76" s="257">
        <f>U76*V76</f>
        <v>0</v>
      </c>
      <c r="X76" s="258">
        <f>W76^2</f>
        <v>0</v>
      </c>
      <c r="Y76" s="259">
        <f>W76^4/T76</f>
        <v>0</v>
      </c>
    </row>
    <row r="77" spans="1:25" ht="18.75" customHeight="1">
      <c r="A77" s="104" t="s">
        <v>123</v>
      </c>
      <c r="B77" s="104" t="s">
        <v>124</v>
      </c>
      <c r="C77" s="104" t="s">
        <v>125</v>
      </c>
      <c r="D77" s="105">
        <f>ID!L80</f>
        <v>0</v>
      </c>
      <c r="E77" s="106">
        <f>SQRT(6)</f>
        <v>2.4494897427831779</v>
      </c>
      <c r="F77" s="106">
        <f>D77/E77</f>
        <v>0</v>
      </c>
      <c r="G77" s="110">
        <f>6-1</f>
        <v>5</v>
      </c>
      <c r="H77" s="110">
        <v>1</v>
      </c>
      <c r="I77" s="106">
        <f>F77*H77</f>
        <v>0</v>
      </c>
      <c r="J77" s="106">
        <f>I77^2</f>
        <v>0</v>
      </c>
      <c r="K77" s="106">
        <f>(J77^2)/G77</f>
        <v>0</v>
      </c>
      <c r="N77" s="248" t="s">
        <v>140</v>
      </c>
      <c r="O77" s="249"/>
      <c r="P77" s="260"/>
      <c r="Q77" s="251" t="s">
        <v>138</v>
      </c>
      <c r="R77" s="252">
        <f t="shared" ref="R77:R79" si="5">D66</f>
        <v>0</v>
      </c>
      <c r="S77" s="253">
        <v>1.73</v>
      </c>
      <c r="T77" s="254">
        <v>50</v>
      </c>
      <c r="U77" s="261">
        <f>R77/S77</f>
        <v>0</v>
      </c>
      <c r="V77" s="254">
        <v>1</v>
      </c>
      <c r="W77" s="261">
        <f>U77*V77</f>
        <v>0</v>
      </c>
      <c r="X77" s="262">
        <f>W77^2</f>
        <v>0</v>
      </c>
      <c r="Y77" s="263">
        <f>W77^4/T77</f>
        <v>0</v>
      </c>
    </row>
    <row r="78" spans="1:25" ht="18.75" customHeight="1">
      <c r="A78" s="104" t="s">
        <v>159</v>
      </c>
      <c r="B78" s="104" t="s">
        <v>124</v>
      </c>
      <c r="C78" s="104" t="s">
        <v>138</v>
      </c>
      <c r="D78" s="105">
        <f>M122</f>
        <v>0</v>
      </c>
      <c r="E78" s="106">
        <f>SQRT(3)</f>
        <v>1.7320508075688772</v>
      </c>
      <c r="F78" s="106">
        <f>D78/E78</f>
        <v>0</v>
      </c>
      <c r="G78" s="110">
        <v>50</v>
      </c>
      <c r="H78" s="110">
        <v>1</v>
      </c>
      <c r="I78" s="106">
        <f>F78*H78</f>
        <v>0</v>
      </c>
      <c r="J78" s="106">
        <f>I78^2</f>
        <v>0</v>
      </c>
      <c r="K78" s="106">
        <f>(J78^2)/G78</f>
        <v>0</v>
      </c>
      <c r="N78" s="248" t="s">
        <v>142</v>
      </c>
      <c r="O78" s="249"/>
      <c r="P78" s="260"/>
      <c r="Q78" s="251" t="s">
        <v>138</v>
      </c>
      <c r="R78" s="252">
        <f t="shared" si="5"/>
        <v>0.5</v>
      </c>
      <c r="S78" s="264">
        <f>SQRT(3)</f>
        <v>1.7320508075688772</v>
      </c>
      <c r="T78" s="254">
        <v>50</v>
      </c>
      <c r="U78" s="265">
        <f>R78/S78</f>
        <v>0.28867513459481292</v>
      </c>
      <c r="V78" s="254">
        <v>1</v>
      </c>
      <c r="W78" s="265">
        <f>U78*V78</f>
        <v>0.28867513459481292</v>
      </c>
      <c r="X78" s="262">
        <f>W78^2</f>
        <v>8.3333333333333356E-2</v>
      </c>
      <c r="Y78" s="262">
        <f>W78^4/T78</f>
        <v>1.3888888888888897E-4</v>
      </c>
    </row>
    <row r="79" spans="1:25" ht="18.75" customHeight="1">
      <c r="A79" s="104" t="s">
        <v>5</v>
      </c>
      <c r="B79" s="104" t="s">
        <v>124</v>
      </c>
      <c r="C79" s="104" t="s">
        <v>138</v>
      </c>
      <c r="D79" s="105">
        <f>ID!E7*0.5</f>
        <v>0.5</v>
      </c>
      <c r="E79" s="106">
        <f>SQRT(3)</f>
        <v>1.7320508075688772</v>
      </c>
      <c r="F79" s="106">
        <f>D79/E79</f>
        <v>0.28867513459481292</v>
      </c>
      <c r="G79" s="110">
        <v>50</v>
      </c>
      <c r="H79" s="110">
        <v>1</v>
      </c>
      <c r="I79" s="106">
        <f>F79*H79</f>
        <v>0.28867513459481292</v>
      </c>
      <c r="J79" s="106">
        <f>I79^2</f>
        <v>8.3333333333333356E-2</v>
      </c>
      <c r="K79" s="106">
        <f>(J79^2)/G79</f>
        <v>1.3888888888888897E-4</v>
      </c>
      <c r="N79" s="266" t="s">
        <v>144</v>
      </c>
      <c r="O79" s="249"/>
      <c r="P79" s="251"/>
      <c r="Q79" s="250" t="s">
        <v>125</v>
      </c>
      <c r="R79" s="252">
        <f t="shared" si="5"/>
        <v>1E-3</v>
      </c>
      <c r="S79" s="264">
        <v>2</v>
      </c>
      <c r="T79" s="254">
        <v>50</v>
      </c>
      <c r="U79" s="261">
        <f>R79/S79</f>
        <v>5.0000000000000001E-4</v>
      </c>
      <c r="V79" s="254">
        <v>1</v>
      </c>
      <c r="W79" s="261">
        <f>U79*V79</f>
        <v>5.0000000000000001E-4</v>
      </c>
      <c r="X79" s="262">
        <f>W79^2</f>
        <v>2.4999999999999999E-7</v>
      </c>
      <c r="Y79" s="262">
        <f>W79^4/T79</f>
        <v>1.25E-15</v>
      </c>
    </row>
    <row r="80" spans="1:25" ht="18.75" customHeight="1">
      <c r="A80" s="104" t="s">
        <v>141</v>
      </c>
      <c r="B80" s="104" t="s">
        <v>124</v>
      </c>
      <c r="C80" s="104" t="s">
        <v>125</v>
      </c>
      <c r="D80" s="105">
        <f>B122</f>
        <v>1E-3</v>
      </c>
      <c r="E80" s="106">
        <v>2</v>
      </c>
      <c r="F80" s="106">
        <f>D80/E80</f>
        <v>5.0000000000000001E-4</v>
      </c>
      <c r="G80" s="110">
        <v>50</v>
      </c>
      <c r="H80" s="110">
        <v>1</v>
      </c>
      <c r="I80" s="106">
        <f>F80*H80</f>
        <v>5.0000000000000001E-4</v>
      </c>
      <c r="J80" s="106">
        <f>I80^2</f>
        <v>2.4999999999999999E-7</v>
      </c>
      <c r="K80" s="106">
        <f>(J80^2)/G80</f>
        <v>1.25E-15</v>
      </c>
      <c r="N80" s="269"/>
      <c r="O80" s="267"/>
      <c r="P80" s="270"/>
      <c r="Q80" s="254"/>
      <c r="R80" s="268"/>
      <c r="S80" s="264"/>
      <c r="T80" s="254"/>
      <c r="U80" s="261"/>
      <c r="V80" s="254"/>
      <c r="W80" s="261"/>
      <c r="X80" s="262"/>
      <c r="Y80" s="262"/>
    </row>
    <row r="81" spans="1:25" ht="18.75" customHeight="1">
      <c r="A81" s="918" t="s">
        <v>143</v>
      </c>
      <c r="B81" s="918"/>
      <c r="C81" s="918"/>
      <c r="D81" s="918"/>
      <c r="E81" s="918"/>
      <c r="F81" s="918"/>
      <c r="G81" s="918"/>
      <c r="H81" s="918"/>
      <c r="I81" s="918"/>
      <c r="J81" s="106">
        <f>SUM(J77:J80)</f>
        <v>8.333358333333335E-2</v>
      </c>
      <c r="K81" s="106">
        <f>SUM(K77:K80)</f>
        <v>1.3888888889013897E-4</v>
      </c>
      <c r="N81" s="925" t="s">
        <v>143</v>
      </c>
      <c r="O81" s="926"/>
      <c r="P81" s="926"/>
      <c r="Q81" s="926"/>
      <c r="R81" s="926"/>
      <c r="S81" s="926"/>
      <c r="T81" s="926"/>
      <c r="U81" s="926"/>
      <c r="V81" s="927"/>
      <c r="W81" s="261"/>
      <c r="X81" s="262">
        <f>SUM(X76:X79)</f>
        <v>8.333358333333335E-2</v>
      </c>
      <c r="Y81" s="262">
        <f>SUM(Y76:Y79)</f>
        <v>1.3888888889013897E-4</v>
      </c>
    </row>
    <row r="82" spans="1:25" ht="18.75" customHeight="1">
      <c r="A82" s="918" t="s">
        <v>145</v>
      </c>
      <c r="B82" s="918"/>
      <c r="C82" s="918"/>
      <c r="D82" s="918"/>
      <c r="E82" s="918"/>
      <c r="F82" s="918"/>
      <c r="G82" s="919" t="s">
        <v>146</v>
      </c>
      <c r="H82" s="919"/>
      <c r="I82" s="919"/>
      <c r="J82" s="106">
        <f>SQRT(J81)</f>
        <v>0.28867556760719004</v>
      </c>
      <c r="K82" s="106"/>
      <c r="N82" s="925" t="s">
        <v>145</v>
      </c>
      <c r="O82" s="926"/>
      <c r="P82" s="926"/>
      <c r="Q82" s="926"/>
      <c r="R82" s="926"/>
      <c r="S82" s="926"/>
      <c r="T82" s="926"/>
      <c r="U82" s="926"/>
      <c r="V82" s="927"/>
      <c r="W82" s="261"/>
      <c r="X82" s="271">
        <f>SQRT(X81)</f>
        <v>0.28867556760719004</v>
      </c>
      <c r="Y82" s="262"/>
    </row>
    <row r="83" spans="1:25" ht="18.75" customHeight="1">
      <c r="A83" s="918" t="s">
        <v>147</v>
      </c>
      <c r="B83" s="918"/>
      <c r="C83" s="918"/>
      <c r="D83" s="918"/>
      <c r="E83" s="918"/>
      <c r="F83" s="918"/>
      <c r="G83" s="920" t="s">
        <v>148</v>
      </c>
      <c r="H83" s="920"/>
      <c r="I83" s="920"/>
      <c r="J83" s="106">
        <f>J82^4/(K81)</f>
        <v>50.000299999999982</v>
      </c>
      <c r="K83" s="106"/>
      <c r="N83" s="925" t="s">
        <v>147</v>
      </c>
      <c r="O83" s="926"/>
      <c r="P83" s="926"/>
      <c r="Q83" s="926"/>
      <c r="R83" s="926"/>
      <c r="S83" s="926"/>
      <c r="T83" s="926"/>
      <c r="U83" s="926"/>
      <c r="V83" s="927"/>
      <c r="W83" s="272"/>
      <c r="X83" s="273">
        <f>X82^4/(Y81)</f>
        <v>50.000299999999982</v>
      </c>
      <c r="Y83" s="274"/>
    </row>
    <row r="84" spans="1:25" ht="18.75" customHeight="1">
      <c r="A84" s="918" t="s">
        <v>149</v>
      </c>
      <c r="B84" s="918"/>
      <c r="C84" s="918"/>
      <c r="D84" s="918"/>
      <c r="E84" s="918"/>
      <c r="F84" s="918"/>
      <c r="G84" s="921" t="s">
        <v>150</v>
      </c>
      <c r="H84" s="921"/>
      <c r="I84" s="921"/>
      <c r="J84" s="106">
        <f>1.95996+(2.37356/J35)+(2.818745/J35^2)+(2.546662/J35^3)+(1.761829/J35^4)+(0.245458/J35^5)+(1.000764/J35^6)</f>
        <v>2.0085790553093026</v>
      </c>
      <c r="K84" s="106"/>
      <c r="N84" s="925" t="s">
        <v>154</v>
      </c>
      <c r="O84" s="926"/>
      <c r="P84" s="926"/>
      <c r="Q84" s="926"/>
      <c r="R84" s="926"/>
      <c r="S84" s="926"/>
      <c r="T84" s="926"/>
      <c r="U84" s="926"/>
      <c r="V84" s="927"/>
      <c r="W84" s="272"/>
      <c r="X84" s="275">
        <f>1.95996+(2.37356/X83)+(2.818745/X83^2)+(2.546662/X83^3)+(1.761829/X83^4)+(0.245458/X83^5)+(1.000764/X83^6)</f>
        <v>2.0085790553093026</v>
      </c>
      <c r="Y84" s="274"/>
    </row>
    <row r="85" spans="1:25" ht="18.75" customHeight="1">
      <c r="A85" s="918" t="s">
        <v>151</v>
      </c>
      <c r="B85" s="918"/>
      <c r="C85" s="918"/>
      <c r="D85" s="918"/>
      <c r="E85" s="918"/>
      <c r="F85" s="918"/>
      <c r="G85" s="921" t="s">
        <v>152</v>
      </c>
      <c r="H85" s="921"/>
      <c r="I85" s="921"/>
      <c r="J85" s="279">
        <f>J84*J82</f>
        <v>0.57982769887532648</v>
      </c>
      <c r="K85" s="114" t="s">
        <v>65</v>
      </c>
      <c r="N85" s="925" t="s">
        <v>155</v>
      </c>
      <c r="O85" s="926"/>
      <c r="P85" s="926"/>
      <c r="Q85" s="926"/>
      <c r="R85" s="926"/>
      <c r="S85" s="926"/>
      <c r="T85" s="926"/>
      <c r="U85" s="926"/>
      <c r="V85" s="927"/>
      <c r="W85" s="272"/>
      <c r="X85" s="277">
        <f>X84*X82</f>
        <v>0.57982769887532648</v>
      </c>
      <c r="Y85" s="276" t="s">
        <v>156</v>
      </c>
    </row>
    <row r="86" spans="1:25" ht="18.75" customHeight="1">
      <c r="A86" s="108"/>
      <c r="B86" s="108"/>
      <c r="C86" s="108"/>
      <c r="D86" s="108"/>
      <c r="E86" s="108"/>
      <c r="F86" s="108"/>
      <c r="G86" s="109"/>
      <c r="H86" s="109"/>
      <c r="I86" s="109"/>
      <c r="J86" s="115"/>
      <c r="K86" s="116"/>
    </row>
    <row r="87" spans="1: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N87" s="278" t="s">
        <v>327</v>
      </c>
    </row>
    <row r="88" spans="1:25" ht="37.5" customHeight="1">
      <c r="A88" s="118" t="s">
        <v>162</v>
      </c>
      <c r="B88" s="932" t="str">
        <f>ID!B52</f>
        <v>Digital Thermohygro Barometer : EXTECH, SD700, SN : A.100586</v>
      </c>
      <c r="C88" s="933"/>
      <c r="D88" s="933"/>
      <c r="E88" s="934"/>
      <c r="F88" s="14"/>
      <c r="G88" s="14"/>
      <c r="H88" s="14"/>
      <c r="I88" s="14"/>
      <c r="J88" s="14"/>
      <c r="K88" s="14"/>
      <c r="N88" s="914" t="s">
        <v>112</v>
      </c>
      <c r="O88" s="915"/>
      <c r="P88" s="245" t="s">
        <v>113</v>
      </c>
      <c r="Q88" s="245" t="s">
        <v>114</v>
      </c>
      <c r="R88" s="245" t="s">
        <v>122</v>
      </c>
      <c r="S88" s="245" t="s">
        <v>115</v>
      </c>
      <c r="T88" s="246" t="s">
        <v>314</v>
      </c>
      <c r="U88" s="245" t="s">
        <v>315</v>
      </c>
      <c r="V88" s="245" t="s">
        <v>316</v>
      </c>
      <c r="W88" s="245" t="s">
        <v>317</v>
      </c>
      <c r="X88" s="245" t="s">
        <v>318</v>
      </c>
      <c r="Y88" s="245" t="s">
        <v>319</v>
      </c>
    </row>
    <row r="89" spans="1:25">
      <c r="A89" s="42" t="s">
        <v>163</v>
      </c>
      <c r="B89" s="42"/>
      <c r="C89" s="104"/>
      <c r="D89" s="104" t="s">
        <v>164</v>
      </c>
      <c r="E89" s="104"/>
      <c r="F89" s="14"/>
      <c r="G89" s="14"/>
      <c r="H89" s="14"/>
      <c r="I89" s="14"/>
      <c r="J89" s="14"/>
      <c r="K89" s="14"/>
      <c r="N89" s="916" t="s">
        <v>126</v>
      </c>
      <c r="O89" s="917"/>
      <c r="P89" s="247" t="s">
        <v>127</v>
      </c>
      <c r="Q89" s="247" t="s">
        <v>128</v>
      </c>
      <c r="R89" s="247" t="s">
        <v>129</v>
      </c>
      <c r="S89" s="247" t="s">
        <v>130</v>
      </c>
      <c r="T89" s="247" t="s">
        <v>131</v>
      </c>
      <c r="U89" s="247" t="s">
        <v>132</v>
      </c>
      <c r="V89" s="247" t="s">
        <v>133</v>
      </c>
      <c r="W89" s="247" t="s">
        <v>134</v>
      </c>
      <c r="X89" s="247" t="s">
        <v>135</v>
      </c>
      <c r="Y89" s="247" t="s">
        <v>136</v>
      </c>
    </row>
    <row r="90" spans="1:25">
      <c r="A90" s="119" t="s">
        <v>165</v>
      </c>
      <c r="B90" s="119" t="s">
        <v>91</v>
      </c>
      <c r="C90" s="104"/>
      <c r="D90" s="104" t="s">
        <v>165</v>
      </c>
      <c r="E90" s="104" t="s">
        <v>91</v>
      </c>
      <c r="F90" s="14"/>
      <c r="G90" s="935" t="s">
        <v>166</v>
      </c>
      <c r="H90" s="936"/>
      <c r="I90" s="936"/>
      <c r="J90" s="937"/>
      <c r="K90" s="104" t="s">
        <v>167</v>
      </c>
      <c r="L90" s="14"/>
      <c r="N90" s="248" t="s">
        <v>139</v>
      </c>
      <c r="O90" s="249"/>
      <c r="P90" s="250"/>
      <c r="Q90" s="251" t="s">
        <v>125</v>
      </c>
      <c r="R90" s="252">
        <f>D77</f>
        <v>0</v>
      </c>
      <c r="S90" s="253">
        <v>2.4500000000000002</v>
      </c>
      <c r="T90" s="254">
        <v>5</v>
      </c>
      <c r="U90" s="255">
        <f>R90/S90</f>
        <v>0</v>
      </c>
      <c r="V90" s="256">
        <v>1</v>
      </c>
      <c r="W90" s="257">
        <f>U90*V90</f>
        <v>0</v>
      </c>
      <c r="X90" s="258">
        <f>W90^2</f>
        <v>0</v>
      </c>
      <c r="Y90" s="259">
        <f>W90^4/T90</f>
        <v>0</v>
      </c>
    </row>
    <row r="91" spans="1:25">
      <c r="A91" s="120">
        <v>15</v>
      </c>
      <c r="B91" s="120">
        <v>0.4</v>
      </c>
      <c r="C91" s="120"/>
      <c r="D91" s="120">
        <v>35</v>
      </c>
      <c r="E91" s="120">
        <v>-0.8</v>
      </c>
      <c r="F91" s="14"/>
      <c r="G91" s="16"/>
      <c r="H91" s="16" t="str">
        <f>IF(G92&lt;=20,"15",IF(G92&lt;=25,"20",IF(G92&lt;=30,"25",IF(G92&lt;=35,"30",IF(G92&lt;=37,"35",IF(G92&lt;=40,"37",IF(G92&lt;=40,"40",)))))))</f>
        <v>20</v>
      </c>
      <c r="I91" s="16"/>
      <c r="J91" s="16" t="str">
        <f>IF(G92&lt;=20,"0.4",IF(G92&lt;=25,"0.0",IF(G92&lt;=30,"-0.5",IF(G92&lt;35,"-1.0",IF(G92&lt;=37,"-1.5",IF(G92&lt;=40,"-1.8"))))))</f>
        <v>0.0</v>
      </c>
      <c r="K91" s="104" t="s">
        <v>163</v>
      </c>
      <c r="L91" s="104">
        <v>0.4</v>
      </c>
      <c r="N91" s="248" t="s">
        <v>140</v>
      </c>
      <c r="O91" s="249"/>
      <c r="P91" s="260"/>
      <c r="Q91" s="251" t="s">
        <v>138</v>
      </c>
      <c r="R91" s="252">
        <f t="shared" ref="R91:R93" si="6">D78</f>
        <v>0</v>
      </c>
      <c r="S91" s="253">
        <v>1.73</v>
      </c>
      <c r="T91" s="254">
        <v>50</v>
      </c>
      <c r="U91" s="261">
        <f>R91/S91</f>
        <v>0</v>
      </c>
      <c r="V91" s="254">
        <v>1</v>
      </c>
      <c r="W91" s="261">
        <f>U91*V91</f>
        <v>0</v>
      </c>
      <c r="X91" s="262">
        <f>W91^2</f>
        <v>0</v>
      </c>
      <c r="Y91" s="263">
        <f>W91^4/T91</f>
        <v>0</v>
      </c>
    </row>
    <row r="92" spans="1:25">
      <c r="A92" s="121">
        <v>20</v>
      </c>
      <c r="B92" s="121">
        <v>0</v>
      </c>
      <c r="C92" s="121"/>
      <c r="D92" s="121">
        <v>40</v>
      </c>
      <c r="E92" s="121">
        <v>-0.9</v>
      </c>
      <c r="F92" s="14"/>
      <c r="G92" s="20">
        <f>ID!N16</f>
        <v>24.5</v>
      </c>
      <c r="H92" s="16"/>
      <c r="I92" s="20">
        <f>((G92-H91)/(H93-H91)*(J93-J91)+J91)</f>
        <v>-0.45</v>
      </c>
      <c r="J92" s="20"/>
      <c r="K92" s="104" t="s">
        <v>164</v>
      </c>
      <c r="L92" s="104">
        <v>1.6</v>
      </c>
      <c r="N92" s="248" t="s">
        <v>142</v>
      </c>
      <c r="O92" s="249"/>
      <c r="P92" s="260"/>
      <c r="Q92" s="251" t="s">
        <v>138</v>
      </c>
      <c r="R92" s="252">
        <f t="shared" si="6"/>
        <v>0.5</v>
      </c>
      <c r="S92" s="264">
        <f>SQRT(3)</f>
        <v>1.7320508075688772</v>
      </c>
      <c r="T92" s="254">
        <v>50</v>
      </c>
      <c r="U92" s="265">
        <f>R92/S92</f>
        <v>0.28867513459481292</v>
      </c>
      <c r="V92" s="254">
        <v>1</v>
      </c>
      <c r="W92" s="265">
        <f>U92*V92</f>
        <v>0.28867513459481292</v>
      </c>
      <c r="X92" s="262">
        <f>W92^2</f>
        <v>8.3333333333333356E-2</v>
      </c>
      <c r="Y92" s="262">
        <f>W92^4/T92</f>
        <v>1.3888888888888897E-4</v>
      </c>
    </row>
    <row r="93" spans="1:25">
      <c r="A93" s="122">
        <v>25</v>
      </c>
      <c r="B93" s="122">
        <v>-0.5</v>
      </c>
      <c r="C93" s="122"/>
      <c r="D93" s="122">
        <v>50</v>
      </c>
      <c r="E93" s="122">
        <v>-1</v>
      </c>
      <c r="F93" s="14"/>
      <c r="G93" s="16"/>
      <c r="H93" s="16" t="str">
        <f>IF(G92&lt;=20,"20",IF(G92&lt;=25,"25",IF(G92&lt;=30,"30",IF(G92&lt;=35,"35",IF(G92&lt;=37,"37",IF(G92&lt;=40,"40",))))))</f>
        <v>25</v>
      </c>
      <c r="I93" s="16"/>
      <c r="J93" s="16" t="str">
        <f>IF(G92&lt;=20,"0.0",IF(G92&lt;=25,"-0.5",IF(G92&lt;=30,"-1.0",IF(G92&lt;=35,"-1.5",IF(G92&lt;=37,"-1.8",IF(G92&lt;=40,"-2.1"))))))</f>
        <v>-0.5</v>
      </c>
      <c r="K93" s="14"/>
      <c r="N93" s="266" t="s">
        <v>144</v>
      </c>
      <c r="O93" s="249"/>
      <c r="P93" s="251"/>
      <c r="Q93" s="250" t="s">
        <v>125</v>
      </c>
      <c r="R93" s="252">
        <f t="shared" si="6"/>
        <v>1E-3</v>
      </c>
      <c r="S93" s="264">
        <v>2</v>
      </c>
      <c r="T93" s="254">
        <v>50</v>
      </c>
      <c r="U93" s="261">
        <f>R93/S93</f>
        <v>5.0000000000000001E-4</v>
      </c>
      <c r="V93" s="254">
        <v>1</v>
      </c>
      <c r="W93" s="261">
        <f>U93*V93</f>
        <v>5.0000000000000001E-4</v>
      </c>
      <c r="X93" s="262">
        <f>W93^2</f>
        <v>2.4999999999999999E-7</v>
      </c>
      <c r="Y93" s="262">
        <f>W93^4/T93</f>
        <v>1.25E-15</v>
      </c>
    </row>
    <row r="94" spans="1:25">
      <c r="A94" s="122">
        <v>30</v>
      </c>
      <c r="B94" s="122">
        <v>-1</v>
      </c>
      <c r="C94" s="122"/>
      <c r="D94" s="122">
        <v>60</v>
      </c>
      <c r="E94" s="122">
        <v>-0.9</v>
      </c>
      <c r="F94" s="14"/>
      <c r="G94" s="938" t="s">
        <v>168</v>
      </c>
      <c r="H94" s="939"/>
      <c r="I94" s="939"/>
      <c r="J94" s="940"/>
      <c r="K94" s="14"/>
      <c r="N94" s="269"/>
      <c r="O94" s="267"/>
      <c r="P94" s="270"/>
      <c r="Q94" s="254"/>
      <c r="R94" s="268"/>
      <c r="S94" s="264"/>
      <c r="T94" s="254"/>
      <c r="U94" s="261"/>
      <c r="V94" s="254"/>
      <c r="W94" s="261"/>
      <c r="X94" s="262"/>
      <c r="Y94" s="262"/>
    </row>
    <row r="95" spans="1:25">
      <c r="A95" s="122">
        <v>35</v>
      </c>
      <c r="B95" s="122">
        <v>-1.5</v>
      </c>
      <c r="C95" s="122"/>
      <c r="D95" s="122">
        <v>70</v>
      </c>
      <c r="E95" s="122">
        <v>-7.0000000000000007E-2</v>
      </c>
      <c r="F95" s="14"/>
      <c r="G95" s="16"/>
      <c r="H95" s="16" t="str">
        <f>IF(G96&lt;=40,"30",IF(G96&lt;=50,"40",IF(G96&lt;=60,"50",IF(G96&lt;=70,"60",IF(G96&lt;=80,"70",IF(G96&lt;=90,"80",IF(G96&lt;=90,"90")))))))</f>
        <v>70</v>
      </c>
      <c r="I95" s="16"/>
      <c r="J95" s="16" t="str">
        <f>IF(G96&lt;=40,"-0.8",IF(G96&lt;=50,"-0.9",IF(G96&lt;=60,"-1.0",IF(G96&lt;70,"-0.9",IF(G96&lt;=80,"-0.1",IF(G96&lt;=90,"-0.4"))))))</f>
        <v>-0.1</v>
      </c>
      <c r="K95" s="14"/>
      <c r="N95" s="925" t="s">
        <v>143</v>
      </c>
      <c r="O95" s="926"/>
      <c r="P95" s="926"/>
      <c r="Q95" s="926"/>
      <c r="R95" s="926"/>
      <c r="S95" s="926"/>
      <c r="T95" s="926"/>
      <c r="U95" s="926"/>
      <c r="V95" s="927"/>
      <c r="W95" s="261"/>
      <c r="X95" s="262">
        <f>SUM(X90:X93)</f>
        <v>8.333358333333335E-2</v>
      </c>
      <c r="Y95" s="262">
        <f>SUM(Y90:Y93)</f>
        <v>1.3888888889013897E-4</v>
      </c>
    </row>
    <row r="96" spans="1:25">
      <c r="A96" s="122">
        <v>37</v>
      </c>
      <c r="B96" s="122">
        <v>-1.8</v>
      </c>
      <c r="C96" s="122"/>
      <c r="D96" s="122">
        <v>80</v>
      </c>
      <c r="E96" s="122">
        <v>-0.4</v>
      </c>
      <c r="F96" s="14"/>
      <c r="G96" s="20">
        <f>ID!N17</f>
        <v>79.5</v>
      </c>
      <c r="H96" s="16"/>
      <c r="I96" s="20">
        <f>((G96-H95)/(H97-H95)*(J97-J95)+J95)</f>
        <v>-0.38500000000000001</v>
      </c>
      <c r="J96" s="20"/>
      <c r="K96" s="14"/>
      <c r="N96" s="925" t="s">
        <v>145</v>
      </c>
      <c r="O96" s="926"/>
      <c r="P96" s="926"/>
      <c r="Q96" s="926"/>
      <c r="R96" s="926"/>
      <c r="S96" s="926"/>
      <c r="T96" s="926"/>
      <c r="U96" s="926"/>
      <c r="V96" s="927"/>
      <c r="W96" s="261"/>
      <c r="X96" s="271">
        <f>SQRT(X95)</f>
        <v>0.28867556760719004</v>
      </c>
      <c r="Y96" s="262"/>
    </row>
    <row r="97" spans="1:25" ht="13.8">
      <c r="A97" s="122">
        <v>40</v>
      </c>
      <c r="B97" s="122">
        <v>-2.1</v>
      </c>
      <c r="C97" s="104"/>
      <c r="D97" s="122">
        <v>90</v>
      </c>
      <c r="E97" s="122">
        <v>0.2</v>
      </c>
      <c r="F97" s="14"/>
      <c r="G97" s="16"/>
      <c r="H97" s="16" t="str">
        <f>IF(G96&lt;=40,"40",IF(G96&lt;=50,"50",IF(G96&lt;=60,"60",IF(G96&lt;=70,"70",IF(G96&lt;=80,"80",IF(G96&lt;=90,"90",))))))</f>
        <v>80</v>
      </c>
      <c r="I97" s="16"/>
      <c r="J97" s="16" t="str">
        <f>IF(G96&lt;=40,"-0.9",IF(G96&lt;=50,"-1.0",IF(G96&lt;=60,"-0.9",IF(G96&lt;=70,"-0.1",IF(G96&lt;=80,"-0.4",IF(G96&lt;=90,"0.2"))))))</f>
        <v>-0.4</v>
      </c>
      <c r="K97" s="14"/>
      <c r="N97" s="925" t="s">
        <v>147</v>
      </c>
      <c r="O97" s="926"/>
      <c r="P97" s="926"/>
      <c r="Q97" s="926"/>
      <c r="R97" s="926"/>
      <c r="S97" s="926"/>
      <c r="T97" s="926"/>
      <c r="U97" s="926"/>
      <c r="V97" s="927"/>
      <c r="W97" s="272"/>
      <c r="X97" s="273">
        <f>X96^4/(Y95)</f>
        <v>50.000299999999982</v>
      </c>
      <c r="Y97" s="274"/>
    </row>
    <row r="98" spans="1:25" ht="13.8">
      <c r="A98" s="123"/>
      <c r="B98" s="123"/>
      <c r="C98" s="14"/>
      <c r="D98" s="123"/>
      <c r="E98" s="123"/>
      <c r="F98" s="14"/>
      <c r="G98" s="21"/>
      <c r="H98" s="21"/>
      <c r="I98" s="21"/>
      <c r="J98" s="21"/>
      <c r="K98" s="14"/>
      <c r="N98" s="925" t="s">
        <v>154</v>
      </c>
      <c r="O98" s="926"/>
      <c r="P98" s="926"/>
      <c r="Q98" s="926"/>
      <c r="R98" s="926"/>
      <c r="S98" s="926"/>
      <c r="T98" s="926"/>
      <c r="U98" s="926"/>
      <c r="V98" s="927"/>
      <c r="W98" s="272"/>
      <c r="X98" s="275">
        <f>1.95996+(2.37356/X97)+(2.818745/X97^2)+(2.546662/X97^3)+(1.761829/X97^4)+(0.245458/X97^5)+(1.000764/X97^6)</f>
        <v>2.0085790553093026</v>
      </c>
      <c r="Y98" s="274"/>
    </row>
    <row r="99" spans="1:25" ht="48" customHeight="1">
      <c r="A99" s="124" t="str">
        <f>ID!B50</f>
        <v>Fetal Simulator, Merek : Fluke Biomedical, Model : PS 320, SN : 4662032</v>
      </c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925" t="s">
        <v>155</v>
      </c>
      <c r="O99" s="926"/>
      <c r="P99" s="926"/>
      <c r="Q99" s="926"/>
      <c r="R99" s="926"/>
      <c r="S99" s="926"/>
      <c r="T99" s="926"/>
      <c r="U99" s="926"/>
      <c r="V99" s="927"/>
      <c r="W99" s="272"/>
      <c r="X99" s="277">
        <f>X98*X96</f>
        <v>0.57982769887532648</v>
      </c>
      <c r="Y99" s="276" t="s">
        <v>156</v>
      </c>
    </row>
    <row r="100" spans="1:25" ht="18.75" customHeight="1">
      <c r="A100" s="125"/>
      <c r="B100" s="125"/>
      <c r="C100" s="125"/>
      <c r="D100" s="125"/>
      <c r="E100" s="125"/>
      <c r="F100" s="126"/>
      <c r="G100" s="127"/>
      <c r="H100" s="127"/>
      <c r="I100" s="125"/>
      <c r="J100" s="125"/>
      <c r="K100" s="125"/>
      <c r="L100" s="125"/>
      <c r="M100" s="125"/>
    </row>
    <row r="101" spans="1:25">
      <c r="A101" s="945" t="s">
        <v>65</v>
      </c>
      <c r="B101" s="928" t="s">
        <v>91</v>
      </c>
      <c r="C101" s="929"/>
      <c r="D101" s="930"/>
      <c r="F101" s="127"/>
      <c r="G101" s="931" t="s">
        <v>169</v>
      </c>
      <c r="H101" s="931"/>
      <c r="I101" s="13"/>
      <c r="J101" s="147"/>
      <c r="K101" s="11"/>
    </row>
    <row r="102" spans="1:25">
      <c r="A102" s="945"/>
      <c r="B102" s="107">
        <v>2018</v>
      </c>
      <c r="C102" s="107">
        <v>2019</v>
      </c>
      <c r="D102" s="107" t="s">
        <v>170</v>
      </c>
      <c r="F102" s="127"/>
      <c r="G102" s="1" t="s">
        <v>65</v>
      </c>
      <c r="H102" s="1" t="s">
        <v>91</v>
      </c>
      <c r="I102" s="148"/>
      <c r="J102" s="149"/>
      <c r="K102" s="149"/>
    </row>
    <row r="103" spans="1:25">
      <c r="A103" s="118">
        <v>0</v>
      </c>
      <c r="B103" s="243" t="s">
        <v>171</v>
      </c>
      <c r="C103" s="128">
        <f>H103</f>
        <v>0</v>
      </c>
      <c r="D103" s="6">
        <f>0.5*((MAX(B103:C103))-(MIN(B103:C103)))</f>
        <v>0</v>
      </c>
      <c r="F103" s="127"/>
      <c r="G103" s="5">
        <v>0</v>
      </c>
      <c r="H103" s="129">
        <v>0</v>
      </c>
      <c r="I103" s="148"/>
      <c r="J103" s="149"/>
      <c r="K103" s="149"/>
    </row>
    <row r="104" spans="1:25">
      <c r="A104" s="118">
        <v>30</v>
      </c>
      <c r="B104" s="243" t="s">
        <v>171</v>
      </c>
      <c r="C104" s="128">
        <f>H104</f>
        <v>9.9999999999999995E-7</v>
      </c>
      <c r="D104" s="6">
        <f>0.5*((MAX(B104:C104))-(MIN(B104:C104)))</f>
        <v>0</v>
      </c>
      <c r="F104" s="127"/>
      <c r="G104" s="5">
        <v>30</v>
      </c>
      <c r="H104" s="129">
        <f>'DATA SERTIFIKAT PS320'!B154</f>
        <v>9.9999999999999995E-7</v>
      </c>
      <c r="I104" s="148"/>
      <c r="J104" s="149"/>
      <c r="K104" s="149"/>
    </row>
    <row r="105" spans="1:25">
      <c r="A105" s="1">
        <v>60</v>
      </c>
      <c r="B105" s="244" t="s">
        <v>171</v>
      </c>
      <c r="C105" s="4">
        <f>H103</f>
        <v>0</v>
      </c>
      <c r="D105" s="6">
        <f>0.5*((MAX(B105:C105))-(MIN(B105:C105)))</f>
        <v>0</v>
      </c>
      <c r="F105" s="127"/>
      <c r="G105" s="5">
        <v>60</v>
      </c>
      <c r="H105" s="129">
        <f>'DATA SERTIFIKAT PS320'!B155</f>
        <v>9.9999999999999995E-7</v>
      </c>
      <c r="I105" s="148"/>
      <c r="J105" s="149"/>
      <c r="K105" s="149"/>
    </row>
    <row r="106" spans="1:25">
      <c r="A106" s="1">
        <v>90</v>
      </c>
      <c r="B106" s="244" t="s">
        <v>171</v>
      </c>
      <c r="C106" s="4">
        <f t="shared" ref="C106:C111" si="7">H105</f>
        <v>9.9999999999999995E-7</v>
      </c>
      <c r="D106" s="6">
        <f t="shared" ref="D106:D111" si="8">0.5*((MAX(B106:C106))-(MIN(B106:C106)))</f>
        <v>0</v>
      </c>
      <c r="F106" s="127"/>
      <c r="G106" s="5">
        <v>90</v>
      </c>
      <c r="H106" s="129">
        <f>'DATA SERTIFIKAT PS320'!B156</f>
        <v>9.9999999999999995E-7</v>
      </c>
      <c r="I106" s="148"/>
      <c r="J106" s="149"/>
      <c r="K106" s="149"/>
    </row>
    <row r="107" spans="1:25">
      <c r="A107" s="1">
        <v>120</v>
      </c>
      <c r="B107" s="244" t="s">
        <v>171</v>
      </c>
      <c r="C107" s="4">
        <f t="shared" si="7"/>
        <v>9.9999999999999995E-7</v>
      </c>
      <c r="D107" s="6">
        <f t="shared" si="8"/>
        <v>0</v>
      </c>
      <c r="F107" s="127"/>
      <c r="G107" s="5">
        <v>120</v>
      </c>
      <c r="H107" s="129">
        <f>'DATA SERTIFIKAT PS320'!B157</f>
        <v>9.9999999999999995E-7</v>
      </c>
      <c r="I107" s="148"/>
      <c r="J107" s="148"/>
      <c r="L107" s="149"/>
    </row>
    <row r="108" spans="1:25">
      <c r="A108" s="1">
        <v>150</v>
      </c>
      <c r="B108" s="244" t="s">
        <v>171</v>
      </c>
      <c r="C108" s="4">
        <f t="shared" si="7"/>
        <v>9.9999999999999995E-7</v>
      </c>
      <c r="D108" s="6">
        <f t="shared" si="8"/>
        <v>0</v>
      </c>
      <c r="F108" s="127"/>
      <c r="G108" s="5">
        <v>150</v>
      </c>
      <c r="H108" s="129">
        <f>'DATA SERTIFIKAT PS320'!B158</f>
        <v>9.9999999999999995E-7</v>
      </c>
      <c r="I108" s="148"/>
      <c r="J108" s="148"/>
    </row>
    <row r="109" spans="1:25">
      <c r="A109" s="1">
        <v>180</v>
      </c>
      <c r="B109" s="244" t="s">
        <v>171</v>
      </c>
      <c r="C109" s="4">
        <f t="shared" si="7"/>
        <v>9.9999999999999995E-7</v>
      </c>
      <c r="D109" s="6">
        <f t="shared" si="8"/>
        <v>0</v>
      </c>
      <c r="F109" s="127"/>
      <c r="G109" s="5">
        <v>180</v>
      </c>
      <c r="H109" s="129">
        <f>'DATA SERTIFIKAT PS320'!B159</f>
        <v>9.9999999999999995E-7</v>
      </c>
      <c r="I109" s="148"/>
      <c r="J109" s="148"/>
    </row>
    <row r="110" spans="1:25">
      <c r="A110" s="1">
        <v>210</v>
      </c>
      <c r="B110" s="244" t="s">
        <v>171</v>
      </c>
      <c r="C110" s="4">
        <f t="shared" si="7"/>
        <v>9.9999999999999995E-7</v>
      </c>
      <c r="D110" s="6">
        <f t="shared" si="8"/>
        <v>0</v>
      </c>
      <c r="F110" s="127"/>
      <c r="G110" s="5">
        <v>210</v>
      </c>
      <c r="H110" s="129">
        <f>'DATA SERTIFIKAT PS320'!B160</f>
        <v>9.9999999999999995E-7</v>
      </c>
      <c r="I110" s="148"/>
      <c r="J110" s="148"/>
    </row>
    <row r="111" spans="1:25">
      <c r="A111" s="1">
        <v>240</v>
      </c>
      <c r="B111" s="244" t="s">
        <v>171</v>
      </c>
      <c r="C111" s="4">
        <f t="shared" si="7"/>
        <v>9.9999999999999995E-7</v>
      </c>
      <c r="D111" s="6">
        <f t="shared" si="8"/>
        <v>0</v>
      </c>
      <c r="F111" s="127"/>
      <c r="G111" s="5">
        <v>240</v>
      </c>
      <c r="H111" s="129">
        <f>'DATA SERTIFIKAT PS320'!B161</f>
        <v>9.9999999999999995E-7</v>
      </c>
    </row>
    <row r="113" spans="1:34" ht="16.2">
      <c r="A113" s="130" t="s">
        <v>172</v>
      </c>
      <c r="G113" s="131" t="s">
        <v>173</v>
      </c>
      <c r="H113" s="132"/>
      <c r="I113" s="132"/>
    </row>
    <row r="114" spans="1:34" ht="15.6">
      <c r="A114" s="945" t="s">
        <v>65</v>
      </c>
      <c r="B114" s="912" t="s">
        <v>94</v>
      </c>
      <c r="F114" s="132"/>
      <c r="H114" s="320"/>
      <c r="I114" s="320"/>
      <c r="J114" s="320"/>
      <c r="K114" s="320"/>
      <c r="L114" s="320"/>
      <c r="M114" s="946"/>
      <c r="N114" s="150"/>
    </row>
    <row r="115" spans="1:34">
      <c r="A115" s="945"/>
      <c r="B115" s="912"/>
      <c r="F115" s="22"/>
      <c r="G115" s="135" t="s">
        <v>65</v>
      </c>
      <c r="H115" s="1" t="s">
        <v>91</v>
      </c>
      <c r="I115" s="312"/>
      <c r="J115" s="311"/>
      <c r="K115" s="313"/>
      <c r="L115" s="311"/>
      <c r="M115" s="946"/>
      <c r="N115" s="150"/>
    </row>
    <row r="116" spans="1:34">
      <c r="A116" s="133">
        <f>ID!D83</f>
        <v>30</v>
      </c>
      <c r="B116" s="3">
        <f>'DATA SERTIFIKAT PS320'!E154</f>
        <v>1E-3</v>
      </c>
      <c r="F116" s="22"/>
      <c r="G116" s="135">
        <v>30</v>
      </c>
      <c r="H116" s="134">
        <f>AB128</f>
        <v>4.9999999999999998E-7</v>
      </c>
      <c r="I116" s="315"/>
      <c r="J116" s="314"/>
      <c r="K116" s="316"/>
      <c r="L116" s="314"/>
      <c r="M116" s="317"/>
      <c r="N116" s="150"/>
    </row>
    <row r="117" spans="1:34">
      <c r="A117" s="133">
        <f>ID!D84</f>
        <v>60</v>
      </c>
      <c r="B117" s="3">
        <f>'DATA SERTIFIKAT PS320'!E155</f>
        <v>1E-3</v>
      </c>
      <c r="F117" s="24"/>
      <c r="G117" s="135">
        <v>60</v>
      </c>
      <c r="H117" s="136">
        <f>C128</f>
        <v>9.9999999999999995E-7</v>
      </c>
      <c r="I117" s="318"/>
      <c r="J117" s="314"/>
      <c r="K117" s="316"/>
      <c r="L117" s="314"/>
      <c r="M117" s="319"/>
      <c r="N117" s="150"/>
    </row>
    <row r="118" spans="1:34">
      <c r="A118" s="133">
        <f>ID!D85</f>
        <v>90</v>
      </c>
      <c r="B118" s="3">
        <f>'DATA SERTIFIKAT PS320'!E156</f>
        <v>1E-3</v>
      </c>
      <c r="F118" s="22"/>
      <c r="G118" s="135">
        <v>90</v>
      </c>
      <c r="H118" s="136">
        <f>H128</f>
        <v>9.9999999999999995E-7</v>
      </c>
      <c r="I118" s="318"/>
      <c r="J118" s="314"/>
      <c r="K118" s="316"/>
      <c r="L118" s="314"/>
      <c r="M118" s="319"/>
      <c r="N118" s="150"/>
    </row>
    <row r="119" spans="1:34" ht="15.6">
      <c r="A119" s="133">
        <f>ID!D87</f>
        <v>150</v>
      </c>
      <c r="B119" s="3">
        <f>'DATA SERTIFIKAT PS320'!E157</f>
        <v>1E-3</v>
      </c>
      <c r="F119" s="132"/>
      <c r="G119" s="137">
        <v>120</v>
      </c>
      <c r="H119" s="138">
        <f>M128</f>
        <v>9.9999999999999995E-7</v>
      </c>
      <c r="I119" s="318"/>
      <c r="J119" s="314"/>
      <c r="K119" s="316"/>
      <c r="L119" s="314"/>
      <c r="M119" s="319"/>
      <c r="N119" s="150"/>
    </row>
    <row r="120" spans="1:34" ht="15.6">
      <c r="A120" s="133">
        <f>ID!D88</f>
        <v>180</v>
      </c>
      <c r="B120" s="3">
        <f>'DATA SERTIFIKAT PS320'!E158</f>
        <v>1E-3</v>
      </c>
      <c r="F120" s="132"/>
      <c r="G120" s="137">
        <v>150</v>
      </c>
      <c r="H120" s="138">
        <f>AG128</f>
        <v>9.9999999999999995E-7</v>
      </c>
      <c r="I120" s="318"/>
      <c r="J120" s="314"/>
      <c r="K120" s="316"/>
      <c r="L120" s="314"/>
      <c r="M120" s="319"/>
    </row>
    <row r="121" spans="1:34" ht="13.5" customHeight="1">
      <c r="A121" s="133">
        <f>ID!D89</f>
        <v>210</v>
      </c>
      <c r="B121" s="3">
        <f>'DATA SERTIFIKAT PS320'!E159</f>
        <v>1E-3</v>
      </c>
      <c r="F121" s="22"/>
      <c r="G121" s="135">
        <v>180</v>
      </c>
      <c r="H121" s="136">
        <f>R125</f>
        <v>9.9999999999999995E-7</v>
      </c>
      <c r="I121" s="314"/>
      <c r="J121" s="314"/>
      <c r="K121" s="316"/>
      <c r="L121" s="314"/>
      <c r="M121" s="31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</row>
    <row r="122" spans="1:34" ht="20.25" customHeight="1" thickBot="1">
      <c r="A122" s="133" t="e">
        <f>ID!D90</f>
        <v>#DIV/0!</v>
      </c>
      <c r="B122" s="3">
        <f>'DATA SERTIFIKAT PS320'!E160</f>
        <v>1E-3</v>
      </c>
      <c r="F122" s="22"/>
      <c r="G122" s="135">
        <v>210</v>
      </c>
      <c r="H122" s="136" t="e">
        <f>W125</f>
        <v>#DIV/0!</v>
      </c>
      <c r="I122" s="314"/>
      <c r="J122" s="314"/>
      <c r="K122" s="316"/>
      <c r="L122" s="314"/>
      <c r="M122" s="319"/>
      <c r="N122" s="140"/>
      <c r="O122" s="151"/>
      <c r="P122" s="941" t="s">
        <v>160</v>
      </c>
      <c r="Q122" s="941"/>
      <c r="R122" s="941"/>
      <c r="S122" s="941"/>
      <c r="T122" s="151"/>
      <c r="U122" s="941" t="s">
        <v>161</v>
      </c>
      <c r="V122" s="941"/>
      <c r="W122" s="941"/>
      <c r="X122" s="941"/>
      <c r="Y122" s="151"/>
    </row>
    <row r="123" spans="1:34" ht="15.6">
      <c r="D123" s="14"/>
      <c r="E123" s="14"/>
      <c r="F123" s="14"/>
      <c r="P123" s="942" t="s">
        <v>175</v>
      </c>
      <c r="Q123" s="943"/>
      <c r="R123" s="943"/>
      <c r="S123" s="944"/>
      <c r="U123" s="942" t="s">
        <v>175</v>
      </c>
      <c r="V123" s="943"/>
      <c r="W123" s="943"/>
      <c r="X123" s="944"/>
    </row>
    <row r="124" spans="1:34" ht="41.25" customHeight="1">
      <c r="A124" s="139" t="s">
        <v>174</v>
      </c>
      <c r="B124" s="139"/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P124" s="15"/>
      <c r="Q124" s="144">
        <f>IF(P125&lt;=$G$105,$G$103,IF(P125&lt;=$G$106,$G$105,IF(P125&lt;=$G$107,$G$106,IF(P125&lt;=$G$108,$G$107,IF(P125&lt;=$G$109,$G$108,IF(P125&lt;=$G$110,$G$109,IF(P125&lt;=$G$111,$G$110)))))))</f>
        <v>180</v>
      </c>
      <c r="R124" s="144"/>
      <c r="S124" s="145">
        <f>IF(P125&lt;=$G$105,$H$103,IF(P125&lt;=$G$106,$H$105,IF(P125&lt;=$G$107,$H$106,IF(P125&lt;=$G$108,$H$107,IF(P125&lt;=$G$109,$H$108,IF(P125&lt;=$G$110,$H$109,IF(P125&lt;=$G$111,$H$110)))))))</f>
        <v>9.9999999999999995E-7</v>
      </c>
      <c r="U124" s="15"/>
      <c r="V124" s="144" t="e">
        <f>IF(U125&lt;=$G$105,$G$103,IF(U125&lt;=$G$106,$G$105,IF(U125&lt;=$G$107,$G$106,IF(U125&lt;=$G$108,$G$107,IF(U125&lt;=$G$109,$G$108,IF(U125&lt;=$G$110,$G$109,IF(U125&lt;=$G$111,$G$110)))))))</f>
        <v>#DIV/0!</v>
      </c>
      <c r="W124" s="144"/>
      <c r="X124" s="145" t="e">
        <f>IF(U125&lt;=$G$105,$H$103,IF(U125&lt;=$G$106,$H$105,IF(U125&lt;=$G$107,$H$106,IF(U125&lt;=$G$108,$H$107,IF(U125&lt;=$G$109,$H$108,IF(U125&lt;=$G$110,$H$109,IF(U125&lt;=$G$111,$H$110)))))))</f>
        <v>#DIV/0!</v>
      </c>
      <c r="Z124" s="139"/>
      <c r="AA124" s="139"/>
      <c r="AB124" s="139"/>
      <c r="AC124" s="139"/>
      <c r="AD124" s="151"/>
      <c r="AE124" s="151"/>
      <c r="AF124" s="151"/>
      <c r="AG124" s="151"/>
      <c r="AH124" s="151"/>
    </row>
    <row r="125" spans="1:34" ht="21" customHeight="1" thickBot="1">
      <c r="A125" s="941" t="s">
        <v>153</v>
      </c>
      <c r="B125" s="941"/>
      <c r="C125" s="941"/>
      <c r="D125" s="941"/>
      <c r="E125" s="139"/>
      <c r="F125" s="941" t="s">
        <v>157</v>
      </c>
      <c r="G125" s="941"/>
      <c r="H125" s="941"/>
      <c r="I125" s="941"/>
      <c r="J125" s="139"/>
      <c r="K125" s="140" t="s">
        <v>158</v>
      </c>
      <c r="L125" s="140"/>
      <c r="M125" s="140"/>
      <c r="P125" s="17">
        <f>A121</f>
        <v>210</v>
      </c>
      <c r="Q125" s="144"/>
      <c r="R125" s="146">
        <f>((P125-Q124)/(Q126-Q124)*(S126-S124)+S124)</f>
        <v>9.9999999999999995E-7</v>
      </c>
      <c r="S125" s="145"/>
      <c r="U125" s="17" t="e">
        <f>A122</f>
        <v>#DIV/0!</v>
      </c>
      <c r="V125" s="144"/>
      <c r="W125" s="146" t="e">
        <f>((U125-V124)/(V126-V124)*(X126-X124)+X124)</f>
        <v>#DIV/0!</v>
      </c>
      <c r="X125" s="145"/>
      <c r="Z125" s="941" t="s">
        <v>111</v>
      </c>
      <c r="AA125" s="941"/>
      <c r="AB125" s="941"/>
      <c r="AC125" s="941"/>
      <c r="AD125" s="151"/>
      <c r="AE125" s="941">
        <v>150</v>
      </c>
      <c r="AF125" s="941"/>
      <c r="AG125" s="941"/>
      <c r="AH125" s="941"/>
    </row>
    <row r="126" spans="1:34" ht="16.2" thickBot="1">
      <c r="A126" s="942" t="s">
        <v>175</v>
      </c>
      <c r="B126" s="943"/>
      <c r="C126" s="943"/>
      <c r="D126" s="944"/>
      <c r="F126" s="942" t="s">
        <v>175</v>
      </c>
      <c r="G126" s="943"/>
      <c r="H126" s="943"/>
      <c r="I126" s="944"/>
      <c r="J126" s="152"/>
      <c r="K126" s="141" t="s">
        <v>175</v>
      </c>
      <c r="L126" s="142"/>
      <c r="M126" s="142"/>
      <c r="N126" s="143"/>
      <c r="P126" s="153"/>
      <c r="Q126" s="154">
        <f>IF(P125&lt;=$G$105,$G$105,IF(P125&lt;=$G$106,$G$106,IF(P125&lt;=$G$107,$G$107,IF(P125&lt;=$G$108,$G$108,IF(P125&lt;=$G$109,$G$109,IF(P125&lt;=$G$110,$G$110,IF(P125&lt;=$G$111,$G$111)))))))</f>
        <v>210</v>
      </c>
      <c r="R126" s="154"/>
      <c r="S126" s="155">
        <f>IF(P125&lt;=$G$105,$H$105,IF(P125&lt;=$G$106,$H$106,IF(P125&lt;=$G$107,$H$107,IF(P125&lt;=$G$108,$H$108,IF(P125&lt;=$G$109,$H$109,IF(P125&lt;=$G$110,$H$110,IF(P125&lt;=$G$111,$H$111)))))))</f>
        <v>9.9999999999999995E-7</v>
      </c>
      <c r="U126" s="153"/>
      <c r="V126" s="154" t="e">
        <f>IF(U125&lt;=$G$105,$G$105,IF(U125&lt;=$G$106,$G$106,IF(U125&lt;=$G$107,$G$107,IF(U125&lt;=$G$108,$G$108,IF(U125&lt;=$G$109,$G$109,IF(U125&lt;=$G$110,$G$110,IF(U125&lt;=$G$111,$G$111)))))))</f>
        <v>#DIV/0!</v>
      </c>
      <c r="W126" s="154"/>
      <c r="X126" s="155" t="e">
        <f>IF(U125&lt;=$G$105,$H$105,IF(U125&lt;=$G$106,$H$106,IF(U125&lt;=$G$107,$H$107,IF(U125&lt;=$G$108,$H$108,IF(U125&lt;=$G$109,$H$109,IF(U125&lt;=$G$110,$H$110,IF(U125&lt;=$G$111,$H$111)))))))</f>
        <v>#DIV/0!</v>
      </c>
      <c r="Z126" s="942" t="s">
        <v>175</v>
      </c>
      <c r="AA126" s="943"/>
      <c r="AB126" s="943"/>
      <c r="AC126" s="944"/>
      <c r="AE126" s="942" t="s">
        <v>175</v>
      </c>
      <c r="AF126" s="943"/>
      <c r="AG126" s="943"/>
      <c r="AH126" s="944"/>
    </row>
    <row r="127" spans="1:34" ht="13.8" thickBot="1">
      <c r="A127" s="15"/>
      <c r="B127" s="144">
        <f>IF(A128&lt;=$G$105,$G$103,IF(A128&lt;=$G$106,$G$105,IF(A128&lt;=$G$107,$G$106,IF(A128&lt;=$G$108,$G$107,IF(A128&lt;=$G$109,$G$108,IF(A128&lt;=$G$110,$G$109,IF(A128&lt;=$G$111,$G$110)))))))</f>
        <v>0</v>
      </c>
      <c r="C127" s="144"/>
      <c r="D127" s="145">
        <f>IF(A128&lt;=$G$105,$H$103,IF(A128&lt;=$G$106,$H$105,IF(A128&lt;=$G$107,$H$106,IF(A128&lt;=$G$108,$H$107,IF(A128&lt;=$G$109,$H$108,IF(A128&lt;=$G$110,$H$109,IF(A128&lt;=$G$111,$H$110)))))))</f>
        <v>0</v>
      </c>
      <c r="F127" s="15"/>
      <c r="G127" s="144">
        <f>IF(F128&lt;=$G$105,$G$104,IF(F128&lt;=$G$106,$G$105,IF(F128&lt;=$G$107,$G$106,IF(F128&lt;=$G$108,$G$107,IF(F128&lt;=$G$109,$G$108,IF(F128&lt;=$G$110,$G$109,IF(F128&lt;=$G$111,$G$110)))))))</f>
        <v>60</v>
      </c>
      <c r="H127" s="144"/>
      <c r="I127" s="145">
        <f>IF(F128&lt;=$G$105,$H$103,IF(F128&lt;=$G$106,$H$105,IF(F128&lt;=$G$107,$H$106,IF(F128&lt;=$G$108,$H$107,IF(F128&lt;=$G$109,$H$108,IF(F128&lt;=$G$110,$H$109,IF(F128&lt;=$G$111,$H$110)))))))</f>
        <v>9.9999999999999995E-7</v>
      </c>
      <c r="J127" s="21"/>
      <c r="K127" s="15"/>
      <c r="L127" s="144">
        <f>IF(K128&lt;=$G$105,$G$103,IF(K128&lt;=$G$106,$G$105,IF(K128&lt;=$G$107,$G$106,IF(K128&lt;=$G$108,$G$107,IF(K128&lt;=$G$109,$G$108,IF(K128&lt;=$G$110,$G$109,IF(K128&lt;=$G$111,$G$110)))))))</f>
        <v>120</v>
      </c>
      <c r="M127" s="144"/>
      <c r="N127" s="145">
        <f>IF(K128&lt;=$G$105,$H$103,IF(K128&lt;=$G$106,$H$105,IF(K128&lt;=$G$107,$H$106,IF(K128&lt;=$G$108,$H$107,IF(K128&lt;=$G$109,$H$108,IF(K128&lt;=$G$110,$H$109,IF(K128&lt;=$G$111,$H$110)))))))</f>
        <v>9.9999999999999995E-7</v>
      </c>
      <c r="P127" s="21"/>
      <c r="Q127" s="156"/>
      <c r="R127" s="156"/>
      <c r="S127" s="157"/>
      <c r="U127" s="21"/>
      <c r="V127" s="156"/>
      <c r="W127" s="156"/>
      <c r="X127" s="157"/>
      <c r="Z127" s="15"/>
      <c r="AA127" s="144">
        <f>IF(Z128&lt;=$G$105,$G$103,IF(Z128&lt;=$G$106,$G$105,IF(Z128&lt;=$G$107,$G$106,IF(Z128&lt;=$G$108,$G$107,IF(Z128&lt;=$G$109,$G$108,IF(Z128&lt;=$G$110,$G$109,IF(Z128&lt;=$G$111,$G$110)))))))</f>
        <v>0</v>
      </c>
      <c r="AB127" s="144"/>
      <c r="AC127" s="145">
        <f>IF(Z128&lt;=$G$105,$H$103,IF(Z128&lt;=$G$106,$H$105,IF(Z128&lt;=$G$107,$H$106,IF(Z128&lt;=$G$108,$H$107,IF(Z128&lt;=$G$109,$H$108,IF(Z128&lt;=$G$110,$H$109,IF(Z128&lt;=$G$111,$H$110)))))))</f>
        <v>0</v>
      </c>
      <c r="AE127" s="15"/>
      <c r="AF127" s="144">
        <f>IF(AE128&lt;=$G$105,$G$103,IF(AE128&lt;=$G$106,$G$105,IF(AE128&lt;=$G$107,$G$106,IF(AE128&lt;=$G$108,$G$107,IF(AE128&lt;=$G$109,$G$108,IF(AE128&lt;=$G$110,$G$109,IF(AE128&lt;=$G$111,$G$110)))))))</f>
        <v>150</v>
      </c>
      <c r="AG127" s="144"/>
      <c r="AH127" s="145">
        <f>IF(AE128&lt;=$G$105,$H$103,IF(AE128&lt;=$G$106,$H$105,IF(AE128&lt;=$G$107,$H$106,IF(AE128&lt;=$G$108,$H$107,IF(AE128&lt;=$G$109,$H$108,IF(AE128&lt;=$G$110,$H$109,IF(AE128&lt;=$G$111,$H$110)))))))</f>
        <v>9.9999999999999995E-7</v>
      </c>
    </row>
    <row r="128" spans="1:34" ht="15.6">
      <c r="A128" s="17">
        <f>A117</f>
        <v>60</v>
      </c>
      <c r="B128" s="144"/>
      <c r="C128" s="146">
        <f>((A128-B127)/(B129-B127)*(D129-D127)+D127)</f>
        <v>9.9999999999999995E-7</v>
      </c>
      <c r="D128" s="145"/>
      <c r="F128" s="17">
        <f>A118</f>
        <v>90</v>
      </c>
      <c r="G128" s="144"/>
      <c r="H128" s="146">
        <f>((F128-G127)/(G129-G127)*(I129-I127)+I127)</f>
        <v>9.9999999999999995E-7</v>
      </c>
      <c r="I128" s="145"/>
      <c r="J128" s="21"/>
      <c r="K128" s="17">
        <f>A119</f>
        <v>150</v>
      </c>
      <c r="L128" s="144"/>
      <c r="M128" s="146">
        <f>((K128-L127)/(L129-L127)*(N129-N127)+N127)</f>
        <v>9.9999999999999995E-7</v>
      </c>
      <c r="N128" s="145"/>
      <c r="P128" s="942" t="s">
        <v>176</v>
      </c>
      <c r="Q128" s="943"/>
      <c r="R128" s="943"/>
      <c r="S128" s="944"/>
      <c r="U128" s="942" t="s">
        <v>176</v>
      </c>
      <c r="V128" s="943"/>
      <c r="W128" s="943"/>
      <c r="X128" s="944"/>
      <c r="Z128" s="17">
        <f>A116</f>
        <v>30</v>
      </c>
      <c r="AA128" s="144"/>
      <c r="AB128" s="146">
        <f>((Z128-AA127)/(AA129-AA127)*(AC129-AC127)+AC127)</f>
        <v>4.9999999999999998E-7</v>
      </c>
      <c r="AC128" s="145"/>
      <c r="AE128" s="17">
        <f>A120</f>
        <v>180</v>
      </c>
      <c r="AF128" s="144"/>
      <c r="AG128" s="146">
        <f>((AE128-AF127)/(AF129-AF127)*(AH129-AH127)+AH127)</f>
        <v>9.9999999999999995E-7</v>
      </c>
      <c r="AH128" s="145"/>
    </row>
    <row r="129" spans="1:34" ht="13.8" thickBot="1">
      <c r="A129" s="153"/>
      <c r="B129" s="154">
        <f>IF(A128&lt;=$G$105,$G$105,IF(A128&lt;=$G$106,$G$106,IF(A128&lt;=$G$107,$G$107,IF(A128&lt;=$G$108,$G$108,IF(A128&lt;=$G$109,$G$109,IF(A128&lt;=$G$110,$G$110,IF(A128&lt;=$G$111,$G$111)))))))</f>
        <v>60</v>
      </c>
      <c r="C129" s="154"/>
      <c r="D129" s="155">
        <f>IF(A128&lt;=$G$105,$H$105,IF(A128&lt;=$G$106,$H$106,IF(A128&lt;=$G$107,$H$107,IF(A128&lt;=$G$108,$H$108,IF(A128&lt;=$G$109,$H$109,IF(A128&lt;=$G$110,$H$110,IF(A128&lt;=$G$111,$H$111)))))))</f>
        <v>9.9999999999999995E-7</v>
      </c>
      <c r="F129" s="153"/>
      <c r="G129" s="154">
        <f>IF(F128&lt;=$G$105,$G$105,IF(F128&lt;=$G$106,$G$106,IF(F128&lt;=$G$107,$G$107,IF(F128&lt;=$G$108,$G$108,IF(F128&lt;=$G$109,$G$109,IF(F128&lt;=$G$110,$G$110,IF(F128&lt;=$G$111,$G$111)))))))</f>
        <v>90</v>
      </c>
      <c r="H129" s="154"/>
      <c r="I129" s="155">
        <f>IF(F128&lt;=$G$105,$H$105,IF(F128&lt;=$G$106,$H$106,IF(F128&lt;=$G$107,$H$107,IF(F128&lt;=$G$108,$H$108,IF(F128&lt;=$G$109,$H$109,IF(F128&lt;=$G$110,$H$110,IF(F128&lt;=$G$111,$H$111)))))))</f>
        <v>9.9999999999999995E-7</v>
      </c>
      <c r="J129" s="21"/>
      <c r="K129" s="153"/>
      <c r="L129" s="154">
        <f>IF(K128&lt;=$G$105,$G$105,IF(K128&lt;=$G$106,$G$106,IF(K128&lt;=$G$107,$G$107,IF(K128&lt;=$G$108,$G$108,IF(K128&lt;=$G$109,$G$109,IF(K128&lt;=$G$110,$G$110,IF(K128&lt;=$G$111,$G$111)))))))</f>
        <v>150</v>
      </c>
      <c r="M129" s="154"/>
      <c r="N129" s="155">
        <f>IF(K128&lt;=$G$105,$H$105,IF(K128&lt;=$G$106,$H$106,IF(K128&lt;=$G$107,$H$107,IF(K128&lt;=$G$108,$H$108,IF(K128&lt;=$G$109,$H$109,IF(K128&lt;=$G$110,$H$110,IF(K128&lt;=$G$111,$H$111)))))))</f>
        <v>9.9999999999999995E-7</v>
      </c>
      <c r="P129" s="15"/>
      <c r="Q129" s="144">
        <f>IF(P130&lt;=$G$105,$G$103,IF(P130&lt;=$G$106,$G$105,IF(P130&lt;=$G$107,$G$106,IF(P130&lt;=$G$108,$G$107,IF(P130&lt;=$G$109,$G$108,IF(P130&lt;=$G$110,$G$109,IF(P130&lt;=$G$111,$G$110)))))))</f>
        <v>150</v>
      </c>
      <c r="R129" s="144"/>
      <c r="S129" s="145">
        <f>IF(P130&lt;=$G$105,$H$103,IF(P130&lt;=$G$106,$H$105,IF(P130&lt;=$G$107,$H$106,IF(P130&lt;=$G$108,$H$107,IF(P130&lt;=$G$109,$H$108,IF(P130&lt;=$G$110,$H$109,IF(P130&lt;=$G$111,$H$110)))))))</f>
        <v>9.9999999999999995E-7</v>
      </c>
      <c r="U129" s="15"/>
      <c r="V129" s="144">
        <f>IF(U130&lt;=$G$105,$G$103,IF(U130&lt;=$G$106,$G$105,IF(U130&lt;=$G$107,$G$106,IF(U130&lt;=$G$108,$G$107,IF(U130&lt;=$G$109,$G$108,IF(U130&lt;=$G$110,$G$109,IF(U130&lt;=$G$111,$G$110)))))))</f>
        <v>180</v>
      </c>
      <c r="W129" s="144"/>
      <c r="X129" s="145">
        <f>IF(U130&lt;=$G$105,$H$103,IF(U130&lt;=$G$106,$H$105,IF(U130&lt;=$G$107,$H$106,IF(U130&lt;=$G$108,$H$107,IF(U130&lt;=$G$109,$H$108,IF(U130&lt;=$G$110,$H$109,IF(U130&lt;=$G$111,$H$110)))))))</f>
        <v>9.9999999999999995E-7</v>
      </c>
      <c r="Z129" s="153"/>
      <c r="AA129" s="154">
        <f>IF(Z128&lt;=$G$105,$G$105,IF(Z128&lt;=$G$106,$G$106,IF(Z128&lt;=$G$107,$G$107,IF(Z128&lt;=$G$108,$G$108,IF(Z128&lt;=$G$109,$G$109,IF(Z128&lt;=$G$110,$G$110,IF(Z128&lt;=$G$111,$G$111)))))))</f>
        <v>60</v>
      </c>
      <c r="AB129" s="154"/>
      <c r="AC129" s="155">
        <f>IF(Z128&lt;=$G$105,$H$105,IF(Z128&lt;=$G$106,$H$106,IF(Z128&lt;=$G$107,$H$107,IF(Z128&lt;=$G$108,$H$108,IF(Z128&lt;=$G$109,$H$109,IF(Z128&lt;=$G$110,$H$110,IF(Z128&lt;=$G$111,$H$111)))))))</f>
        <v>9.9999999999999995E-7</v>
      </c>
      <c r="AE129" s="153"/>
      <c r="AF129" s="154">
        <f>IF(AE128&lt;=$G$105,$G$105,IF(AE128&lt;=$G$106,$G$106,IF(AE128&lt;=$G$107,$G$107,IF(AE128&lt;=$G$108,$G$108,IF(AE128&lt;=$G$109,$G$109,IF(AE128&lt;=$G$110,$G$110,IF(AE128&lt;=$G$111,$G$111)))))))</f>
        <v>180</v>
      </c>
      <c r="AG129" s="154"/>
      <c r="AH129" s="155">
        <f>IF(AE128&lt;=$G$105,$H$105,IF(AE128&lt;=$G$106,$H$106,IF(AE128&lt;=$G$107,$H$107,IF(AE128&lt;=$G$108,$H$108,IF(AE128&lt;=$G$109,$H$109,IF(AE128&lt;=$G$110,$H$110,IF(AE128&lt;=$G$111,$H$111)))))))</f>
        <v>9.9999999999999995E-7</v>
      </c>
    </row>
    <row r="130" spans="1:34" ht="16.2" thickBot="1">
      <c r="A130" s="21"/>
      <c r="B130" s="156"/>
      <c r="C130" s="156"/>
      <c r="D130" s="157"/>
      <c r="F130" s="21"/>
      <c r="G130" s="156"/>
      <c r="H130" s="156"/>
      <c r="I130" s="157"/>
      <c r="J130" s="152"/>
      <c r="K130" s="21"/>
      <c r="L130" s="156"/>
      <c r="M130" s="156"/>
      <c r="N130" s="157"/>
      <c r="P130" s="17">
        <f>ID!F39</f>
        <v>180</v>
      </c>
      <c r="Q130" s="144"/>
      <c r="R130" s="146">
        <f>((P130-Q129)/(Q131-Q129)*(S131-S129)+S129)</f>
        <v>9.9999999999999995E-7</v>
      </c>
      <c r="S130" s="145"/>
      <c r="U130" s="17">
        <f>ID!F40</f>
        <v>210</v>
      </c>
      <c r="V130" s="144"/>
      <c r="W130" s="146">
        <f>((U130-V129)/(V131-V129)*(X131-X129)+X129)</f>
        <v>9.9999999999999995E-7</v>
      </c>
      <c r="X130" s="145"/>
      <c r="Z130" s="21"/>
      <c r="AA130" s="156"/>
      <c r="AB130" s="156"/>
      <c r="AC130" s="157"/>
      <c r="AE130" s="21"/>
      <c r="AF130" s="156"/>
      <c r="AG130" s="156"/>
      <c r="AH130" s="157"/>
    </row>
    <row r="131" spans="1:34" ht="16.2" thickBot="1">
      <c r="A131" s="942" t="s">
        <v>176</v>
      </c>
      <c r="B131" s="943"/>
      <c r="C131" s="943"/>
      <c r="D131" s="944"/>
      <c r="F131" s="942" t="s">
        <v>176</v>
      </c>
      <c r="G131" s="943"/>
      <c r="H131" s="943"/>
      <c r="I131" s="944"/>
      <c r="J131" s="21"/>
      <c r="K131" s="141" t="s">
        <v>176</v>
      </c>
      <c r="L131" s="142"/>
      <c r="M131" s="142"/>
      <c r="N131" s="143"/>
      <c r="P131" s="153"/>
      <c r="Q131" s="154">
        <f>IF(P130&lt;=$G$105,$G$105,IF(P130&lt;=$G$106,$G$106,IF(P130&lt;=$G$107,$G$107,IF(P130&lt;=$G$108,$G$108,IF(P130&lt;=$G$109,$G$109,IF(P130&lt;=$G$110,$G$110,IF(P130&lt;=$G$111,$G$111)))))))</f>
        <v>180</v>
      </c>
      <c r="R131" s="154"/>
      <c r="S131" s="155">
        <f>IF(P130&lt;=$G$105,$H$105,IF(P130&lt;=$G$106,$H$106,IF(P130&lt;=$G$107,$H$107,IF(P130&lt;=$G$108,$H$108,IF(P130&lt;=$G$109,$H$109,IF(P130&lt;=$G$110,$H$110,IF(P130&lt;=$G$111,$H$111)))))))</f>
        <v>9.9999999999999995E-7</v>
      </c>
      <c r="U131" s="153"/>
      <c r="V131" s="154">
        <f>IF(U130&lt;=$G$105,$G$105,IF(U130&lt;=$G$106,$G$106,IF(U130&lt;=$G$107,$G$107,IF(U130&lt;=$G$108,$G$108,IF(U130&lt;=$G$109,$G$109,IF(U130&lt;=$G$110,$G$110,IF(U130&lt;=$G$111,$G$111)))))))</f>
        <v>210</v>
      </c>
      <c r="W131" s="154"/>
      <c r="X131" s="155">
        <f>IF(U130&lt;=$G$105,$H$105,IF(U130&lt;=$G$106,$H$106,IF(U130&lt;=$G$107,$H$107,IF(U130&lt;=$G$108,$H$108,IF(U130&lt;=$G$109,$H$109,IF(U130&lt;=$G$110,$H$110,IF(U130&lt;=$G$111,$H$111)))))))</f>
        <v>9.9999999999999995E-7</v>
      </c>
      <c r="Z131" s="942" t="s">
        <v>176</v>
      </c>
      <c r="AA131" s="943"/>
      <c r="AB131" s="943"/>
      <c r="AC131" s="944"/>
      <c r="AE131" s="942" t="s">
        <v>176</v>
      </c>
      <c r="AF131" s="943"/>
      <c r="AG131" s="943"/>
      <c r="AH131" s="944"/>
    </row>
    <row r="132" spans="1:34" ht="13.8" thickBot="1">
      <c r="A132" s="15"/>
      <c r="B132" s="144">
        <f>IF(A133&lt;=$G$105,$G$103,IF(A133&lt;=$G$106,$G$105,IF(A133&lt;=$G$107,$G$106,IF(A133&lt;=$G$108,$G$107,IF(A133&lt;=$G$109,$G$108,IF(A133&lt;=$G$110,$G$109,IF(A133&lt;=$G$111,$G$110)))))))</f>
        <v>0</v>
      </c>
      <c r="C132" s="144"/>
      <c r="D132" s="145">
        <f>IF(A133&lt;=$G$105,$H$103,IF(A133&lt;=$G$106,$H$105,IF(A133&lt;=$G$107,$H$106,IF(A133&lt;=$G$108,$H$107,IF(A133&lt;=$G$109,$H$108,IF(A133&lt;=$G$110,$H$109,IF(A133&lt;=$G$111,$H$110)))))))</f>
        <v>0</v>
      </c>
      <c r="E132" s="23"/>
      <c r="F132" s="15"/>
      <c r="G132" s="144">
        <f>IF(F133&lt;=$G$105,$G$103,IF(F133&lt;=$G$106,$G$105,IF(F133&lt;=$G$107,$G$106,IF(F133&lt;=$G$108,$G$107,IF(F133&lt;=$G$109,$G$108,IF(F133&lt;=$G$110,$G$109,IF(F133&lt;=$G$111,$G$110)))))))</f>
        <v>60</v>
      </c>
      <c r="H132" s="144"/>
      <c r="I132" s="145">
        <f>IF(F133&lt;=$G$105,$H$103,IF(F133&lt;=$G$106,$H$105,IF(F133&lt;=$G$107,$H$106,IF(F133&lt;=$G$108,$H$107,IF(F133&lt;=$G$109,$H$108,IF(F133&lt;=$G$110,$H$109,IF(F133&lt;=$G$111,$H$110)))))))</f>
        <v>9.9999999999999995E-7</v>
      </c>
      <c r="J132" s="21"/>
      <c r="K132" s="15"/>
      <c r="L132" s="144">
        <f>IF(K133&lt;=$G$105,$G$103,IF(K133&lt;=$G$106,$G$105,IF(K133&lt;=$G$107,$G$106,IF(K133&lt;=$G$108,$G$107,IF(K133&lt;=$G$109,$G$108,IF(K133&lt;=$G$110,$G$109,IF(K133&lt;=$G$111,$G$110)))))))</f>
        <v>120</v>
      </c>
      <c r="M132" s="144"/>
      <c r="N132" s="145">
        <f>IF(K133&lt;=$G$105,$H$103,IF(K133&lt;=$G$106,$H$105,IF(K133&lt;=$G$107,$H$106,IF(K133&lt;=$G$108,$H$107,IF(K133&lt;=$G$109,$H$108,IF(K133&lt;=$G$110,$H$109,IF(K133&lt;=$G$111,$H$110)))))))</f>
        <v>9.9999999999999995E-7</v>
      </c>
      <c r="P132" s="21"/>
      <c r="Q132" s="21"/>
      <c r="R132" s="21"/>
      <c r="S132" s="21"/>
      <c r="U132" s="21"/>
      <c r="V132" s="21"/>
      <c r="W132" s="21"/>
      <c r="X132" s="21"/>
      <c r="Z132" s="15"/>
      <c r="AA132" s="144">
        <f>IF(Z133&lt;=$G$105,$G$103,IF(Z133&lt;=$G$106,$G$105,IF(Z133&lt;=$G$107,$G$106,IF(Z133&lt;=$G$108,$G$107,IF(Z133&lt;=$G$109,$G$108,IF(Z133&lt;=$G$110,$G$109,IF(Z133&lt;=$G$111,$G$110)))))))</f>
        <v>0</v>
      </c>
      <c r="AB132" s="144"/>
      <c r="AC132" s="145">
        <f>IF(Z133&lt;=$G$105,$H$103,IF(Z133&lt;=$G$106,$H$105,IF(Z133&lt;=$G$107,$H$106,IF(Z133&lt;=$G$108,$H$107,IF(Z133&lt;=$G$109,$H$108,IF(Z133&lt;=$G$110,$H$109,IF(Z133&lt;=$G$111,$H$110)))))))</f>
        <v>0</v>
      </c>
      <c r="AE132" s="15"/>
      <c r="AF132" s="144">
        <f>IF(AE133&lt;=$G$105,$G$103,IF(AE133&lt;=$G$106,$G$105,IF(AE133&lt;=$G$107,$G$106,IF(AE133&lt;=$G$108,$G$107,IF(AE133&lt;=$G$109,$G$108,IF(AE133&lt;=$G$110,$G$109,IF(AE133&lt;=$G$111,$G$110)))))))</f>
        <v>90</v>
      </c>
      <c r="AG132" s="144"/>
      <c r="AH132" s="145">
        <f>IF(AE133&lt;=$G$105,$H$103,IF(AE133&lt;=$G$106,$H$105,IF(AE133&lt;=$G$107,$H$106,IF(AE133&lt;=$G$108,$H$107,IF(AE133&lt;=$G$109,$H$108,IF(AE133&lt;=$G$110,$H$109,IF(AE133&lt;=$G$111,$H$110)))))))</f>
        <v>9.9999999999999995E-7</v>
      </c>
    </row>
    <row r="133" spans="1:34" ht="15.6">
      <c r="A133" s="17">
        <f>ID!F35</f>
        <v>60</v>
      </c>
      <c r="B133" s="144"/>
      <c r="C133" s="146">
        <f>((A133-B132)/(B134-B132)*(D134-D132)+D132)</f>
        <v>9.9999999999999995E-7</v>
      </c>
      <c r="D133" s="145"/>
      <c r="E133" s="21"/>
      <c r="F133" s="17">
        <f>ID!F36</f>
        <v>90</v>
      </c>
      <c r="G133" s="144"/>
      <c r="H133" s="146">
        <f>((F133-G132)/(G134-G132)*(I134-I132)+I132)</f>
        <v>9.9999999999999995E-7</v>
      </c>
      <c r="I133" s="145"/>
      <c r="J133" s="21"/>
      <c r="K133" s="17">
        <f>ID!F38</f>
        <v>150</v>
      </c>
      <c r="L133" s="144"/>
      <c r="M133" s="146">
        <f>((K133-L132)/(L134-L132)*(N134-N132)+N132)</f>
        <v>9.9999999999999995E-7</v>
      </c>
      <c r="N133" s="145"/>
      <c r="P133" s="942" t="s">
        <v>177</v>
      </c>
      <c r="Q133" s="943"/>
      <c r="R133" s="943"/>
      <c r="S133" s="944"/>
      <c r="U133" s="942" t="s">
        <v>177</v>
      </c>
      <c r="V133" s="943"/>
      <c r="W133" s="943"/>
      <c r="X133" s="944"/>
      <c r="Z133" s="17">
        <f>ID!F34</f>
        <v>30</v>
      </c>
      <c r="AA133" s="144"/>
      <c r="AB133" s="146">
        <f>((Z133-AA132)/(AA134-AA132)*(AC134-AC132)+AC132)</f>
        <v>4.9999999999999998E-7</v>
      </c>
      <c r="AC133" s="145"/>
      <c r="AE133" s="17">
        <f>ID!F37</f>
        <v>120</v>
      </c>
      <c r="AF133" s="144"/>
      <c r="AG133" s="146">
        <f>((AE133-AF132)/(AF134-AF132)*(AH134-AH132)+AH132)</f>
        <v>9.9999999999999995E-7</v>
      </c>
      <c r="AH133" s="145"/>
    </row>
    <row r="134" spans="1:34" ht="13.8" thickBot="1">
      <c r="A134" s="153"/>
      <c r="B134" s="154">
        <f>IF(A133&lt;=$G$105,$G$105,IF(A133&lt;=$G$106,$G$106,IF(A133&lt;=$G$107,$G$107,IF(A133&lt;=$G$108,$G$108,IF(A133&lt;=$G$109,$G$109,IF(A133&lt;=$G$110,$G$110,IF(A133&lt;=$G$111,$G$111)))))))</f>
        <v>60</v>
      </c>
      <c r="C134" s="154"/>
      <c r="D134" s="155">
        <f>IF(A133&lt;=$G$105,$H$105,IF(A133&lt;=$G$106,$H$106,IF(A133&lt;=$G$107,$H$107,IF(A133&lt;=$G$108,$H$108,IF(A133&lt;=$G$109,$H$109,IF(A133&lt;=$G$110,$H$110,IF(A133&lt;=$G$111,$H$111)))))))</f>
        <v>9.9999999999999995E-7</v>
      </c>
      <c r="E134" s="14"/>
      <c r="F134" s="153"/>
      <c r="G134" s="154">
        <f>IF(F133&lt;=$G$105,$G$105,IF(F133&lt;=$G$106,$G$106,IF(F133&lt;=$G$107,$G$107,IF(F133&lt;=$G$108,$G$108,IF(F133&lt;=$G$109,$G$109,IF(F133&lt;=$G$110,$G$110,IF(F133&lt;=$G$111,$G$111)))))))</f>
        <v>90</v>
      </c>
      <c r="H134" s="154"/>
      <c r="I134" s="155">
        <f>IF(F133&lt;=$G$105,$H$105,IF(F133&lt;=$G$106,$H$106,IF(F133&lt;=$G$107,$H$107,IF(F133&lt;=$G$108,$H$108,IF(F133&lt;=$G$109,$H$109,IF(F133&lt;=$G$110,$H$110,IF(F133&lt;=$G$111,$H$111)))))))</f>
        <v>9.9999999999999995E-7</v>
      </c>
      <c r="J134" s="14"/>
      <c r="K134" s="153"/>
      <c r="L134" s="154">
        <f>IF(K133&lt;=$G$105,$G$105,IF(K133&lt;=$G$106,$G$106,IF(K133&lt;=$G$107,$G$107,IF(K133&lt;=$G$108,$G$108,IF(K133&lt;=$G$109,$G$109,IF(K133&lt;=$G$110,$G$110,IF(K133&lt;=$G$111,$G$111)))))))</f>
        <v>150</v>
      </c>
      <c r="M134" s="154"/>
      <c r="N134" s="155">
        <f>IF(K133&lt;=$G$105,$H$105,IF(K133&lt;=$G$106,$H$106,IF(K133&lt;=$G$107,$H$107,IF(K133&lt;=$G$108,$H$108,IF(K133&lt;=$G$109,$H$109,IF(K133&lt;=$G$110,$H$110,IF(K133&lt;=$G$111,$H$111)))))))</f>
        <v>9.9999999999999995E-7</v>
      </c>
      <c r="P134" s="15"/>
      <c r="Q134" s="144">
        <f>IF(P135&lt;=$G$105,$G$103,IF(P135&lt;=$G$106,$G$105,IF(P135&lt;=$G$107,$G$106,IF(P135&lt;=$G$108,$G$107,IF(P135&lt;=$G$109,$G$108,IF(P135&lt;=$G$110,$G$109,IF(P135&lt;=$G$111,$G$110)))))))</f>
        <v>150</v>
      </c>
      <c r="R134" s="144"/>
      <c r="S134" s="145">
        <f>IF(P135&lt;=$G$105,$H$103,IF(P135&lt;=$G$106,$H$105,IF(P135&lt;=$G$107,$H$106,IF(P135&lt;=$G$108,$H$107,IF(P135&lt;=$G$109,$H$108,IF(P135&lt;=$G$110,$H$109,IF(P135&lt;=$G$111,$H$110)))))))</f>
        <v>9.9999999999999995E-7</v>
      </c>
      <c r="U134" s="15"/>
      <c r="V134" s="144">
        <f>IF(U135&lt;=$G$105,$G$103,IF(U135&lt;=$G$106,$G$105,IF(U135&lt;=$G$107,$G$106,IF(U135&lt;=$G$108,$G$107,IF(U135&lt;=$G$109,$G$108,IF(U135&lt;=$G$110,$G$109,IF(U135&lt;=$G$111,$G$110)))))))</f>
        <v>180</v>
      </c>
      <c r="W134" s="144"/>
      <c r="X134" s="145">
        <f>IF(U135&lt;=$G$105,$H$103,IF(U135&lt;=$G$106,$H$105,IF(U135&lt;=$G$107,$H$106,IF(U135&lt;=$G$108,$H$107,IF(U135&lt;=$G$109,$H$108,IF(U135&lt;=$G$110,$H$109,IF(U135&lt;=$G$111,$H$110)))))))</f>
        <v>9.9999999999999995E-7</v>
      </c>
      <c r="Z134" s="153"/>
      <c r="AA134" s="154">
        <f>IF(Z133&lt;=$G$105,$G$105,IF(Z133&lt;=$G$106,$G$106,IF(Z133&lt;=$G$107,$G$107,IF(Z133&lt;=$G$108,$G$108,IF(Z133&lt;=$G$109,$G$109,IF(Z133&lt;=$G$110,$G$110,IF(Z133&lt;=$G$111,$G$111)))))))</f>
        <v>60</v>
      </c>
      <c r="AB134" s="154"/>
      <c r="AC134" s="155">
        <f>IF(Z133&lt;=$G$105,$H$105,IF(Z133&lt;=$G$106,$H$106,IF(Z133&lt;=$G$107,$H$107,IF(Z133&lt;=$G$108,$H$108,IF(Z133&lt;=$G$109,$H$109,IF(Z133&lt;=$G$110,$H$110,IF(Z133&lt;=$G$111,$H$111)))))))</f>
        <v>9.9999999999999995E-7</v>
      </c>
      <c r="AE134" s="153"/>
      <c r="AF134" s="154">
        <f>IF(AE133&lt;=$G$105,$G$105,IF(AE133&lt;=$G$106,$G$106,IF(AE133&lt;=$G$107,$G$107,IF(AE133&lt;=$G$108,$G$108,IF(AE133&lt;=$G$109,$G$109,IF(AE133&lt;=$G$110,$G$110,IF(AE133&lt;=$G$111,$G$111)))))))</f>
        <v>120</v>
      </c>
      <c r="AG134" s="154"/>
      <c r="AH134" s="155">
        <f>IF(AE133&lt;=$G$105,$H$105,IF(AE133&lt;=$G$106,$H$106,IF(AE133&lt;=$G$107,$H$107,IF(AE133&lt;=$G$108,$H$108,IF(AE133&lt;=$G$109,$H$109,IF(AE133&lt;=$G$110,$H$110,IF(AE133&lt;=$G$111,$H$111)))))))</f>
        <v>9.9999999999999995E-7</v>
      </c>
    </row>
    <row r="135" spans="1:34" ht="13.8" thickBot="1">
      <c r="A135" s="21"/>
      <c r="B135" s="21"/>
      <c r="C135" s="21"/>
      <c r="D135" s="21"/>
      <c r="E135" s="14"/>
      <c r="F135" s="21"/>
      <c r="G135" s="21"/>
      <c r="H135" s="21"/>
      <c r="I135" s="21"/>
      <c r="J135" s="14"/>
      <c r="K135" s="21"/>
      <c r="L135" s="21"/>
      <c r="M135" s="21"/>
      <c r="N135" s="21"/>
      <c r="P135" s="17">
        <f>ID!G39</f>
        <v>180</v>
      </c>
      <c r="Q135" s="144"/>
      <c r="R135" s="146">
        <f>((P135-Q134)/(Q136-Q134)*(S136-S134)+S134)</f>
        <v>9.9999999999999995E-7</v>
      </c>
      <c r="S135" s="145"/>
      <c r="U135" s="17">
        <f>ID!G40</f>
        <v>210</v>
      </c>
      <c r="V135" s="144"/>
      <c r="W135" s="146">
        <f>((U135-V134)/(V136-V134)*(X136-X134)+X134)</f>
        <v>9.9999999999999995E-7</v>
      </c>
      <c r="X135" s="145"/>
      <c r="Z135" s="21"/>
      <c r="AA135" s="21"/>
      <c r="AB135" s="21"/>
      <c r="AC135" s="21"/>
      <c r="AE135" s="21"/>
      <c r="AF135" s="21"/>
      <c r="AG135" s="21"/>
      <c r="AH135" s="21"/>
    </row>
    <row r="136" spans="1:34" ht="16.2" thickBot="1">
      <c r="A136" s="942" t="s">
        <v>177</v>
      </c>
      <c r="B136" s="943"/>
      <c r="C136" s="943"/>
      <c r="D136" s="944"/>
      <c r="E136" s="14"/>
      <c r="F136" s="942" t="s">
        <v>177</v>
      </c>
      <c r="G136" s="943"/>
      <c r="H136" s="943"/>
      <c r="I136" s="944"/>
      <c r="J136" s="14"/>
      <c r="K136" s="141" t="s">
        <v>177</v>
      </c>
      <c r="L136" s="142"/>
      <c r="M136" s="142"/>
      <c r="N136" s="143"/>
      <c r="P136" s="153"/>
      <c r="Q136" s="154">
        <f>IF(P135&lt;=$G$105,$G$105,IF(P135&lt;=$G$106,$G$106,IF(P135&lt;=$G$107,$G$107,IF(P135&lt;=$G$108,$G$108,IF(P135&lt;=$G$109,$G$109,IF(P135&lt;=$G$110,$G$110,IF(P135&lt;=$G$111,$G$111)))))))</f>
        <v>180</v>
      </c>
      <c r="R136" s="154"/>
      <c r="S136" s="155">
        <f>IF(P135&lt;=$G$105,$H$105,IF(P135&lt;=$G$106,$H$106,IF(P135&lt;=$G$107,$H$107,IF(P135&lt;=$G$108,$H$108,IF(P135&lt;=$G$109,$H$109,IF(P135&lt;=$G$110,$H$110,IF(P135&lt;=$G$111,$H$111)))))))</f>
        <v>9.9999999999999995E-7</v>
      </c>
      <c r="U136" s="153"/>
      <c r="V136" s="154">
        <f>IF(U135&lt;=$G$105,$G$105,IF(U135&lt;=$G$106,$G$106,IF(U135&lt;=$G$107,$G$107,IF(U135&lt;=$G$108,$G$108,IF(U135&lt;=$G$109,$G$109,IF(U135&lt;=$G$110,$G$110,IF(U135&lt;=$G$111,$G$111)))))))</f>
        <v>210</v>
      </c>
      <c r="W136" s="154"/>
      <c r="X136" s="155">
        <f>IF(U135&lt;=$G$105,$H$105,IF(U135&lt;=$G$106,$H$106,IF(U135&lt;=$G$107,$H$107,IF(U135&lt;=$G$108,$H$108,IF(U135&lt;=$G$109,$H$109,IF(U135&lt;=$G$110,$H$110,IF(U135&lt;=$G$111,$H$111)))))))</f>
        <v>9.9999999999999995E-7</v>
      </c>
      <c r="Z136" s="942" t="s">
        <v>177</v>
      </c>
      <c r="AA136" s="943"/>
      <c r="AB136" s="943"/>
      <c r="AC136" s="944"/>
      <c r="AE136" s="942" t="s">
        <v>177</v>
      </c>
      <c r="AF136" s="943"/>
      <c r="AG136" s="943"/>
      <c r="AH136" s="944"/>
    </row>
    <row r="137" spans="1:34" ht="13.8" thickBot="1">
      <c r="A137" s="15"/>
      <c r="B137" s="144">
        <f>IF(A138&lt;=$G$105,$G$103,IF(A138&lt;=$G$106,$G$105,IF(A138&lt;=$G$107,$G$106,IF(A138&lt;=$G$108,$G$107,IF(A138&lt;=$G$109,$G$108,IF(A138&lt;=$G$110,$G$109,IF(A138&lt;=$G$111,$G$110)))))))</f>
        <v>0</v>
      </c>
      <c r="C137" s="144"/>
      <c r="D137" s="145">
        <f>IF(A138&lt;=$G$105,$H$103,IF(A138&lt;=$G$106,$H$105,IF(A138&lt;=$G$107,$H$106,IF(A138&lt;=$G$108,$H$107,IF(A138&lt;=$G$109,$H$108,IF(A138&lt;=$G$110,$H$109,IF(A138&lt;=$G$111,$H$110)))))))</f>
        <v>0</v>
      </c>
      <c r="E137" s="14"/>
      <c r="F137" s="15"/>
      <c r="G137" s="144">
        <f>IF(F138&lt;=$G$105,$G$103,IF(F138&lt;=$G$106,$G$105,IF(F138&lt;=$G$107,$G$106,IF(F138&lt;=$G$108,$G$107,IF(F138&lt;=$G$109,$G$108,IF(F138&lt;=$G$110,$G$109,IF(F138&lt;=$G$111,$G$110)))))))</f>
        <v>60</v>
      </c>
      <c r="H137" s="144"/>
      <c r="I137" s="145">
        <f>IF(F138&lt;=$G$105,$H$103,IF(F138&lt;=$G$106,$H$105,IF(F138&lt;=$G$107,$H$106,IF(F138&lt;=$G$108,$H$107,IF(F138&lt;=$G$109,$H$108,IF(F138&lt;=$G$110,$H$109,IF(F138&lt;=$G$111,$H$110)))))))</f>
        <v>9.9999999999999995E-7</v>
      </c>
      <c r="J137" s="14"/>
      <c r="K137" s="15"/>
      <c r="L137" s="144">
        <f>IF(K138&lt;=$G$105,$G$103,IF(K138&lt;=$G$106,$G$105,IF(K138&lt;=$G$107,$G$106,IF(K138&lt;=$G$108,$G$107,IF(K138&lt;=$G$109,$G$108,IF(K138&lt;=$G$110,$G$109,IF(K138&lt;=$G$111,$G$110)))))))</f>
        <v>120</v>
      </c>
      <c r="M137" s="144"/>
      <c r="N137" s="145">
        <f>IF(K138&lt;=$G$105,$H$103,IF(K138&lt;=$G$106,$H$105,IF(K138&lt;=$G$107,$H$106,IF(K138&lt;=$G$108,$H$107,IF(K138&lt;=$G$109,$H$108,IF(K138&lt;=$G$110,$H$109,IF(K138&lt;=$G$111,$H$110)))))))</f>
        <v>9.9999999999999995E-7</v>
      </c>
      <c r="Z137" s="15"/>
      <c r="AA137" s="144">
        <f>IF(Z138&lt;=$G$105,$G$103,IF(Z138&lt;=$G$106,$G$105,IF(Z138&lt;=$G$107,$G$106,IF(Z138&lt;=$G$108,$G$107,IF(Z138&lt;=$G$109,$G$108,IF(Z138&lt;=$G$110,$G$109,IF(Z138&lt;=$G$111,$G$110)))))))</f>
        <v>0</v>
      </c>
      <c r="AB137" s="144"/>
      <c r="AC137" s="145">
        <f>IF(Z138&lt;=$G$105,$H$103,IF(Z138&lt;=$G$106,$H$105,IF(Z138&lt;=$G$107,$H$106,IF(Z138&lt;=$G$108,$H$107,IF(Z138&lt;=$G$109,$H$108,IF(Z138&lt;=$G$110,$H$109,IF(Z138&lt;=$G$111,$H$110)))))))</f>
        <v>0</v>
      </c>
      <c r="AE137" s="15"/>
      <c r="AF137" s="144">
        <f>IF(AE138&lt;=$G$105,$G$103,IF(AE138&lt;=$G$106,$G$105,IF(AE138&lt;=$G$107,$G$106,IF(AE138&lt;=$G$108,$G$107,IF(AE138&lt;=$G$109,$G$108,IF(AE138&lt;=$G$110,$G$109,IF(AE138&lt;=$G$111,$G$110)))))))</f>
        <v>90</v>
      </c>
      <c r="AG137" s="144"/>
      <c r="AH137" s="145">
        <f>IF(AE138&lt;=$G$105,$H$103,IF(AE138&lt;=$G$106,$H$105,IF(AE138&lt;=$G$107,$H$106,IF(AE138&lt;=$G$108,$H$107,IF(AE138&lt;=$G$109,$H$108,IF(AE138&lt;=$G$110,$H$109,IF(AE138&lt;=$G$111,$H$110)))))))</f>
        <v>9.9999999999999995E-7</v>
      </c>
    </row>
    <row r="138" spans="1:34" ht="15.6">
      <c r="A138" s="17">
        <f>ID!G35</f>
        <v>60</v>
      </c>
      <c r="B138" s="144"/>
      <c r="C138" s="146">
        <f>((A138-B137)/(B139-B137)*(D139-D137)+D137)</f>
        <v>9.9999999999999995E-7</v>
      </c>
      <c r="D138" s="145"/>
      <c r="F138" s="17">
        <f>ID!G36</f>
        <v>90</v>
      </c>
      <c r="G138" s="144"/>
      <c r="H138" s="146">
        <f>((F138-G137)/(G139-G137)*(I139-I137)+I137)</f>
        <v>9.9999999999999995E-7</v>
      </c>
      <c r="I138" s="145"/>
      <c r="K138" s="17">
        <f>ID!G38</f>
        <v>150</v>
      </c>
      <c r="L138" s="144"/>
      <c r="M138" s="146">
        <f>((K138-L137)/(L139-L137)*(N139-N137)+N137)</f>
        <v>9.9999999999999995E-7</v>
      </c>
      <c r="N138" s="145"/>
      <c r="P138" s="942" t="s">
        <v>178</v>
      </c>
      <c r="Q138" s="943"/>
      <c r="R138" s="943"/>
      <c r="S138" s="944"/>
      <c r="U138" s="942" t="s">
        <v>178</v>
      </c>
      <c r="V138" s="943"/>
      <c r="W138" s="943"/>
      <c r="X138" s="944"/>
      <c r="Z138" s="17">
        <f>ID!G34</f>
        <v>30</v>
      </c>
      <c r="AA138" s="144"/>
      <c r="AB138" s="146">
        <f>((Z138-AA137)/(AA139-AA137)*(AC139-AC137)+AC137)</f>
        <v>4.9999999999999998E-7</v>
      </c>
      <c r="AC138" s="145"/>
      <c r="AE138" s="17">
        <f>ID!G37</f>
        <v>120</v>
      </c>
      <c r="AF138" s="144"/>
      <c r="AG138" s="146">
        <f>((AE138-AF137)/(AF139-AF137)*(AH139-AH137)+AH137)</f>
        <v>9.9999999999999995E-7</v>
      </c>
      <c r="AH138" s="145"/>
    </row>
    <row r="139" spans="1:34" ht="13.8" thickBot="1">
      <c r="A139" s="153"/>
      <c r="B139" s="154">
        <f>IF(A138&lt;=$G$105,$G$105,IF(A138&lt;=$G$106,$G$106,IF(A138&lt;=$G$107,$G$107,IF(A138&lt;=$G$108,$G$108,IF(A138&lt;=$G$109,$G$109,IF(A138&lt;=$G$110,$G$110,IF(A138&lt;=$G$111,$G$111)))))))</f>
        <v>60</v>
      </c>
      <c r="C139" s="154"/>
      <c r="D139" s="155">
        <f>IF(A138&lt;=$G$105,$H$105,IF(A138&lt;=$G$106,$H$106,IF(A138&lt;=$G$107,$H$107,IF(A138&lt;=$G$108,$H$108,IF(A138&lt;=$G$109,$H$109,IF(A138&lt;=$G$110,$H$110,IF(A138&lt;=$G$111,$H$111)))))))</f>
        <v>9.9999999999999995E-7</v>
      </c>
      <c r="F139" s="153"/>
      <c r="G139" s="154">
        <f>IF(F138&lt;=$G$105,$G$105,IF(F138&lt;=$G$106,$G$106,IF(F138&lt;=$G$107,$G$107,IF(F138&lt;=$G$108,$G$108,IF(F138&lt;=$G$109,$G$109,IF(F138&lt;=$G$110,$G$110,IF(F138&lt;=$G$111,$G$111)))))))</f>
        <v>90</v>
      </c>
      <c r="H139" s="154"/>
      <c r="I139" s="155">
        <f>IF(F138&lt;=$G$105,$H$105,IF(F138&lt;=$G$106,$H$106,IF(F138&lt;=$G$107,$H$107,IF(F138&lt;=$G$108,$H$108,IF(F138&lt;=$G$109,$H$109,IF(F138&lt;=$G$110,$H$110,IF(F138&lt;=$G$111,$H$111)))))))</f>
        <v>9.9999999999999995E-7</v>
      </c>
      <c r="K139" s="153"/>
      <c r="L139" s="154">
        <f>IF(K138&lt;=$G$105,$G$105,IF(K138&lt;=$G$106,$G$106,IF(K138&lt;=$G$107,$G$107,IF(K138&lt;=$G$108,$G$108,IF(K138&lt;=$G$109,$G$109,IF(K138&lt;=$G$110,$G$110,IF(K138&lt;=$G$111,$G$111)))))))</f>
        <v>150</v>
      </c>
      <c r="M139" s="154"/>
      <c r="N139" s="155">
        <f>IF(K138&lt;=$G$105,$H$105,IF(K138&lt;=$G$106,$H$106,IF(K138&lt;=$G$107,$H$107,IF(K138&lt;=$G$108,$H$108,IF(K138&lt;=$G$109,$H$109,IF(K138&lt;=$G$110,$H$110,IF(K138&lt;=$G$111,$H$111)))))))</f>
        <v>9.9999999999999995E-7</v>
      </c>
      <c r="P139" s="15"/>
      <c r="Q139" s="144">
        <f>IF(P140&lt;=$G$105,$G$103,IF(P140&lt;=$G$106,$G$105,IF(P140&lt;=$G$107,$G$106,IF(P140&lt;=$G$108,$G$107,IF(P140&lt;=$G$109,$G$108,IF(P140&lt;=$G$110,$G$109,IF(P140&lt;=$G$111,$G$110)))))))</f>
        <v>150</v>
      </c>
      <c r="R139" s="144"/>
      <c r="S139" s="145">
        <f>IF(P140&lt;=$G$105,$H$103,IF(P140&lt;=$G$106,$H$105,IF(P140&lt;=$G$107,$H$106,IF(P140&lt;=$G$108,$H$107,IF(P140&lt;=$G$109,$H$108,IF(P140&lt;=$G$110,$H$109,IF(P140&lt;=$G$111,$H$110)))))))</f>
        <v>9.9999999999999995E-7</v>
      </c>
      <c r="U139" s="15"/>
      <c r="V139" s="144">
        <f>IF(U140&lt;=$G$105,$G$103,IF(U140&lt;=$G$106,$G$105,IF(U140&lt;=$G$107,$G$106,IF(U140&lt;=$G$108,$G$107,IF(U140&lt;=$G$109,$G$108,IF(U140&lt;=$G$110,$G$109,IF(U140&lt;=$G$111,$G$110)))))))</f>
        <v>180</v>
      </c>
      <c r="W139" s="144"/>
      <c r="X139" s="145">
        <f>IF(U140&lt;=$G$105,$H$103,IF(U140&lt;=$G$106,$H$105,IF(U140&lt;=$G$107,$H$106,IF(U140&lt;=$G$108,$H$107,IF(U140&lt;=$G$109,$H$108,IF(U140&lt;=$G$110,$H$109,IF(U140&lt;=$G$111,$H$110)))))))</f>
        <v>9.9999999999999995E-7</v>
      </c>
      <c r="Z139" s="153"/>
      <c r="AA139" s="154">
        <f>IF(Z138&lt;=$G$105,$G$105,IF(Z138&lt;=$G$106,$G$106,IF(Z138&lt;=$G$107,$G$107,IF(Z138&lt;=$G$108,$G$108,IF(Z138&lt;=$G$109,$G$109,IF(Z138&lt;=$G$110,$G$110,IF(Z138&lt;=$G$111,$G$111)))))))</f>
        <v>60</v>
      </c>
      <c r="AB139" s="154"/>
      <c r="AC139" s="155">
        <f>IF(Z138&lt;=$G$105,$H$105,IF(Z138&lt;=$G$106,$H$106,IF(Z138&lt;=$G$107,$H$107,IF(Z138&lt;=$G$108,$H$108,IF(Z138&lt;=$G$109,$H$109,IF(Z138&lt;=$G$110,$H$110,IF(Z138&lt;=$G$111,$H$111)))))))</f>
        <v>9.9999999999999995E-7</v>
      </c>
      <c r="AE139" s="153"/>
      <c r="AF139" s="154">
        <f>IF(AE138&lt;=$G$105,$G$105,IF(AE138&lt;=$G$106,$G$106,IF(AE138&lt;=$G$107,$G$107,IF(AE138&lt;=$G$108,$G$108,IF(AE138&lt;=$G$109,$G$109,IF(AE138&lt;=$G$110,$G$110,IF(AE138&lt;=$G$111,$G$111)))))))</f>
        <v>120</v>
      </c>
      <c r="AG139" s="154"/>
      <c r="AH139" s="155">
        <f>IF(AE138&lt;=$G$105,$H$105,IF(AE138&lt;=$G$106,$H$106,IF(AE138&lt;=$G$107,$H$107,IF(AE138&lt;=$G$108,$H$108,IF(AE138&lt;=$G$109,$H$109,IF(AE138&lt;=$G$110,$H$110,IF(AE138&lt;=$G$111,$H$111)))))))</f>
        <v>9.9999999999999995E-7</v>
      </c>
    </row>
    <row r="140" spans="1:34" ht="13.8" thickBot="1">
      <c r="P140" s="17">
        <f>ID!H39</f>
        <v>180</v>
      </c>
      <c r="Q140" s="144"/>
      <c r="R140" s="146">
        <f>((P140-Q139)/(Q141-Q139)*(S141-S139)+S139)</f>
        <v>9.9999999999999995E-7</v>
      </c>
      <c r="S140" s="145"/>
      <c r="U140" s="17">
        <f>ID!H40</f>
        <v>210</v>
      </c>
      <c r="V140" s="144"/>
      <c r="W140" s="146">
        <f>((U140-V139)/(V141-V139)*(X141-X139)+X139)</f>
        <v>9.9999999999999995E-7</v>
      </c>
      <c r="X140" s="145"/>
    </row>
    <row r="141" spans="1:34" ht="16.2" thickBot="1">
      <c r="A141" s="942" t="s">
        <v>178</v>
      </c>
      <c r="B141" s="943"/>
      <c r="C141" s="943"/>
      <c r="D141" s="944"/>
      <c r="F141" s="942" t="s">
        <v>178</v>
      </c>
      <c r="G141" s="943"/>
      <c r="H141" s="943"/>
      <c r="I141" s="944"/>
      <c r="K141" s="141" t="s">
        <v>178</v>
      </c>
      <c r="L141" s="142"/>
      <c r="M141" s="142"/>
      <c r="N141" s="143"/>
      <c r="P141" s="153"/>
      <c r="Q141" s="154">
        <f>IF(P140&lt;=$G$105,$G$105,IF(P140&lt;=$G$106,$G$106,IF(P140&lt;=$G$107,$G$107,IF(P140&lt;=$G$108,$G$108,IF(P140&lt;=$G$109,$G$109,IF(P140&lt;=$G$110,$G$110,IF(P140&lt;=$G$111,$G$111)))))))</f>
        <v>180</v>
      </c>
      <c r="R141" s="154"/>
      <c r="S141" s="155">
        <f>IF(P140&lt;=$G$105,$H$105,IF(P140&lt;=$G$106,$H$106,IF(P140&lt;=$G$107,$H$107,IF(P140&lt;=$G$108,$H$108,IF(P140&lt;=$G$109,$H$109,IF(P140&lt;=$G$110,$H$110,IF(P140&lt;=$G$111,$H$111)))))))</f>
        <v>9.9999999999999995E-7</v>
      </c>
      <c r="U141" s="153"/>
      <c r="V141" s="154">
        <f>IF(U140&lt;=$G$105,$G$105,IF(U140&lt;=$G$106,$G$106,IF(U140&lt;=$G$107,$G$107,IF(U140&lt;=$G$108,$G$108,IF(U140&lt;=$G$109,$G$109,IF(U140&lt;=$G$110,$G$110,IF(U140&lt;=$G$111,$G$111)))))))</f>
        <v>210</v>
      </c>
      <c r="W141" s="154"/>
      <c r="X141" s="155">
        <f>IF(U140&lt;=$G$105,$H$105,IF(U140&lt;=$G$106,$H$106,IF(U140&lt;=$G$107,$H$107,IF(U140&lt;=$G$108,$H$108,IF(U140&lt;=$G$109,$H$109,IF(U140&lt;=$G$110,$H$110,IF(U140&lt;=$G$111,$H$111)))))))</f>
        <v>9.9999999999999995E-7</v>
      </c>
      <c r="Z141" s="942" t="s">
        <v>178</v>
      </c>
      <c r="AA141" s="943"/>
      <c r="AB141" s="943"/>
      <c r="AC141" s="944"/>
      <c r="AE141" s="942" t="s">
        <v>178</v>
      </c>
      <c r="AF141" s="943"/>
      <c r="AG141" s="943"/>
      <c r="AH141" s="944"/>
    </row>
    <row r="142" spans="1:34" ht="13.8" thickBot="1">
      <c r="A142" s="15"/>
      <c r="B142" s="144">
        <f>IF(A143&lt;=$G$105,$G$103,IF(A143&lt;=$G$106,$G$105,IF(A143&lt;=$G$107,$G$106,IF(A143&lt;=$G$108,$G$107,IF(A143&lt;=$G$109,$G$108,IF(A143&lt;=$G$110,$G$109,IF(A143&lt;=$G$111,$G$110)))))))</f>
        <v>0</v>
      </c>
      <c r="C142" s="144"/>
      <c r="D142" s="145">
        <f>IF(A143&lt;=$G$105,$H$103,IF(A143&lt;=$G$106,$H$105,IF(A143&lt;=$G$107,$H$106,IF(A143&lt;=$G$108,$H$107,IF(A143&lt;=$G$109,$H$108,IF(A143&lt;=$G$110,$H$109,IF(A143&lt;=$G$111,$H$110)))))))</f>
        <v>0</v>
      </c>
      <c r="F142" s="15"/>
      <c r="G142" s="144">
        <f>IF(F143&lt;=$G$105,$G$103,IF(F143&lt;=$G$106,$G$105,IF(F143&lt;=$G$107,$G$106,IF(F143&lt;=$G$108,$G$107,IF(F143&lt;=$G$109,$G$108,IF(F143&lt;=$G$110,$G$109,IF(F143&lt;=$G$111,$G$110)))))))</f>
        <v>60</v>
      </c>
      <c r="H142" s="144"/>
      <c r="I142" s="145">
        <f>IF(F143&lt;=$G$105,$H$103,IF(F143&lt;=$G$106,$H$105,IF(F143&lt;=$G$107,$H$106,IF(F143&lt;=$G$108,$H$107,IF(F143&lt;=$G$109,$H$108,IF(F143&lt;=$G$110,$H$109,IF(F143&lt;=$G$111,$H$110)))))))</f>
        <v>9.9999999999999995E-7</v>
      </c>
      <c r="K142" s="15"/>
      <c r="L142" s="144">
        <f>IF(K143&lt;=$G$105,$G$103,IF(K143&lt;=$G$106,$G$105,IF(K143&lt;=$G$107,$G$106,IF(K143&lt;=$G$108,$G$107,IF(K143&lt;=$G$109,$G$108,IF(K143&lt;=$G$110,$G$109,IF(K143&lt;=$G$111,$G$110)))))))</f>
        <v>120</v>
      </c>
      <c r="M142" s="144"/>
      <c r="N142" s="145">
        <f>IF(K143&lt;=$G$105,$H$103,IF(K143&lt;=$G$106,$H$105,IF(K143&lt;=$G$107,$H$106,IF(K143&lt;=$G$108,$H$107,IF(K143&lt;=$G$109,$H$108,IF(K143&lt;=$G$110,$H$109,IF(K143&lt;=$G$111,$H$110)))))))</f>
        <v>9.9999999999999995E-7</v>
      </c>
      <c r="Z142" s="15"/>
      <c r="AA142" s="144">
        <f>IF(Z143&lt;=$G$105,$G$103,IF(Z143&lt;=$G$106,$G$105,IF(Z143&lt;=$G$107,$G$106,IF(Z143&lt;=$G$108,$G$107,IF(Z143&lt;=$G$109,$G$108,IF(Z143&lt;=$G$110,$G$109,IF(Z143&lt;=$G$111,$G$110)))))))</f>
        <v>0</v>
      </c>
      <c r="AB142" s="144"/>
      <c r="AC142" s="145">
        <f>IF(Z143&lt;=$G$105,$H$103,IF(Z143&lt;=$G$106,$H$105,IF(Z143&lt;=$G$107,$H$106,IF(Z143&lt;=$G$108,$H$107,IF(Z143&lt;=$G$109,$H$108,IF(Z143&lt;=$G$110,$H$109,IF(Z143&lt;=$G$111,$H$110)))))))</f>
        <v>0</v>
      </c>
      <c r="AE142" s="15"/>
      <c r="AF142" s="144">
        <f>IF(AE143&lt;=$G$105,$G$103,IF(AE143&lt;=$G$106,$G$105,IF(AE143&lt;=$G$107,$G$106,IF(AE143&lt;=$G$108,$G$107,IF(AE143&lt;=$G$109,$G$108,IF(AE143&lt;=$G$110,$G$109,IF(AE143&lt;=$G$111,$G$110)))))))</f>
        <v>90</v>
      </c>
      <c r="AG142" s="144"/>
      <c r="AH142" s="145">
        <f>IF(AE143&lt;=$G$105,$H$103,IF(AE143&lt;=$G$106,$H$105,IF(AE143&lt;=$G$107,$H$106,IF(AE143&lt;=$G$108,$H$107,IF(AE143&lt;=$G$109,$H$108,IF(AE143&lt;=$G$110,$H$109,IF(AE143&lt;=$G$111,$H$110)))))))</f>
        <v>9.9999999999999995E-7</v>
      </c>
    </row>
    <row r="143" spans="1:34" ht="15.6">
      <c r="A143" s="17">
        <f>ID!H35</f>
        <v>60</v>
      </c>
      <c r="B143" s="144"/>
      <c r="C143" s="146">
        <f>((A143-B142)/(B144-B142)*(D144-D142)+D142)</f>
        <v>9.9999999999999995E-7</v>
      </c>
      <c r="D143" s="145"/>
      <c r="F143" s="17">
        <f>ID!H36</f>
        <v>90</v>
      </c>
      <c r="G143" s="144"/>
      <c r="H143" s="146">
        <f>((F143-G142)/(G144-G142)*(I144-I142)+I142)</f>
        <v>9.9999999999999995E-7</v>
      </c>
      <c r="I143" s="145"/>
      <c r="K143" s="17">
        <f>ID!H38</f>
        <v>150</v>
      </c>
      <c r="L143" s="144"/>
      <c r="M143" s="146">
        <f>((K143-L142)/(L144-L142)*(N144-N142)+N142)</f>
        <v>9.9999999999999995E-7</v>
      </c>
      <c r="N143" s="145"/>
      <c r="P143" s="942" t="s">
        <v>179</v>
      </c>
      <c r="Q143" s="943"/>
      <c r="R143" s="943"/>
      <c r="S143" s="944"/>
      <c r="U143" s="942" t="s">
        <v>179</v>
      </c>
      <c r="V143" s="943"/>
      <c r="W143" s="943"/>
      <c r="X143" s="944"/>
      <c r="Z143" s="17">
        <f>ID!H34</f>
        <v>30</v>
      </c>
      <c r="AA143" s="144"/>
      <c r="AB143" s="146">
        <f>((Z143-AA142)/(AA144-AA142)*(AC144-AC142)+AC142)</f>
        <v>4.9999999999999998E-7</v>
      </c>
      <c r="AC143" s="145"/>
      <c r="AE143" s="17">
        <f>ID!H37</f>
        <v>120</v>
      </c>
      <c r="AF143" s="144"/>
      <c r="AG143" s="146">
        <f>((AE143-AF142)/(AF144-AF142)*(AH144-AH142)+AH142)</f>
        <v>9.9999999999999995E-7</v>
      </c>
      <c r="AH143" s="145"/>
    </row>
    <row r="144" spans="1:34" ht="13.8" thickBot="1">
      <c r="A144" s="153"/>
      <c r="B144" s="154">
        <f>IF(A143&lt;=$G$105,$G$105,IF(A143&lt;=$G$106,$G$106,IF(A143&lt;=$G$107,$G$107,IF(A143&lt;=$G$108,$G$108,IF(A143&lt;=$G$109,$G$109,IF(A143&lt;=$G$110,$G$110,IF(A143&lt;=$G$111,$G$111)))))))</f>
        <v>60</v>
      </c>
      <c r="C144" s="154"/>
      <c r="D144" s="155">
        <f>IF(A143&lt;=$G$105,$H$105,IF(A143&lt;=$G$106,$H$106,IF(A143&lt;=$G$107,$H$107,IF(A143&lt;=$G$108,$H$108,IF(A143&lt;=$G$109,$H$109,IF(A143&lt;=$G$110,$H$110,IF(A143&lt;=$G$111,$H$111)))))))</f>
        <v>9.9999999999999995E-7</v>
      </c>
      <c r="F144" s="153"/>
      <c r="G144" s="154">
        <f>IF(F143&lt;=$G$105,$G$105,IF(F143&lt;=$G$106,$G$106,IF(F143&lt;=$G$107,$G$107,IF(F143&lt;=$G$108,$G$108,IF(F143&lt;=$G$109,$G$109,IF(F143&lt;=$G$110,$G$110,IF(F143&lt;=$G$111,$G$111)))))))</f>
        <v>90</v>
      </c>
      <c r="H144" s="154"/>
      <c r="I144" s="155">
        <f>IF(F143&lt;=$G$105,$H$105,IF(F143&lt;=$G$106,$H$106,IF(F143&lt;=$G$107,$H$107,IF(F143&lt;=$G$108,$H$108,IF(F143&lt;=$G$109,$H$109,IF(F143&lt;=$G$110,$H$110,IF(F143&lt;=$G$111,$H$111)))))))</f>
        <v>9.9999999999999995E-7</v>
      </c>
      <c r="K144" s="153"/>
      <c r="L144" s="154">
        <f>IF(K143&lt;=$G$105,$G$105,IF(K143&lt;=$G$106,$G$106,IF(K143&lt;=$G$107,$G$107,IF(K143&lt;=$G$108,$G$108,IF(K143&lt;=$G$109,$G$109,IF(K143&lt;=$G$110,$G$110,IF(K143&lt;=$G$111,$G$111)))))))</f>
        <v>150</v>
      </c>
      <c r="M144" s="154"/>
      <c r="N144" s="155">
        <f>IF(K143&lt;=$G$105,$H$105,IF(K143&lt;=$G$106,$H$106,IF(K143&lt;=$G$107,$H$107,IF(K143&lt;=$G$108,$H$108,IF(K143&lt;=$G$109,$H$109,IF(K143&lt;=$G$110,$H$110,IF(K143&lt;=$G$111,$H$111)))))))</f>
        <v>9.9999999999999995E-7</v>
      </c>
      <c r="P144" s="15"/>
      <c r="Q144" s="144">
        <f>IF(P145&lt;=$G$105,$G$103,IF(P145&lt;=$G$106,$G$105,IF(P145&lt;=$G$107,$G$106,IF(P145&lt;=$G$108,$G$107,IF(P145&lt;=$G$109,$G$108,IF(P145&lt;=$G$110,$G$109,IF(P145&lt;=$G$111,$G$110)))))))</f>
        <v>150</v>
      </c>
      <c r="R144" s="144"/>
      <c r="S144" s="145">
        <f>IF(P145&lt;=$G$105,$H$103,IF(P145&lt;=$G$106,$H$105,IF(P145&lt;=$G$107,$H$106,IF(P145&lt;=$G$108,$H$107,IF(P145&lt;=$G$109,$H$108,IF(P145&lt;=$G$110,$H$109,IF(P145&lt;=$G$111,$H$110)))))))</f>
        <v>9.9999999999999995E-7</v>
      </c>
      <c r="U144" s="15"/>
      <c r="V144" s="144">
        <f>IF(U145&lt;=$G$105,$G$103,IF(U145&lt;=$G$106,$G$105,IF(U145&lt;=$G$107,$G$106,IF(U145&lt;=$G$108,$G$107,IF(U145&lt;=$G$109,$G$108,IF(U145&lt;=$G$110,$G$109,IF(U145&lt;=$G$111,$G$110)))))))</f>
        <v>180</v>
      </c>
      <c r="W144" s="144"/>
      <c r="X144" s="145">
        <f>IF(U145&lt;=$G$105,$H$103,IF(U145&lt;=$G$106,$H$105,IF(U145&lt;=$G$107,$H$106,IF(U145&lt;=$G$108,$H$107,IF(U145&lt;=$G$109,$H$108,IF(U145&lt;=$G$110,$H$109,IF(U145&lt;=$G$111,$H$110)))))))</f>
        <v>9.9999999999999995E-7</v>
      </c>
      <c r="Z144" s="153"/>
      <c r="AA144" s="154">
        <f>IF(Z143&lt;=$G$105,$G$105,IF(Z143&lt;=$G$106,$G$106,IF(Z143&lt;=$G$107,$G$107,IF(Z143&lt;=$G$108,$G$108,IF(Z143&lt;=$G$109,$G$109,IF(Z143&lt;=$G$110,$G$110,IF(Z143&lt;=$G$111,$G$111)))))))</f>
        <v>60</v>
      </c>
      <c r="AB144" s="154"/>
      <c r="AC144" s="155">
        <f>IF(Z143&lt;=$G$105,$H$105,IF(Z143&lt;=$G$106,$H$106,IF(Z143&lt;=$G$107,$H$107,IF(Z143&lt;=$G$108,$H$108,IF(Z143&lt;=$G$109,$H$109,IF(Z143&lt;=$G$110,$H$110,IF(Z143&lt;=$G$111,$H$111)))))))</f>
        <v>9.9999999999999995E-7</v>
      </c>
      <c r="AE144" s="153"/>
      <c r="AF144" s="154">
        <f>IF(AE143&lt;=$G$105,$G$105,IF(AE143&lt;=$G$106,$G$106,IF(AE143&lt;=$G$107,$G$107,IF(AE143&lt;=$G$108,$G$108,IF(AE143&lt;=$G$109,$G$109,IF(AE143&lt;=$G$110,$G$110,IF(AE143&lt;=$G$111,$G$111)))))))</f>
        <v>120</v>
      </c>
      <c r="AG144" s="154"/>
      <c r="AH144" s="155">
        <f>IF(AE143&lt;=$G$105,$H$105,IF(AE143&lt;=$G$106,$H$106,IF(AE143&lt;=$G$107,$H$107,IF(AE143&lt;=$G$108,$H$108,IF(AE143&lt;=$G$109,$H$109,IF(AE143&lt;=$G$110,$H$110,IF(AE143&lt;=$G$111,$H$111)))))))</f>
        <v>9.9999999999999995E-7</v>
      </c>
    </row>
    <row r="145" spans="1:34" ht="13.8" thickBot="1">
      <c r="P145" s="17">
        <f>ID!I39</f>
        <v>180</v>
      </c>
      <c r="Q145" s="144"/>
      <c r="R145" s="146">
        <f>((P145-Q144)/(Q146-Q144)*(S146-S144)+S144)</f>
        <v>9.9999999999999995E-7</v>
      </c>
      <c r="S145" s="145"/>
      <c r="U145" s="17">
        <f>ID!I40</f>
        <v>210</v>
      </c>
      <c r="V145" s="144"/>
      <c r="W145" s="146">
        <f>((U145-V144)/(V146-V144)*(X146-X144)+X144)</f>
        <v>9.9999999999999995E-7</v>
      </c>
      <c r="X145" s="145"/>
    </row>
    <row r="146" spans="1:34" ht="16.2" thickBot="1">
      <c r="A146" s="942" t="s">
        <v>179</v>
      </c>
      <c r="B146" s="943"/>
      <c r="C146" s="943"/>
      <c r="D146" s="944"/>
      <c r="F146" s="942" t="s">
        <v>179</v>
      </c>
      <c r="G146" s="943"/>
      <c r="H146" s="943"/>
      <c r="I146" s="944"/>
      <c r="K146" s="141" t="s">
        <v>179</v>
      </c>
      <c r="L146" s="142"/>
      <c r="M146" s="142"/>
      <c r="N146" s="143"/>
      <c r="P146" s="153"/>
      <c r="Q146" s="154">
        <f>IF(P145&lt;=$G$105,$G$105,IF(P145&lt;=$G$106,$G$106,IF(P145&lt;=$G$107,$G$107,IF(P145&lt;=$G$108,$G$108,IF(P145&lt;=$G$109,$G$109,IF(P145&lt;=$G$110,$G$110,IF(P145&lt;=$G$111,$G$111)))))))</f>
        <v>180</v>
      </c>
      <c r="R146" s="154"/>
      <c r="S146" s="155">
        <f>IF(P145&lt;=$G$105,$H$105,IF(P145&lt;=$G$106,$H$106,IF(P145&lt;=$G$107,$H$107,IF(P145&lt;=$G$108,$H$108,IF(P145&lt;=$G$109,$H$109,IF(P145&lt;=$G$110,$H$110,IF(P145&lt;=$G$111,$H$111)))))))</f>
        <v>9.9999999999999995E-7</v>
      </c>
      <c r="U146" s="153"/>
      <c r="V146" s="154">
        <f>IF(U145&lt;=$G$105,$G$105,IF(U145&lt;=$G$106,$G$106,IF(U145&lt;=$G$107,$G$107,IF(U145&lt;=$G$108,$G$108,IF(U145&lt;=$G$109,$G$109,IF(U145&lt;=$G$110,$G$110,IF(U145&lt;=$G$111,$G$111)))))))</f>
        <v>210</v>
      </c>
      <c r="W146" s="154"/>
      <c r="X146" s="155">
        <f>IF(U145&lt;=$G$105,$H$105,IF(U145&lt;=$G$106,$H$106,IF(U145&lt;=$G$107,$H$107,IF(U145&lt;=$G$108,$H$108,IF(U145&lt;=$G$109,$H$109,IF(U145&lt;=$G$110,$H$110,IF(U145&lt;=$G$111,$H$111)))))))</f>
        <v>9.9999999999999995E-7</v>
      </c>
      <c r="Z146" s="942" t="s">
        <v>179</v>
      </c>
      <c r="AA146" s="943"/>
      <c r="AB146" s="943"/>
      <c r="AC146" s="944"/>
      <c r="AE146" s="942" t="s">
        <v>179</v>
      </c>
      <c r="AF146" s="943"/>
      <c r="AG146" s="943"/>
      <c r="AH146" s="944"/>
    </row>
    <row r="147" spans="1:34">
      <c r="A147" s="15"/>
      <c r="B147" s="144">
        <f>IF(A148&lt;=$G$105,$G$103,IF(A148&lt;=$G$106,$G$105,IF(A148&lt;=$G$107,$G$106,IF(A148&lt;=$G$108,$G$107,IF(A148&lt;=$G$109,$G$108,IF(A148&lt;=$G$110,$G$109,IF(A148&lt;=$G$111,$G$110)))))))</f>
        <v>0</v>
      </c>
      <c r="C147" s="144"/>
      <c r="D147" s="145">
        <f>IF(A148&lt;=$G$105,$H$103,IF(A148&lt;=$G$106,$H$105,IF(A148&lt;=$G$107,$H$106,IF(A148&lt;=$G$108,$H$107,IF(A148&lt;=$G$109,$H$108,IF(A148&lt;=$G$110,$H$109,IF(A148&lt;=$G$111,$H$110)))))))</f>
        <v>0</v>
      </c>
      <c r="F147" s="15"/>
      <c r="G147" s="144">
        <f>IF(F148&lt;=$G$105,$G$103,IF(F148&lt;=$G$106,$G$105,IF(F148&lt;=$G$107,$G$106,IF(F148&lt;=$G$108,$G$107,IF(F148&lt;=$G$109,$G$108,IF(F148&lt;=$G$110,$G$109,IF(F148&lt;=$G$111,$G$110)))))))</f>
        <v>60</v>
      </c>
      <c r="H147" s="144"/>
      <c r="I147" s="145">
        <f>IF(F148&lt;=$G$105,$H$103,IF(F148&lt;=$G$106,$H$105,IF(F148&lt;=$G$107,$H$106,IF(F148&lt;=$G$108,$H$107,IF(F148&lt;=$G$109,$H$108,IF(F148&lt;=$G$110,$H$109,IF(F148&lt;=$G$111,$H$110)))))))</f>
        <v>9.9999999999999995E-7</v>
      </c>
      <c r="K147" s="15"/>
      <c r="L147" s="144">
        <f>IF(K148&lt;=$G$105,$G$103,IF(K148&lt;=$G$106,$G$105,IF(K148&lt;=$G$107,$G$106,IF(K148&lt;=$G$108,$G$107,IF(K148&lt;=$G$109,$G$108,IF(K148&lt;=$G$110,$G$109,IF(K148&lt;=$G$111,$G$110)))))))</f>
        <v>120</v>
      </c>
      <c r="M147" s="144"/>
      <c r="N147" s="145">
        <f>IF(K148&lt;=$G$105,$H$103,IF(K148&lt;=$G$106,$H$105,IF(K148&lt;=$G$107,$H$106,IF(K148&lt;=$G$108,$H$107,IF(K148&lt;=$G$109,$H$108,IF(K148&lt;=$G$110,$H$109,IF(K148&lt;=$G$111,$H$110)))))))</f>
        <v>9.9999999999999995E-7</v>
      </c>
      <c r="Z147" s="15"/>
      <c r="AA147" s="144">
        <f>IF(Z148&lt;=$G$105,$G$103,IF(Z148&lt;=$G$106,$G$105,IF(Z148&lt;=$G$107,$G$106,IF(Z148&lt;=$G$108,$G$107,IF(Z148&lt;=$G$109,$G$108,IF(Z148&lt;=$G$110,$G$109,IF(Z148&lt;=$G$111,$G$110)))))))</f>
        <v>0</v>
      </c>
      <c r="AB147" s="144"/>
      <c r="AC147" s="145">
        <f>IF(Z148&lt;=$G$105,$H$103,IF(Z148&lt;=$G$106,$H$105,IF(Z148&lt;=$G$107,$H$106,IF(Z148&lt;=$G$108,$H$107,IF(Z148&lt;=$G$109,$H$108,IF(Z148&lt;=$G$110,$H$109,IF(Z148&lt;=$G$111,$H$110)))))))</f>
        <v>0</v>
      </c>
      <c r="AE147" s="15"/>
      <c r="AF147" s="144">
        <f>IF(AE148&lt;=$G$105,$G$103,IF(AE148&lt;=$G$106,$G$105,IF(AE148&lt;=$G$107,$G$106,IF(AE148&lt;=$G$108,$G$107,IF(AE148&lt;=$G$109,$G$108,IF(AE148&lt;=$G$110,$G$109,IF(AE148&lt;=$G$111,$G$110)))))))</f>
        <v>90</v>
      </c>
      <c r="AG147" s="144"/>
      <c r="AH147" s="145">
        <f>IF(AE148&lt;=$G$105,$H$103,IF(AE148&lt;=$G$106,$H$105,IF(AE148&lt;=$G$107,$H$106,IF(AE148&lt;=$G$108,$H$107,IF(AE148&lt;=$G$109,$H$108,IF(AE148&lt;=$G$110,$H$109,IF(AE148&lt;=$G$111,$H$110)))))))</f>
        <v>9.9999999999999995E-7</v>
      </c>
    </row>
    <row r="148" spans="1:34">
      <c r="A148" s="17">
        <f>ID!I35</f>
        <v>60</v>
      </c>
      <c r="B148" s="144"/>
      <c r="C148" s="146">
        <f>((A148-B147)/(B149-B147)*(D149-D147)+D147)</f>
        <v>9.9999999999999995E-7</v>
      </c>
      <c r="D148" s="145"/>
      <c r="F148" s="17">
        <f>ID!I36</f>
        <v>90</v>
      </c>
      <c r="G148" s="144"/>
      <c r="H148" s="146">
        <f>((F148-G147)/(G149-G147)*(I149-I147)+I147)</f>
        <v>9.9999999999999995E-7</v>
      </c>
      <c r="I148" s="145"/>
      <c r="K148" s="17">
        <f>ID!I38</f>
        <v>150</v>
      </c>
      <c r="L148" s="144"/>
      <c r="M148" s="146">
        <f>((K148-L147)/(L149-L147)*(N149-N147)+N147)</f>
        <v>9.9999999999999995E-7</v>
      </c>
      <c r="N148" s="145"/>
      <c r="Z148" s="17">
        <f>ID!I34</f>
        <v>30</v>
      </c>
      <c r="AA148" s="144"/>
      <c r="AB148" s="146">
        <f>((Z148-AA147)/(AA149-AA147)*(AC149-AC147)+AC147)</f>
        <v>4.9999999999999998E-7</v>
      </c>
      <c r="AC148" s="145"/>
      <c r="AE148" s="17">
        <f>ID!I37</f>
        <v>120</v>
      </c>
      <c r="AF148" s="144"/>
      <c r="AG148" s="146">
        <f>((AE148-AF147)/(AF149-AF147)*(AH149-AH147)+AH147)</f>
        <v>9.9999999999999995E-7</v>
      </c>
      <c r="AH148" s="145"/>
    </row>
    <row r="149" spans="1:34" ht="35.4" thickBot="1">
      <c r="A149" s="153"/>
      <c r="B149" s="154">
        <f>IF(A148&lt;=$G$105,$G$105,IF(A148&lt;=$G$106,$G$106,IF(A148&lt;=$G$107,$G$107,IF(A148&lt;=$G$108,$G$108,IF(A148&lt;=$G$109,$G$109,IF(A148&lt;=$G$110,$G$110,IF(A148&lt;=$G$111,$G$111)))))))</f>
        <v>60</v>
      </c>
      <c r="C149" s="154"/>
      <c r="D149" s="155">
        <f>IF(A148&lt;=$G$105,$H$105,IF(A148&lt;=$G$106,$H$106,IF(A148&lt;=$G$107,$H$107,IF(A148&lt;=$G$108,$H$108,IF(A148&lt;=$G$109,$H$109,IF(A148&lt;=$G$110,$H$110,IF(A148&lt;=$G$111,$H$111)))))))</f>
        <v>9.9999999999999995E-7</v>
      </c>
      <c r="F149" s="153"/>
      <c r="G149" s="154">
        <f>IF(F148&lt;=$G$105,$G$105,IF(F148&lt;=$G$106,$G$106,IF(F148&lt;=$G$107,$G$107,IF(F148&lt;=$G$108,$G$108,IF(F148&lt;=$G$109,$G$109,IF(F148&lt;=$G$110,$G$110,IF(F148&lt;=$G$111,$G$111)))))))</f>
        <v>90</v>
      </c>
      <c r="H149" s="154"/>
      <c r="I149" s="155">
        <f>IF(F148&lt;=$G$105,$H$105,IF(F148&lt;=$G$106,$H$106,IF(F148&lt;=$G$107,$H$107,IF(F148&lt;=$G$108,$H$108,IF(F148&lt;=$G$109,$H$109,IF(F148&lt;=$G$110,$H$110,IF(F148&lt;=$G$111,$H$111)))))))</f>
        <v>9.9999999999999995E-7</v>
      </c>
      <c r="K149" s="153"/>
      <c r="L149" s="154">
        <f>IF(K148&lt;=$G$105,$G$105,IF(K148&lt;=$G$106,$G$106,IF(K148&lt;=$G$107,$G$107,IF(K148&lt;=$G$108,$G$108,IF(K148&lt;=$G$109,$G$109,IF(K148&lt;=$G$110,$G$110,IF(K148&lt;=$G$111,$G$111)))))))</f>
        <v>150</v>
      </c>
      <c r="M149" s="154"/>
      <c r="N149" s="155">
        <f>IF(K148&lt;=$G$105,$H$105,IF(K148&lt;=$G$106,$H$106,IF(K148&lt;=$G$107,$H$107,IF(K148&lt;=$G$108,$H$108,IF(K148&lt;=$G$109,$H$109,IF(K148&lt;=$G$110,$H$110,IF(K148&lt;=$G$111,$H$111)))))))</f>
        <v>9.9999999999999995E-7</v>
      </c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53"/>
      <c r="AA149" s="154">
        <f>IF(Z148&lt;=$G$105,$G$105,IF(Z148&lt;=$G$106,$G$106,IF(Z148&lt;=$G$107,$G$107,IF(Z148&lt;=$G$108,$G$108,IF(Z148&lt;=$G$109,$G$109,IF(Z148&lt;=$G$110,$G$110,IF(Z148&lt;=$G$111,$G$111)))))))</f>
        <v>60</v>
      </c>
      <c r="AB149" s="154"/>
      <c r="AC149" s="155">
        <f>IF(Z148&lt;=$G$105,$H$105,IF(Z148&lt;=$G$106,$H$106,IF(Z148&lt;=$G$107,$H$107,IF(Z148&lt;=$G$108,$H$108,IF(Z148&lt;=$G$109,$H$109,IF(Z148&lt;=$G$110,$H$110,IF(Z148&lt;=$G$111,$H$111)))))))</f>
        <v>9.9999999999999995E-7</v>
      </c>
      <c r="AE149" s="153"/>
      <c r="AF149" s="154">
        <f>IF(AE148&lt;=$G$105,$G$105,IF(AE148&lt;=$G$106,$G$106,IF(AE148&lt;=$G$107,$G$107,IF(AE148&lt;=$G$108,$G$108,IF(AE148&lt;=$G$109,$G$109,IF(AE148&lt;=$G$110,$G$110,IF(AE148&lt;=$G$111,$G$111)))))))</f>
        <v>120</v>
      </c>
      <c r="AG149" s="154"/>
      <c r="AH149" s="155">
        <f>IF(AE148&lt;=$G$105,$H$105,IF(AE148&lt;=$G$106,$H$106,IF(AE148&lt;=$G$107,$H$107,IF(AE148&lt;=$G$108,$H$108,IF(AE148&lt;=$G$109,$H$109,IF(AE148&lt;=$G$110,$H$110,IF(AE148&lt;=$G$111,$H$111)))))))</f>
        <v>9.9999999999999995E-7</v>
      </c>
    </row>
    <row r="150" spans="1:34" ht="21" thickBot="1">
      <c r="N150" s="140"/>
      <c r="O150" s="151"/>
      <c r="P150" s="941" t="s">
        <v>160</v>
      </c>
      <c r="Q150" s="941"/>
      <c r="R150" s="941"/>
      <c r="S150" s="941"/>
      <c r="T150" s="151"/>
      <c r="U150" s="941" t="s">
        <v>161</v>
      </c>
      <c r="V150" s="941"/>
      <c r="W150" s="941"/>
      <c r="X150" s="941"/>
      <c r="Y150" s="151"/>
    </row>
    <row r="151" spans="1:34" ht="15.6">
      <c r="P151" s="942" t="s">
        <v>175</v>
      </c>
      <c r="Q151" s="943"/>
      <c r="R151" s="943"/>
      <c r="S151" s="944"/>
      <c r="U151" s="942" t="s">
        <v>175</v>
      </c>
      <c r="V151" s="943"/>
      <c r="W151" s="943"/>
      <c r="X151" s="944"/>
    </row>
    <row r="152" spans="1:34" ht="34.799999999999997">
      <c r="A152" s="139" t="s">
        <v>180</v>
      </c>
      <c r="B152" s="139"/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P152" s="15"/>
      <c r="Q152" s="144">
        <f>IF(P153&lt;=$A$105,$A$103,IF(P153&lt;=$A$106,$A$105,IF(P153&lt;=$A$107,$A$106,IF(P153&lt;=$A$108,$A$107,IF(P153&lt;=$A$109,$A$108,IF(P153&lt;=$A$110,$A$109,IF(P153&lt;=$A$111,$A$110)))))))</f>
        <v>180</v>
      </c>
      <c r="R152" s="144"/>
      <c r="S152" s="145">
        <f>IF(P153&lt;=$A$105,$D$103,IF(P153&lt;=$A$106,$D$105,IF(P153&lt;=$A$107,$D$106,IF(P153&lt;=$A$108,$D$107,IF(P153&lt;=$A$109,$D$108,IF(P153&lt;=$A$110,$D$109,IF(P153&lt;=$A$111,$D$110)))))))</f>
        <v>0</v>
      </c>
      <c r="U152" s="15"/>
      <c r="V152" s="144" t="e">
        <f>IF(U153&lt;=$A$105,$A$103,IF(U153&lt;=$A$106,$A$105,IF(U153&lt;=$A$107,$A$106,IF(U153&lt;=$A$108,$A$107,IF(U153&lt;=$A$109,$A$108,IF(U153&lt;=$A$110,$A$109,IF(U153&lt;=$A$111,$A$110)))))))</f>
        <v>#DIV/0!</v>
      </c>
      <c r="W152" s="144"/>
      <c r="X152" s="145" t="e">
        <f>IF(U153&lt;=$A$105,$D$103,IF(U153&lt;=$A$106,$D$105,IF(U153&lt;=$A$107,$D$106,IF(U153&lt;=$A$108,$D$107,IF(U153&lt;=$A$109,$D$108,IF(U153&lt;=$A$110,$D$109,IF(U153&lt;=$A$111,$D$110)))))))</f>
        <v>#DIV/0!</v>
      </c>
      <c r="Z152" s="139"/>
      <c r="AA152" s="139"/>
      <c r="AB152" s="139"/>
      <c r="AC152" s="139"/>
      <c r="AD152" s="151"/>
      <c r="AE152" s="151"/>
      <c r="AF152" s="151"/>
      <c r="AG152" s="151"/>
      <c r="AH152" s="151"/>
    </row>
    <row r="153" spans="1:34" ht="21" customHeight="1" thickBot="1">
      <c r="A153" s="941" t="s">
        <v>153</v>
      </c>
      <c r="B153" s="941"/>
      <c r="C153" s="941"/>
      <c r="D153" s="941"/>
      <c r="E153" s="139"/>
      <c r="F153" s="941" t="s">
        <v>157</v>
      </c>
      <c r="G153" s="941"/>
      <c r="H153" s="941"/>
      <c r="I153" s="941"/>
      <c r="J153" s="139"/>
      <c r="K153" s="140" t="s">
        <v>158</v>
      </c>
      <c r="L153" s="140"/>
      <c r="M153" s="140"/>
      <c r="P153" s="17">
        <f>ID!D89</f>
        <v>210</v>
      </c>
      <c r="Q153" s="144"/>
      <c r="R153" s="146">
        <f>((P153-Q152)/(Q154-Q152)*(S154-S152)+S152)</f>
        <v>0</v>
      </c>
      <c r="S153" s="145"/>
      <c r="U153" s="17" t="e">
        <f>ID!D90</f>
        <v>#DIV/0!</v>
      </c>
      <c r="V153" s="144"/>
      <c r="W153" s="146" t="e">
        <f>((U153-V152)/(V154-V152)*(X154-X152)+X152)</f>
        <v>#DIV/0!</v>
      </c>
      <c r="X153" s="145"/>
      <c r="Z153" s="941" t="s">
        <v>111</v>
      </c>
      <c r="AA153" s="941"/>
      <c r="AB153" s="941"/>
      <c r="AC153" s="941"/>
      <c r="AD153" s="151"/>
      <c r="AE153" s="941">
        <v>150</v>
      </c>
      <c r="AF153" s="941"/>
      <c r="AG153" s="941"/>
      <c r="AH153" s="941"/>
    </row>
    <row r="154" spans="1:34" ht="16.2" thickBot="1">
      <c r="A154" s="942" t="s">
        <v>175</v>
      </c>
      <c r="B154" s="943"/>
      <c r="C154" s="943"/>
      <c r="D154" s="944"/>
      <c r="F154" s="942" t="s">
        <v>175</v>
      </c>
      <c r="G154" s="943"/>
      <c r="H154" s="943"/>
      <c r="I154" s="944"/>
      <c r="J154" s="152"/>
      <c r="K154" s="141" t="s">
        <v>175</v>
      </c>
      <c r="L154" s="142"/>
      <c r="M154" s="142"/>
      <c r="N154" s="143"/>
      <c r="P154" s="153"/>
      <c r="Q154" s="154">
        <f>IF(P153&lt;=$A$105,$A$105,IF(P153&lt;=$A$106,$A$106,IF(P153&lt;=$A$107,$A$107,IF(P153&lt;=$A$108,$A$108,IF(P153&lt;=$A$109,$A$109,IF(P153&lt;=$A$110,$A$110,IF(P153&lt;=$A$111,$A$111)))))))</f>
        <v>210</v>
      </c>
      <c r="R154" s="154"/>
      <c r="S154" s="155">
        <f>IF(P153&lt;=$A$105,$D$105,IF(P153&lt;=$A$106,$D$106,IF(P153&lt;=$A$107,$D$107,IF(P153&lt;=$A$108,$D$108,IF(P153&lt;=$A$109,$D$109,IF(P153&lt;=$A$110,$D$110,IF(P153&lt;=$A$111,$D$111)))))))</f>
        <v>0</v>
      </c>
      <c r="U154" s="153"/>
      <c r="V154" s="154" t="e">
        <f>IF(U153&lt;=$A$105,$A$105,IF(U153&lt;=$A$106,$A$106,IF(U153&lt;=$A$107,$A$107,IF(U153&lt;=$A$108,$A$108,IF(U153&lt;=$A$109,$A$109,IF(U153&lt;=$A$110,$A$110,IF(U153&lt;=$A$111,$A$111)))))))</f>
        <v>#DIV/0!</v>
      </c>
      <c r="W154" s="154"/>
      <c r="X154" s="155" t="e">
        <f>IF(U153&lt;=$A$105,$D$105,IF(U153&lt;=$A$106,$D$106,IF(U153&lt;=$A$107,$D$107,IF(U153&lt;=$A$108,$D$108,IF(U153&lt;=$A$109,$D$109,IF(U153&lt;=$A$110,$D$110,IF(U153&lt;=$A$111,$D$111)))))))</f>
        <v>#DIV/0!</v>
      </c>
      <c r="Z154" s="942" t="s">
        <v>175</v>
      </c>
      <c r="AA154" s="943"/>
      <c r="AB154" s="943"/>
      <c r="AC154" s="944"/>
      <c r="AE154" s="942" t="s">
        <v>175</v>
      </c>
      <c r="AF154" s="943"/>
      <c r="AG154" s="943"/>
      <c r="AH154" s="944"/>
    </row>
    <row r="155" spans="1:34">
      <c r="A155" s="15"/>
      <c r="B155" s="144">
        <f>IF(A156&lt;=$A$105,$A$103,IF(A156&lt;=$A$106,$A$105,IF(A156&lt;=$A$107,$A$106,IF(A156&lt;=$A$108,$A$107,IF(A156&lt;=$A$109,$A$108,IF(A156&lt;=$A$110,$A$109,IF(A156&lt;=$A$111,$A$110)))))))</f>
        <v>0</v>
      </c>
      <c r="C155" s="144"/>
      <c r="D155" s="145">
        <f>IF(A156&lt;=$A$105,$D$103,IF(A156&lt;=$A$106,$D$105,IF(A156&lt;=$A$107,$D$106,IF(A156&lt;=$A$108,$D$107,IF(A156&lt;=$A$109,$D$108,IF(A156&lt;=$A$110,$D$109,IF(A156&lt;=$A$111,$D$110)))))))</f>
        <v>0</v>
      </c>
      <c r="F155" s="15"/>
      <c r="G155" s="144">
        <f>IF(F156&lt;=$A$105,$A$103,IF(F156&lt;=$A$106,$A$105,IF(F156&lt;=$A$107,$A$106,IF(F156&lt;=$A$108,$A$107,IF(F156&lt;=$A$109,$A$108,IF(F156&lt;=$A$110,$A$109,IF(F156&lt;=$A$111,$A$110)))))))</f>
        <v>60</v>
      </c>
      <c r="H155" s="144"/>
      <c r="I155" s="145">
        <f>IF(F156&lt;=$A$105,$D$103,IF(F156&lt;=$A$106,$D$105,IF(F156&lt;=$A$107,$D$106,IF(F156&lt;=$A$108,$D$107,IF(F156&lt;=$A$109,$D$108,IF(F156&lt;=$A$110,$D$109,IF(F156&lt;=$A$111,$D$110)))))))</f>
        <v>0</v>
      </c>
      <c r="J155" s="21"/>
      <c r="K155" s="15"/>
      <c r="L155" s="144">
        <f>IF(K156&lt;=$A$105,$A$103,IF(K156&lt;=$A$106,$A$105,IF(K156&lt;=$A$107,$A$106,IF(K156&lt;=$A$108,$A$107,IF(K156&lt;=$A$109,$A$108,IF(K156&lt;=$A$110,$A$109,IF(K156&lt;=$A$111,$A$110)))))))</f>
        <v>120</v>
      </c>
      <c r="M155" s="144"/>
      <c r="N155" s="145">
        <f>IF(K156&lt;=$A$105,$D$103,IF(K156&lt;=$A$106,$D$105,IF(K156&lt;=$A$107,$D$106,IF(K156&lt;=$A$108,$D$107,IF(K156&lt;=$A$109,$D$108,IF(K156&lt;=$A$110,$D$109,IF(K156&lt;=$A$111,$D$110)))))))</f>
        <v>0</v>
      </c>
      <c r="Z155" s="15"/>
      <c r="AA155" s="144">
        <f>IF(Z156&lt;=$A$105,$A$103,IF(Z156&lt;=$A$106,$A$105,IF(Z156&lt;=$A$107,$A$106,IF(Z156&lt;=$A$108,$A$107,IF(Z156&lt;=$A$109,$A$108,IF(Z156&lt;=$A$110,$A$109,IF(Z156&lt;=$A$111,$A$110)))))))</f>
        <v>0</v>
      </c>
      <c r="AB155" s="144"/>
      <c r="AC155" s="145">
        <f>IF(Z156&lt;=$A$105,$D$103,IF(Z156&lt;=$A$106,$D$105,IF(Z156&lt;=$A$107,$D$106,IF(Z156&lt;=$A$108,$D$107,IF(Z156&lt;=$A$109,$D$108,IF(Z156&lt;=$A$110,$D$109,IF(Z156&lt;=$A$111,$D$110)))))))</f>
        <v>0</v>
      </c>
      <c r="AE155" s="15"/>
      <c r="AF155" s="144">
        <f>IF(AE156&lt;=$A$105,$A$103,IF(AE156&lt;=$A$106,$A$105,IF(AE156&lt;=$A$107,$A$106,IF(AE156&lt;=$A$108,$A$107,IF(AE156&lt;=$A$109,$A$108,IF(AE156&lt;=$A$110,$A$109,IF(AE156&lt;=$A$111,$A$110)))))))</f>
        <v>150</v>
      </c>
      <c r="AG155" s="144"/>
      <c r="AH155" s="145">
        <f>IF(AE156&lt;=$A$105,$D$103,IF(AE156&lt;=$A$106,$D$105,IF(AE156&lt;=$A$107,$D$106,IF(AE156&lt;=$A$108,$D$107,IF(AE156&lt;=$A$109,$D$108,IF(AE156&lt;=$A$110,$D$109,IF(AE156&lt;=$A$111,$D$110)))))))</f>
        <v>0</v>
      </c>
    </row>
    <row r="156" spans="1:34">
      <c r="A156" s="17">
        <f>ID!D84</f>
        <v>60</v>
      </c>
      <c r="B156" s="144"/>
      <c r="C156" s="146">
        <f>((A156-B155)/(B157-B155)*(D157-D155)+D155)</f>
        <v>0</v>
      </c>
      <c r="D156" s="145"/>
      <c r="F156" s="17">
        <f>ID!D85</f>
        <v>90</v>
      </c>
      <c r="G156" s="144"/>
      <c r="H156" s="146">
        <f>((F156-G155)/(G157-G155)*(I157-I155)+I155)</f>
        <v>0</v>
      </c>
      <c r="I156" s="145"/>
      <c r="J156" s="21"/>
      <c r="K156" s="17">
        <f>ID!D87</f>
        <v>150</v>
      </c>
      <c r="L156" s="144"/>
      <c r="M156" s="146">
        <f>((K156-L155)/(L157-L155)*(N157-N155)+N155)</f>
        <v>0</v>
      </c>
      <c r="N156" s="145"/>
      <c r="Z156" s="17">
        <f>ID!D83</f>
        <v>30</v>
      </c>
      <c r="AA156" s="144"/>
      <c r="AB156" s="146">
        <f>((Z156-AA155)/(AA157-AA155)*(AC157-AC155)+AC155)</f>
        <v>0</v>
      </c>
      <c r="AC156" s="145"/>
      <c r="AE156" s="17">
        <f>ID!D88</f>
        <v>180</v>
      </c>
      <c r="AF156" s="144"/>
      <c r="AG156" s="146">
        <f>((AE156-AF155)/(AF157-AF155)*(AH157-AH155)+AH155)</f>
        <v>0</v>
      </c>
      <c r="AH156" s="145"/>
    </row>
    <row r="157" spans="1:34" ht="13.8" thickBot="1">
      <c r="A157" s="153"/>
      <c r="B157" s="154">
        <f>IF(A156&lt;=$A$105,$A$105,IF(A156&lt;=$A$106,$A$106,IF(A156&lt;=$A$107,$A$107,IF(A156&lt;=$A$108,$A$108,IF(A156&lt;=$A$109,$A$109,IF(A156&lt;=$A$110,$A$110,IF(A156&lt;=$A$111,$A$111)))))))</f>
        <v>60</v>
      </c>
      <c r="C157" s="154"/>
      <c r="D157" s="155">
        <f>IF(A156&lt;=$A$105,$D$105,IF(A156&lt;=$A$106,$D$106,IF(A156&lt;=$A$107,$D$107,IF(A156&lt;=$A$108,$D$108,IF(A156&lt;=$A$109,$D$109,IF(A156&lt;=$A$110,$D$110,IF(A156&lt;=$A$111,$D$111)))))))</f>
        <v>0</v>
      </c>
      <c r="F157" s="153"/>
      <c r="G157" s="154">
        <f>IF(F156&lt;=$A$105,$A$105,IF(F156&lt;=$A$106,$A$106,IF(F156&lt;=$A$107,$A$107,IF(F156&lt;=$A$108,$A$108,IF(F156&lt;=$A$109,$A$109,IF(F156&lt;=$A$110,$A$110,IF(F156&lt;=$A$111,$A$111)))))))</f>
        <v>90</v>
      </c>
      <c r="H157" s="154"/>
      <c r="I157" s="155">
        <f>IF(F156&lt;=$A$105,$D$105,IF(F156&lt;=$A$106,$D$106,IF(F156&lt;=$A$107,$D$107,IF(F156&lt;=$A$108,$D$108,IF(F156&lt;=$A$109,$D$109,IF(F156&lt;=$A$110,$D$110,IF(F156&lt;=$A$111,$D$111)))))))</f>
        <v>0</v>
      </c>
      <c r="J157" s="21"/>
      <c r="K157" s="153"/>
      <c r="L157" s="154">
        <f>IF(K156&lt;=$A$105,$A$105,IF(K156&lt;=$A$106,$A$106,IF(K156&lt;=$A$107,$A$107,IF(K156&lt;=$A$108,$A$108,IF(K156&lt;=$A$109,$A$109,IF(K156&lt;=$A$110,$A$110,IF(K156&lt;=$A$111,$A$111)))))))</f>
        <v>150</v>
      </c>
      <c r="M157" s="154"/>
      <c r="N157" s="155">
        <f>IF(K156&lt;=$A$105,$D$105,IF(K156&lt;=$A$106,$D$106,IF(K156&lt;=$A$107,$D$107,IF(K156&lt;=$A$108,$D$108,IF(K156&lt;=$A$109,$D$109,IF(K156&lt;=$A$110,$D$110,IF(K156&lt;=$A$111,$D$111)))))))</f>
        <v>0</v>
      </c>
      <c r="Z157" s="153"/>
      <c r="AA157" s="154">
        <f>IF(Z156&lt;=$A$105,$A$105,IF(Z156&lt;=$A$106,$A$106,IF(Z156&lt;=$A$107,$A$107,IF(Z156&lt;=$A$108,$A$108,IF(Z156&lt;=$A$109,$A$109,IF(Z156&lt;=$A$110,$A$110,IF(Z156&lt;=$A$111,$A$111)))))))</f>
        <v>60</v>
      </c>
      <c r="AB157" s="154"/>
      <c r="AC157" s="155">
        <f>IF(Z156&lt;=$A$105,$D$105,IF(Z156&lt;=$A$106,$D$106,IF(Z156&lt;=$A$107,$D$107,IF(Z156&lt;=$A$108,$D$108,IF(Z156&lt;=$A$109,$D$109,IF(Z156&lt;=$A$110,$D$110,IF(Z156&lt;=$A$111,$D$111)))))))</f>
        <v>0</v>
      </c>
      <c r="AE157" s="153"/>
      <c r="AF157" s="154">
        <f>IF(AE156&lt;=$A$105,$A$105,IF(AE156&lt;=$A$106,$A$106,IF(AE156&lt;=$A$107,$A$107,IF(AE156&lt;=$A$108,$A$108,IF(AE156&lt;=$A$109,$A$109,IF(AE156&lt;=$A$110,$A$110,IF(AE156&lt;=$A$111,$A$111)))))))</f>
        <v>180</v>
      </c>
      <c r="AG157" s="154"/>
      <c r="AH157" s="155">
        <f>IF(AE156&lt;=$A$105,$D$105,IF(AE156&lt;=$A$106,$D$106,IF(AE156&lt;=$A$107,$D$107,IF(AE156&lt;=$A$108,$D$108,IF(AE156&lt;=$A$109,$D$109,IF(AE156&lt;=$A$110,$D$110,IF(AE156&lt;=$A$111,$D$111)))))))</f>
        <v>0</v>
      </c>
    </row>
  </sheetData>
  <sheetProtection algorithmName="SHA-512" hashValue="Grrk6gJdcMCVR24hn8Utvx8EZivi4bB4qM+HcR2oZhuo4F9zzjt+1O3+/iGKHpHIIu8BfKLq7TRuH4NnIkwz9A==" saltValue="A2DUaXd/nLesDQS61wf+0Q==" spinCount="100000" sheet="1" objects="1" scenarios="1"/>
  <mergeCells count="171">
    <mergeCell ref="N71:V71"/>
    <mergeCell ref="N74:O74"/>
    <mergeCell ref="N75:O75"/>
    <mergeCell ref="N81:V81"/>
    <mergeCell ref="N82:V82"/>
    <mergeCell ref="N83:V83"/>
    <mergeCell ref="N84:V84"/>
    <mergeCell ref="N85:V85"/>
    <mergeCell ref="N88:O88"/>
    <mergeCell ref="N55:V55"/>
    <mergeCell ref="N56:V56"/>
    <mergeCell ref="N57:V57"/>
    <mergeCell ref="N60:O60"/>
    <mergeCell ref="N61:O61"/>
    <mergeCell ref="N67:V67"/>
    <mergeCell ref="N68:V68"/>
    <mergeCell ref="N69:V69"/>
    <mergeCell ref="N70:V70"/>
    <mergeCell ref="N39:V39"/>
    <mergeCell ref="N40:V40"/>
    <mergeCell ref="N41:V41"/>
    <mergeCell ref="N42:V42"/>
    <mergeCell ref="N43:V43"/>
    <mergeCell ref="N46:O46"/>
    <mergeCell ref="N47:O47"/>
    <mergeCell ref="N53:V53"/>
    <mergeCell ref="N54:V54"/>
    <mergeCell ref="A154:D154"/>
    <mergeCell ref="F154:I154"/>
    <mergeCell ref="P151:S151"/>
    <mergeCell ref="U151:X151"/>
    <mergeCell ref="Z154:AC154"/>
    <mergeCell ref="AE154:AH154"/>
    <mergeCell ref="A101:A102"/>
    <mergeCell ref="A114:A115"/>
    <mergeCell ref="B114:B115"/>
    <mergeCell ref="M114:M115"/>
    <mergeCell ref="A146:D146"/>
    <mergeCell ref="F146:I146"/>
    <mergeCell ref="P143:S143"/>
    <mergeCell ref="U143:X143"/>
    <mergeCell ref="Z146:AC146"/>
    <mergeCell ref="AE146:AH146"/>
    <mergeCell ref="A153:D153"/>
    <mergeCell ref="F153:I153"/>
    <mergeCell ref="P150:S150"/>
    <mergeCell ref="U150:X150"/>
    <mergeCell ref="Z153:AC153"/>
    <mergeCell ref="AE153:AH153"/>
    <mergeCell ref="A136:D136"/>
    <mergeCell ref="F136:I136"/>
    <mergeCell ref="P133:S133"/>
    <mergeCell ref="U133:X133"/>
    <mergeCell ref="Z136:AC136"/>
    <mergeCell ref="AE136:AH136"/>
    <mergeCell ref="A141:D141"/>
    <mergeCell ref="F141:I141"/>
    <mergeCell ref="P138:S138"/>
    <mergeCell ref="U138:X138"/>
    <mergeCell ref="Z141:AC141"/>
    <mergeCell ref="AE141:AH141"/>
    <mergeCell ref="A126:D126"/>
    <mergeCell ref="F126:I126"/>
    <mergeCell ref="P123:S123"/>
    <mergeCell ref="U123:X123"/>
    <mergeCell ref="Z126:AC126"/>
    <mergeCell ref="AE126:AH126"/>
    <mergeCell ref="A131:D131"/>
    <mergeCell ref="F131:I131"/>
    <mergeCell ref="P128:S128"/>
    <mergeCell ref="U128:X128"/>
    <mergeCell ref="Z131:AC131"/>
    <mergeCell ref="AE131:AH131"/>
    <mergeCell ref="Z125:AC125"/>
    <mergeCell ref="A84:F84"/>
    <mergeCell ref="G84:I84"/>
    <mergeCell ref="A85:F85"/>
    <mergeCell ref="G85:I85"/>
    <mergeCell ref="B88:E88"/>
    <mergeCell ref="G90:J90"/>
    <mergeCell ref="G94:J94"/>
    <mergeCell ref="AE125:AH125"/>
    <mergeCell ref="A125:D125"/>
    <mergeCell ref="F125:I125"/>
    <mergeCell ref="P122:S122"/>
    <mergeCell ref="U122:X122"/>
    <mergeCell ref="N89:O89"/>
    <mergeCell ref="N95:V95"/>
    <mergeCell ref="N96:V96"/>
    <mergeCell ref="N97:V97"/>
    <mergeCell ref="N98:V98"/>
    <mergeCell ref="N99:V99"/>
    <mergeCell ref="A82:F82"/>
    <mergeCell ref="G82:I82"/>
    <mergeCell ref="B101:D101"/>
    <mergeCell ref="G101:H101"/>
    <mergeCell ref="A83:F83"/>
    <mergeCell ref="A58:F58"/>
    <mergeCell ref="G58:I58"/>
    <mergeCell ref="A59:F59"/>
    <mergeCell ref="G59:I59"/>
    <mergeCell ref="A60:F60"/>
    <mergeCell ref="G60:I60"/>
    <mergeCell ref="A61:F61"/>
    <mergeCell ref="G61:I61"/>
    <mergeCell ref="A69:I69"/>
    <mergeCell ref="A70:F70"/>
    <mergeCell ref="G70:I70"/>
    <mergeCell ref="A71:F71"/>
    <mergeCell ref="G71:I71"/>
    <mergeCell ref="A72:F72"/>
    <mergeCell ref="G72:I72"/>
    <mergeCell ref="A73:F73"/>
    <mergeCell ref="G73:I73"/>
    <mergeCell ref="A81:I81"/>
    <mergeCell ref="G83:I83"/>
    <mergeCell ref="A46:F46"/>
    <mergeCell ref="G46:I46"/>
    <mergeCell ref="A47:F47"/>
    <mergeCell ref="G47:I47"/>
    <mergeCell ref="A48:F48"/>
    <mergeCell ref="G48:I48"/>
    <mergeCell ref="A49:F49"/>
    <mergeCell ref="G49:I49"/>
    <mergeCell ref="A57:I57"/>
    <mergeCell ref="A34:F34"/>
    <mergeCell ref="G34:I34"/>
    <mergeCell ref="A35:F35"/>
    <mergeCell ref="G35:I35"/>
    <mergeCell ref="A36:F36"/>
    <mergeCell ref="G36:I36"/>
    <mergeCell ref="A37:F37"/>
    <mergeCell ref="G37:I37"/>
    <mergeCell ref="A45:I45"/>
    <mergeCell ref="N26:V26"/>
    <mergeCell ref="N27:V27"/>
    <mergeCell ref="N28:V28"/>
    <mergeCell ref="N29:V29"/>
    <mergeCell ref="N32:O32"/>
    <mergeCell ref="N33:O33"/>
    <mergeCell ref="A13:F13"/>
    <mergeCell ref="G13:I13"/>
    <mergeCell ref="A23:F23"/>
    <mergeCell ref="G23:I23"/>
    <mergeCell ref="A24:F24"/>
    <mergeCell ref="G24:I24"/>
    <mergeCell ref="A25:F25"/>
    <mergeCell ref="G25:I25"/>
    <mergeCell ref="A33:I33"/>
    <mergeCell ref="N13:V13"/>
    <mergeCell ref="N14:V14"/>
    <mergeCell ref="N15:V15"/>
    <mergeCell ref="A21:I21"/>
    <mergeCell ref="A22:F22"/>
    <mergeCell ref="G22:I22"/>
    <mergeCell ref="N18:O18"/>
    <mergeCell ref="N19:O19"/>
    <mergeCell ref="N25:V25"/>
    <mergeCell ref="A1:L1"/>
    <mergeCell ref="N4:O4"/>
    <mergeCell ref="N5:O5"/>
    <mergeCell ref="A9:I9"/>
    <mergeCell ref="A10:F10"/>
    <mergeCell ref="G10:I10"/>
    <mergeCell ref="A11:F11"/>
    <mergeCell ref="G11:I11"/>
    <mergeCell ref="A12:F12"/>
    <mergeCell ref="G12:I12"/>
    <mergeCell ref="N2:Y2"/>
    <mergeCell ref="N11:V11"/>
    <mergeCell ref="N12:V12"/>
  </mergeCells>
  <printOptions horizontalCentered="1"/>
  <pageMargins left="0.69930555555555596" right="0.69930555555555596" top="0.75" bottom="0.75" header="0.3" footer="0.3"/>
  <pageSetup paperSize="9" scale="75" orientation="portrait" r:id="rId1"/>
  <headerFooter>
    <oddHeader xml:space="preserve">&amp;R&amp;"Times New Roman,Regular"&amp;9OA.024-18 </oddHeader>
  </headerFooter>
  <rowBreaks count="3" manualBreakCount="3">
    <brk id="38" max="11" man="1"/>
    <brk id="86" max="33" man="1"/>
    <brk id="151" max="3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E116"/>
  <sheetViews>
    <sheetView tabSelected="1" view="pageBreakPreview" topLeftCell="A27" zoomScale="80" zoomScaleNormal="100" zoomScaleSheetLayoutView="80" workbookViewId="0">
      <selection activeCell="L38" sqref="L38"/>
    </sheetView>
  </sheetViews>
  <sheetFormatPr defaultColWidth="9.109375" defaultRowHeight="13.8"/>
  <cols>
    <col min="1" max="1" width="4.88671875" style="158" customWidth="1"/>
    <col min="2" max="2" width="3.5546875" style="158" customWidth="1"/>
    <col min="3" max="3" width="18.109375" style="158" customWidth="1"/>
    <col min="4" max="4" width="9.33203125" style="158" customWidth="1"/>
    <col min="5" max="5" width="6.44140625" style="159" customWidth="1"/>
    <col min="6" max="6" width="9.6640625" style="158" customWidth="1"/>
    <col min="7" max="7" width="6.6640625" style="158" customWidth="1"/>
    <col min="8" max="8" width="7" style="158" customWidth="1"/>
    <col min="9" max="9" width="7.109375" style="158" customWidth="1"/>
    <col min="10" max="10" width="18.109375" style="158" customWidth="1"/>
    <col min="11" max="11" width="17.6640625" style="158" customWidth="1"/>
    <col min="12" max="12" width="22.33203125" style="158" customWidth="1"/>
    <col min="13" max="13" width="15.6640625" style="158" customWidth="1"/>
    <col min="14" max="14" width="9.109375" style="160"/>
    <col min="15" max="15" width="28.109375" style="160" customWidth="1"/>
    <col min="16" max="16" width="9.109375" style="158"/>
    <col min="17" max="17" width="14.88671875" style="158" customWidth="1"/>
    <col min="18" max="21" width="9.109375" style="158"/>
    <col min="22" max="22" width="30.44140625" style="158" customWidth="1"/>
    <col min="23" max="23" width="19.6640625" style="158" customWidth="1"/>
    <col min="24" max="24" width="17" style="158" customWidth="1"/>
    <col min="25" max="25" width="27" style="158" customWidth="1"/>
    <col min="26" max="26" width="18.109375" style="158" customWidth="1"/>
    <col min="27" max="27" width="18.44140625" style="158" customWidth="1"/>
    <col min="28" max="16384" width="9.109375" style="158"/>
  </cols>
  <sheetData>
    <row r="1" spans="1:16" ht="17.399999999999999">
      <c r="A1" s="968" t="s">
        <v>373</v>
      </c>
      <c r="B1" s="968"/>
      <c r="C1" s="968"/>
      <c r="D1" s="968"/>
      <c r="E1" s="968"/>
      <c r="F1" s="968"/>
      <c r="G1" s="968"/>
      <c r="H1" s="968"/>
      <c r="I1" s="968"/>
      <c r="J1" s="968"/>
      <c r="K1" s="968"/>
      <c r="L1" s="968"/>
      <c r="M1" s="189"/>
    </row>
    <row r="2" spans="1:16" ht="15">
      <c r="A2" s="541"/>
      <c r="B2" s="541"/>
      <c r="C2" s="541"/>
      <c r="D2" s="541"/>
      <c r="E2" s="541"/>
      <c r="F2" s="541"/>
      <c r="G2" s="542"/>
      <c r="H2" s="614" t="str">
        <f>IF(Penyelia!R60&gt;=70,kesimpulan!D12,kesimpulan!D13)</f>
        <v>Nomor Sertifikat : 18 /</v>
      </c>
      <c r="I2" s="543" t="s">
        <v>511</v>
      </c>
      <c r="J2" s="544"/>
      <c r="K2" s="544"/>
      <c r="L2" s="541"/>
      <c r="M2" s="160"/>
    </row>
    <row r="3" spans="1:16">
      <c r="A3" s="762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</row>
    <row r="4" spans="1:16">
      <c r="A4" s="161" t="s">
        <v>1</v>
      </c>
      <c r="C4" s="160"/>
      <c r="D4" s="162" t="s">
        <v>15</v>
      </c>
      <c r="E4" s="771" t="s">
        <v>345</v>
      </c>
      <c r="F4" s="163"/>
      <c r="G4" s="163"/>
      <c r="H4" s="160"/>
      <c r="I4" s="160"/>
      <c r="J4" s="160"/>
      <c r="K4" s="160"/>
      <c r="L4" s="160"/>
      <c r="M4" s="160"/>
    </row>
    <row r="5" spans="1:16">
      <c r="A5" s="161" t="s">
        <v>3</v>
      </c>
      <c r="C5" s="160"/>
      <c r="D5" s="162" t="s">
        <v>15</v>
      </c>
      <c r="E5" s="771" t="s">
        <v>346</v>
      </c>
      <c r="F5" s="163"/>
      <c r="G5" s="163"/>
      <c r="H5" s="160"/>
      <c r="I5" s="160"/>
      <c r="J5" s="160"/>
      <c r="K5" s="160"/>
      <c r="L5" s="160"/>
      <c r="M5" s="160"/>
    </row>
    <row r="6" spans="1:16">
      <c r="A6" s="161" t="s">
        <v>4</v>
      </c>
      <c r="C6" s="160"/>
      <c r="D6" s="162" t="s">
        <v>15</v>
      </c>
      <c r="E6" s="771" t="s">
        <v>347</v>
      </c>
      <c r="F6" s="163"/>
      <c r="G6" s="163"/>
      <c r="H6" s="160"/>
      <c r="I6" s="160"/>
      <c r="J6" s="160"/>
      <c r="K6" s="160"/>
      <c r="L6" s="160"/>
      <c r="M6" s="160"/>
    </row>
    <row r="7" spans="1:16">
      <c r="A7" s="161" t="s">
        <v>5</v>
      </c>
      <c r="C7" s="160"/>
      <c r="D7" s="162" t="s">
        <v>15</v>
      </c>
      <c r="E7" s="771">
        <v>1</v>
      </c>
      <c r="F7" s="164" t="s">
        <v>65</v>
      </c>
      <c r="G7" s="160"/>
      <c r="H7" s="160"/>
      <c r="I7" s="160"/>
      <c r="J7" s="160"/>
      <c r="K7" s="160"/>
      <c r="L7" s="160"/>
      <c r="M7" s="160"/>
    </row>
    <row r="8" spans="1:16">
      <c r="A8" s="161" t="s">
        <v>468</v>
      </c>
      <c r="C8" s="160"/>
      <c r="D8" s="162" t="s">
        <v>15</v>
      </c>
      <c r="E8" s="947">
        <v>44624</v>
      </c>
      <c r="F8" s="947"/>
      <c r="G8" s="160"/>
      <c r="H8" s="160"/>
      <c r="I8" s="160"/>
      <c r="J8" s="160"/>
      <c r="K8" s="160"/>
      <c r="L8" s="160"/>
      <c r="M8" s="160"/>
    </row>
    <row r="9" spans="1:16">
      <c r="A9" s="161" t="s">
        <v>371</v>
      </c>
      <c r="D9" s="162" t="s">
        <v>15</v>
      </c>
      <c r="E9" s="947">
        <v>44625</v>
      </c>
      <c r="F9" s="947"/>
      <c r="G9" s="165"/>
      <c r="H9" s="762"/>
      <c r="I9" s="160"/>
      <c r="J9" s="160"/>
      <c r="K9" s="160"/>
      <c r="L9" s="160"/>
      <c r="M9" s="160"/>
    </row>
    <row r="10" spans="1:16">
      <c r="A10" s="161" t="s">
        <v>372</v>
      </c>
      <c r="C10" s="160"/>
      <c r="D10" s="162" t="s">
        <v>15</v>
      </c>
      <c r="E10" s="771" t="s">
        <v>348</v>
      </c>
      <c r="F10" s="166"/>
      <c r="G10" s="165"/>
      <c r="H10" s="165"/>
      <c r="I10" s="163"/>
      <c r="J10" s="163"/>
      <c r="K10" s="160"/>
      <c r="L10" s="160"/>
      <c r="M10" s="160"/>
    </row>
    <row r="11" spans="1:16">
      <c r="A11" s="161" t="s">
        <v>6</v>
      </c>
      <c r="C11" s="160"/>
      <c r="D11" s="162" t="s">
        <v>15</v>
      </c>
      <c r="E11" s="771" t="s">
        <v>348</v>
      </c>
      <c r="F11" s="163"/>
      <c r="G11" s="163"/>
      <c r="H11" s="163"/>
      <c r="I11" s="163"/>
      <c r="J11" s="163"/>
      <c r="K11" s="160"/>
      <c r="L11" s="160"/>
      <c r="M11" s="160"/>
    </row>
    <row r="12" spans="1:16">
      <c r="A12" s="161" t="s">
        <v>66</v>
      </c>
      <c r="C12" s="160"/>
      <c r="D12" s="162" t="s">
        <v>15</v>
      </c>
      <c r="E12" s="240" t="s">
        <v>67</v>
      </c>
      <c r="F12" s="164"/>
      <c r="G12" s="164"/>
      <c r="H12" s="164"/>
      <c r="I12" s="160"/>
      <c r="J12" s="160"/>
      <c r="K12" s="160"/>
      <c r="L12" s="160"/>
      <c r="M12" s="160"/>
    </row>
    <row r="13" spans="1:16" ht="13.5" customHeight="1">
      <c r="A13" s="160"/>
      <c r="B13" s="160"/>
      <c r="C13" s="160"/>
      <c r="D13" s="160"/>
      <c r="E13" s="164"/>
      <c r="F13" s="160"/>
      <c r="G13" s="160"/>
      <c r="H13" s="160"/>
      <c r="I13" s="160"/>
      <c r="J13" s="160"/>
      <c r="K13" s="160"/>
      <c r="L13" s="160"/>
      <c r="M13" s="160"/>
    </row>
    <row r="14" spans="1:16">
      <c r="A14" s="167" t="s">
        <v>68</v>
      </c>
      <c r="B14" s="168" t="s">
        <v>332</v>
      </c>
      <c r="C14" s="160"/>
      <c r="D14" s="168"/>
      <c r="E14" s="158"/>
      <c r="G14" s="160"/>
      <c r="H14" s="160"/>
      <c r="I14" s="160"/>
      <c r="J14" s="190"/>
      <c r="K14" s="168"/>
      <c r="L14" s="168"/>
      <c r="M14" s="160"/>
      <c r="N14" s="761" t="s">
        <v>69</v>
      </c>
      <c r="O14" s="953"/>
      <c r="P14" s="953"/>
    </row>
    <row r="15" spans="1:16">
      <c r="A15" s="167"/>
      <c r="B15" s="168"/>
      <c r="C15" s="160"/>
      <c r="D15" s="168"/>
      <c r="E15" s="169" t="s">
        <v>8</v>
      </c>
      <c r="F15" s="765" t="s">
        <v>9</v>
      </c>
      <c r="G15" s="160"/>
      <c r="H15" s="160"/>
      <c r="I15" s="160"/>
      <c r="J15" s="190"/>
      <c r="K15" s="168"/>
      <c r="L15" s="168"/>
      <c r="M15" s="160"/>
      <c r="N15" s="761"/>
      <c r="O15" s="761"/>
      <c r="P15" s="761"/>
    </row>
    <row r="16" spans="1:16" ht="16.2">
      <c r="A16" s="160"/>
      <c r="B16" s="160" t="s">
        <v>70</v>
      </c>
      <c r="C16" s="160"/>
      <c r="D16" s="162" t="s">
        <v>15</v>
      </c>
      <c r="E16" s="170">
        <v>24</v>
      </c>
      <c r="F16" s="170">
        <v>25</v>
      </c>
      <c r="G16" s="160" t="s">
        <v>71</v>
      </c>
      <c r="H16" s="160"/>
      <c r="I16" s="160"/>
      <c r="J16" s="191" t="s">
        <v>521</v>
      </c>
      <c r="K16" s="160"/>
      <c r="L16" s="160"/>
      <c r="M16" s="160"/>
      <c r="N16" s="172">
        <f>AVERAGE(E16:F16)</f>
        <v>24.5</v>
      </c>
      <c r="O16" s="173"/>
      <c r="P16" s="173"/>
    </row>
    <row r="17" spans="1:18">
      <c r="A17" s="160"/>
      <c r="B17" s="160" t="s">
        <v>72</v>
      </c>
      <c r="C17" s="160"/>
      <c r="D17" s="162" t="s">
        <v>15</v>
      </c>
      <c r="E17" s="170">
        <v>79</v>
      </c>
      <c r="F17" s="170">
        <v>80</v>
      </c>
      <c r="G17" s="160" t="s">
        <v>73</v>
      </c>
      <c r="H17" s="160"/>
      <c r="I17" s="160"/>
      <c r="J17" s="192" t="s">
        <v>13</v>
      </c>
      <c r="K17" s="160"/>
      <c r="L17" s="160"/>
      <c r="M17" s="160"/>
      <c r="N17" s="172">
        <f>AVERAGE(E17:F17)</f>
        <v>79.5</v>
      </c>
      <c r="O17" s="173"/>
      <c r="P17" s="173"/>
    </row>
    <row r="18" spans="1:18">
      <c r="A18" s="160"/>
      <c r="B18" s="160" t="s">
        <v>74</v>
      </c>
      <c r="C18" s="160"/>
      <c r="D18" s="162" t="s">
        <v>15</v>
      </c>
      <c r="E18" s="554" t="s">
        <v>171</v>
      </c>
      <c r="F18" s="171" t="s">
        <v>16</v>
      </c>
      <c r="G18" s="172"/>
      <c r="H18" s="173"/>
      <c r="I18" s="173"/>
      <c r="J18" s="192"/>
      <c r="K18" s="160"/>
      <c r="L18" s="160"/>
      <c r="M18" s="160"/>
    </row>
    <row r="19" spans="1:18" ht="13.5" customHeight="1">
      <c r="A19" s="160"/>
      <c r="B19" s="160"/>
      <c r="C19" s="160"/>
      <c r="D19" s="160"/>
      <c r="E19" s="164"/>
      <c r="F19" s="160"/>
      <c r="G19" s="160"/>
      <c r="H19" s="160"/>
      <c r="I19" s="160"/>
      <c r="J19" s="160"/>
      <c r="K19" s="160"/>
      <c r="L19" s="160"/>
      <c r="M19" s="160"/>
    </row>
    <row r="20" spans="1:18">
      <c r="A20" s="167" t="s">
        <v>75</v>
      </c>
      <c r="B20" s="168" t="s">
        <v>333</v>
      </c>
      <c r="C20" s="160"/>
      <c r="D20" s="168"/>
      <c r="E20" s="174"/>
      <c r="F20" s="168"/>
      <c r="G20" s="168"/>
      <c r="H20" s="168"/>
      <c r="I20" s="168"/>
      <c r="J20" s="168"/>
      <c r="K20" s="160"/>
      <c r="L20" s="160"/>
      <c r="M20" s="160"/>
    </row>
    <row r="21" spans="1:18">
      <c r="A21" s="160"/>
      <c r="B21" s="160" t="str">
        <f>'Lembar Kerja'!B22</f>
        <v>1. Fisik</v>
      </c>
      <c r="C21" s="160"/>
      <c r="D21" s="162" t="s">
        <v>15</v>
      </c>
      <c r="E21" s="771" t="s">
        <v>76</v>
      </c>
      <c r="F21" s="160"/>
      <c r="G21" s="160"/>
      <c r="H21" s="160"/>
      <c r="I21" s="160"/>
      <c r="J21" s="160"/>
      <c r="K21" s="160"/>
      <c r="L21" s="160"/>
      <c r="M21" s="160"/>
    </row>
    <row r="22" spans="1:18">
      <c r="A22" s="160"/>
      <c r="B22" s="160" t="str">
        <f>'Lembar Kerja'!B23</f>
        <v>2. Fungsi</v>
      </c>
      <c r="C22" s="160"/>
      <c r="D22" s="162" t="s">
        <v>15</v>
      </c>
      <c r="E22" s="771" t="s">
        <v>76</v>
      </c>
      <c r="F22" s="160"/>
      <c r="G22" s="160"/>
      <c r="H22" s="160"/>
      <c r="I22" s="160"/>
      <c r="J22" s="160"/>
      <c r="K22" s="160"/>
      <c r="L22" s="160"/>
      <c r="M22" s="160"/>
    </row>
    <row r="23" spans="1:18" ht="13.5" customHeight="1">
      <c r="A23" s="954"/>
      <c r="B23" s="954"/>
      <c r="C23" s="954"/>
      <c r="D23" s="954"/>
      <c r="E23" s="954"/>
      <c r="F23" s="954"/>
      <c r="G23" s="954"/>
      <c r="H23" s="954"/>
      <c r="I23" s="954"/>
      <c r="J23" s="160"/>
      <c r="K23" s="160"/>
      <c r="L23" s="160"/>
      <c r="M23" s="160"/>
    </row>
    <row r="24" spans="1:18" ht="18" customHeight="1">
      <c r="A24" s="167" t="s">
        <v>23</v>
      </c>
      <c r="B24" s="175" t="s">
        <v>331</v>
      </c>
      <c r="C24" s="161"/>
      <c r="D24" s="161"/>
      <c r="E24" s="161"/>
      <c r="F24" s="176"/>
      <c r="G24" s="177"/>
      <c r="H24" s="178"/>
      <c r="I24" s="161"/>
      <c r="J24" s="161"/>
      <c r="K24" s="161"/>
      <c r="L24" s="160"/>
      <c r="M24" s="160"/>
    </row>
    <row r="25" spans="1:18" ht="16.5" customHeight="1">
      <c r="A25" s="160"/>
      <c r="B25" s="959" t="s">
        <v>24</v>
      </c>
      <c r="C25" s="959" t="s">
        <v>25</v>
      </c>
      <c r="D25" s="959"/>
      <c r="E25" s="959"/>
      <c r="F25" s="959"/>
      <c r="G25" s="959"/>
      <c r="H25" s="959"/>
      <c r="I25" s="969" t="s">
        <v>26</v>
      </c>
      <c r="J25" s="970"/>
      <c r="K25" s="904" t="s">
        <v>27</v>
      </c>
      <c r="L25" s="904"/>
      <c r="M25" s="194"/>
    </row>
    <row r="26" spans="1:18" ht="15.75" customHeight="1">
      <c r="A26" s="160"/>
      <c r="B26" s="959"/>
      <c r="C26" s="959"/>
      <c r="D26" s="959"/>
      <c r="E26" s="959"/>
      <c r="F26" s="959"/>
      <c r="G26" s="959"/>
      <c r="H26" s="959"/>
      <c r="I26" s="971"/>
      <c r="J26" s="972"/>
      <c r="K26" s="904"/>
      <c r="L26" s="904"/>
      <c r="M26" s="194"/>
    </row>
    <row r="27" spans="1:18" ht="15.75" customHeight="1">
      <c r="A27" s="160"/>
      <c r="B27" s="179">
        <v>1</v>
      </c>
      <c r="C27" s="955" t="str">
        <f>'Lembar Kerja'!C28</f>
        <v xml:space="preserve">Resistansi isolasi </v>
      </c>
      <c r="D27" s="956"/>
      <c r="E27" s="956"/>
      <c r="F27" s="956"/>
      <c r="G27" s="956"/>
      <c r="H27" s="957"/>
      <c r="I27" s="756" t="s">
        <v>171</v>
      </c>
      <c r="J27" s="763" t="str">
        <f>'Lembar Kerja'!J28</f>
        <v>MΩ</v>
      </c>
      <c r="K27" s="958" t="str">
        <f>'Lembar Kerja'!K28</f>
        <v xml:space="preserve">&gt; 2 MΩ
</v>
      </c>
      <c r="L27" s="958"/>
      <c r="M27" s="951"/>
      <c r="Q27" s="158" t="s">
        <v>514</v>
      </c>
      <c r="R27" s="158">
        <v>500</v>
      </c>
    </row>
    <row r="28" spans="1:18" ht="15.75" customHeight="1">
      <c r="A28" s="160"/>
      <c r="B28" s="769">
        <v>2</v>
      </c>
      <c r="C28" s="955" t="str">
        <f>'Lembar Kerja'!C29</f>
        <v>Resistansi Pembumian Protektif</v>
      </c>
      <c r="D28" s="956"/>
      <c r="E28" s="956"/>
      <c r="F28" s="956"/>
      <c r="G28" s="956"/>
      <c r="H28" s="957"/>
      <c r="I28" s="756" t="s">
        <v>171</v>
      </c>
      <c r="J28" s="763" t="str">
        <f>'Lembar Kerja'!J29</f>
        <v>Ω</v>
      </c>
      <c r="K28" s="958" t="str">
        <f>'Lembar Kerja'!K29</f>
        <v>≤ 0.2 Ω</v>
      </c>
      <c r="L28" s="958"/>
      <c r="M28" s="952"/>
      <c r="Q28" s="158" t="s">
        <v>77</v>
      </c>
      <c r="R28" s="158">
        <v>100</v>
      </c>
    </row>
    <row r="29" spans="1:18" ht="15" customHeight="1">
      <c r="A29" s="160"/>
      <c r="B29" s="769">
        <v>3</v>
      </c>
      <c r="C29" s="974" t="s">
        <v>514</v>
      </c>
      <c r="D29" s="975"/>
      <c r="E29" s="975"/>
      <c r="F29" s="975"/>
      <c r="G29" s="975"/>
      <c r="H29" s="976"/>
      <c r="I29" s="756" t="s">
        <v>171</v>
      </c>
      <c r="J29" s="763" t="str">
        <f>'Lembar Kerja'!J30</f>
        <v>µA</v>
      </c>
      <c r="K29" s="958" t="str">
        <f>VLOOKUP(C29,cetik!J4:K5,2,TRUE)</f>
        <v>≤ 500 µA</v>
      </c>
      <c r="L29" s="958"/>
      <c r="M29" s="332" t="s">
        <v>378</v>
      </c>
      <c r="N29" s="616">
        <v>12</v>
      </c>
      <c r="Q29" s="158">
        <f>VLOOKUP(C29,Q27:R28,2,FALSE)</f>
        <v>500</v>
      </c>
    </row>
    <row r="30" spans="1:18" ht="13.5" customHeight="1">
      <c r="A30" s="762"/>
      <c r="B30" s="762"/>
      <c r="C30" s="762"/>
      <c r="D30" s="762"/>
      <c r="E30" s="762"/>
      <c r="F30" s="762"/>
      <c r="G30" s="762"/>
      <c r="H30" s="762"/>
      <c r="I30" s="762"/>
      <c r="J30" s="160"/>
      <c r="K30" s="160"/>
      <c r="L30" s="160"/>
      <c r="M30" s="160"/>
    </row>
    <row r="31" spans="1:18">
      <c r="A31" s="167" t="s">
        <v>38</v>
      </c>
      <c r="B31" s="168" t="s">
        <v>362</v>
      </c>
      <c r="C31" s="160"/>
      <c r="D31" s="180"/>
      <c r="E31" s="181"/>
      <c r="F31" s="180"/>
      <c r="G31" s="180"/>
      <c r="H31" s="180"/>
      <c r="I31" s="180"/>
      <c r="J31" s="160"/>
      <c r="K31" s="160"/>
      <c r="L31" s="160"/>
      <c r="M31" s="160"/>
    </row>
    <row r="32" spans="1:18" ht="18.75" customHeight="1">
      <c r="A32" s="160"/>
      <c r="B32" s="960" t="s">
        <v>24</v>
      </c>
      <c r="C32" s="905" t="s">
        <v>25</v>
      </c>
      <c r="D32" s="905" t="s">
        <v>39</v>
      </c>
      <c r="E32" s="966" t="s">
        <v>40</v>
      </c>
      <c r="F32" s="977"/>
      <c r="G32" s="977"/>
      <c r="H32" s="977"/>
      <c r="I32" s="964"/>
      <c r="J32" s="762"/>
      <c r="K32" s="195"/>
      <c r="L32" s="195"/>
      <c r="M32" s="195"/>
      <c r="N32" s="195"/>
      <c r="O32" s="195"/>
      <c r="P32" s="196"/>
      <c r="Q32" s="196"/>
    </row>
    <row r="33" spans="1:17" ht="32.25" customHeight="1">
      <c r="A33" s="160"/>
      <c r="B33" s="960"/>
      <c r="C33" s="907"/>
      <c r="D33" s="907"/>
      <c r="E33" s="768" t="s">
        <v>42</v>
      </c>
      <c r="F33" s="179" t="s">
        <v>43</v>
      </c>
      <c r="G33" s="770" t="s">
        <v>44</v>
      </c>
      <c r="H33" s="179" t="s">
        <v>45</v>
      </c>
      <c r="I33" s="179" t="s">
        <v>46</v>
      </c>
      <c r="J33" s="197"/>
      <c r="K33" s="195"/>
      <c r="L33" s="195"/>
      <c r="M33" s="195"/>
      <c r="N33" s="198"/>
      <c r="O33" s="198"/>
      <c r="P33" s="199"/>
      <c r="Q33" s="576"/>
    </row>
    <row r="34" spans="1:17" ht="20.100000000000001" customHeight="1">
      <c r="A34" s="160"/>
      <c r="B34" s="766">
        <v>1</v>
      </c>
      <c r="C34" s="905" t="s">
        <v>48</v>
      </c>
      <c r="D34" s="300">
        <v>30</v>
      </c>
      <c r="E34" s="754">
        <v>30</v>
      </c>
      <c r="F34" s="754">
        <v>30</v>
      </c>
      <c r="G34" s="754">
        <v>30</v>
      </c>
      <c r="H34" s="754">
        <v>30</v>
      </c>
      <c r="I34" s="754">
        <v>30</v>
      </c>
      <c r="J34" s="197"/>
      <c r="K34" s="195"/>
      <c r="L34" s="195"/>
      <c r="M34" s="195"/>
      <c r="N34" s="198"/>
      <c r="O34" s="198"/>
      <c r="P34" s="199"/>
      <c r="Q34" s="576"/>
    </row>
    <row r="35" spans="1:17" ht="20.100000000000001" customHeight="1">
      <c r="A35" s="160"/>
      <c r="B35" s="766">
        <v>2</v>
      </c>
      <c r="C35" s="906"/>
      <c r="D35" s="760">
        <v>60</v>
      </c>
      <c r="E35" s="755">
        <v>60</v>
      </c>
      <c r="F35" s="755">
        <v>60</v>
      </c>
      <c r="G35" s="755">
        <v>60</v>
      </c>
      <c r="H35" s="755">
        <v>60</v>
      </c>
      <c r="I35" s="755">
        <v>60</v>
      </c>
      <c r="J35" s="762"/>
      <c r="K35" s="195"/>
      <c r="L35" s="195"/>
      <c r="M35" s="195"/>
      <c r="N35" s="200"/>
      <c r="O35" s="200"/>
      <c r="P35" s="199"/>
      <c r="Q35" s="199"/>
    </row>
    <row r="36" spans="1:17" ht="20.100000000000001" customHeight="1">
      <c r="A36" s="160"/>
      <c r="B36" s="185" t="s">
        <v>78</v>
      </c>
      <c r="C36" s="906"/>
      <c r="D36" s="186">
        <v>90</v>
      </c>
      <c r="E36" s="755">
        <v>90</v>
      </c>
      <c r="F36" s="755">
        <v>90</v>
      </c>
      <c r="G36" s="755">
        <v>90</v>
      </c>
      <c r="H36" s="755">
        <v>90</v>
      </c>
      <c r="I36" s="755">
        <v>90</v>
      </c>
      <c r="J36" s="201"/>
      <c r="K36" s="195"/>
      <c r="L36" s="195"/>
      <c r="M36" s="195"/>
      <c r="N36" s="200"/>
      <c r="O36" s="200"/>
      <c r="P36" s="202"/>
      <c r="Q36" s="202"/>
    </row>
    <row r="37" spans="1:17" ht="20.100000000000001" customHeight="1">
      <c r="A37" s="160"/>
      <c r="B37" s="185" t="s">
        <v>50</v>
      </c>
      <c r="C37" s="906"/>
      <c r="D37" s="186">
        <v>120</v>
      </c>
      <c r="E37" s="755">
        <v>120</v>
      </c>
      <c r="F37" s="755">
        <v>120</v>
      </c>
      <c r="G37" s="755">
        <v>120</v>
      </c>
      <c r="H37" s="755">
        <v>120</v>
      </c>
      <c r="I37" s="755">
        <v>120</v>
      </c>
      <c r="J37" s="201"/>
      <c r="K37" s="195"/>
      <c r="L37" s="195"/>
      <c r="M37" s="195"/>
      <c r="N37" s="200"/>
      <c r="O37" s="200"/>
      <c r="P37" s="202"/>
      <c r="Q37" s="202"/>
    </row>
    <row r="38" spans="1:17" ht="20.100000000000001" customHeight="1">
      <c r="A38" s="160"/>
      <c r="B38" s="185" t="s">
        <v>79</v>
      </c>
      <c r="C38" s="906"/>
      <c r="D38" s="186">
        <v>150</v>
      </c>
      <c r="E38" s="755">
        <v>150</v>
      </c>
      <c r="F38" s="755">
        <v>150</v>
      </c>
      <c r="G38" s="755">
        <v>150</v>
      </c>
      <c r="H38" s="755">
        <v>150</v>
      </c>
      <c r="I38" s="755">
        <v>150</v>
      </c>
      <c r="J38" s="201"/>
      <c r="K38" s="195"/>
      <c r="L38" s="195"/>
      <c r="M38" s="195"/>
      <c r="N38" s="200"/>
      <c r="O38" s="200"/>
      <c r="P38" s="202"/>
      <c r="Q38" s="202"/>
    </row>
    <row r="39" spans="1:17" ht="20.100000000000001" customHeight="1">
      <c r="A39" s="160"/>
      <c r="B39" s="185" t="s">
        <v>51</v>
      </c>
      <c r="C39" s="906"/>
      <c r="D39" s="186">
        <v>180</v>
      </c>
      <c r="E39" s="755">
        <v>180</v>
      </c>
      <c r="F39" s="755">
        <v>180</v>
      </c>
      <c r="G39" s="755">
        <v>180</v>
      </c>
      <c r="H39" s="755">
        <v>180</v>
      </c>
      <c r="I39" s="755">
        <v>180</v>
      </c>
      <c r="J39" s="201"/>
      <c r="K39" s="195"/>
      <c r="L39" s="195"/>
      <c r="M39" s="195"/>
      <c r="N39" s="200"/>
      <c r="O39" s="200"/>
      <c r="P39" s="202"/>
      <c r="Q39" s="202"/>
    </row>
    <row r="40" spans="1:17" ht="20.100000000000001" customHeight="1">
      <c r="A40" s="160"/>
      <c r="B40" s="185" t="s">
        <v>80</v>
      </c>
      <c r="C40" s="907"/>
      <c r="D40" s="186">
        <v>210</v>
      </c>
      <c r="E40" s="305">
        <v>210</v>
      </c>
      <c r="F40" s="305">
        <v>210</v>
      </c>
      <c r="G40" s="305">
        <v>210</v>
      </c>
      <c r="H40" s="305">
        <v>210</v>
      </c>
      <c r="I40" s="305">
        <v>210</v>
      </c>
      <c r="J40" s="201"/>
      <c r="K40" s="195"/>
      <c r="L40" s="195"/>
      <c r="M40" s="195"/>
      <c r="N40" s="200"/>
      <c r="O40" s="200"/>
      <c r="P40" s="202"/>
      <c r="Q40" s="202"/>
    </row>
    <row r="41" spans="1:17" ht="13.5" customHeight="1">
      <c r="A41" s="160"/>
      <c r="B41" s="160"/>
      <c r="C41" s="160"/>
      <c r="D41" s="160"/>
      <c r="E41" s="164"/>
      <c r="F41" s="160"/>
      <c r="G41" s="160"/>
      <c r="H41" s="160"/>
      <c r="I41" s="160"/>
      <c r="J41" s="160"/>
      <c r="K41" s="195"/>
      <c r="L41" s="195"/>
      <c r="M41" s="195"/>
    </row>
    <row r="42" spans="1:17" ht="13.5" customHeight="1">
      <c r="A42" s="167" t="s">
        <v>52</v>
      </c>
      <c r="B42" s="168" t="s">
        <v>53</v>
      </c>
      <c r="C42" s="160"/>
      <c r="D42" s="160"/>
      <c r="E42" s="164"/>
      <c r="F42" s="160"/>
      <c r="G42" s="160"/>
      <c r="H42" s="160"/>
      <c r="I42" s="160"/>
      <c r="J42" s="160"/>
      <c r="K42" s="160"/>
      <c r="L42" s="160"/>
      <c r="M42" s="160"/>
    </row>
    <row r="43" spans="1:17">
      <c r="A43" s="168"/>
      <c r="B43" s="967" t="s">
        <v>81</v>
      </c>
      <c r="C43" s="967"/>
      <c r="D43" s="967"/>
      <c r="E43" s="967"/>
      <c r="F43" s="967"/>
      <c r="G43" s="967"/>
      <c r="H43" s="967"/>
      <c r="I43" s="967"/>
      <c r="J43" s="967"/>
      <c r="K43" s="967"/>
      <c r="L43" s="967"/>
      <c r="M43" s="160"/>
    </row>
    <row r="44" spans="1:17">
      <c r="A44" s="160"/>
      <c r="B44" s="160" t="str">
        <f>IF(I29="-","-",'DB ESA'!M244)</f>
        <v>-</v>
      </c>
      <c r="C44" s="160"/>
      <c r="D44" s="160"/>
      <c r="E44" s="164"/>
      <c r="F44" s="160"/>
      <c r="G44" s="160"/>
      <c r="H44" s="160"/>
      <c r="I44" s="160"/>
      <c r="J44" s="160"/>
      <c r="K44" s="160"/>
      <c r="L44" s="160"/>
      <c r="M44" s="203"/>
      <c r="N44" s="553" t="s">
        <v>427</v>
      </c>
      <c r="O44" s="762">
        <f>IF(E18="-",0,1)</f>
        <v>0</v>
      </c>
      <c r="P44" s="158">
        <v>0</v>
      </c>
      <c r="Q44" s="158" t="s">
        <v>82</v>
      </c>
    </row>
    <row r="45" spans="1:17">
      <c r="A45" s="160"/>
      <c r="B45" s="753" t="str">
        <f>cetik!M3</f>
        <v>Hasil Kalibrasi Frekuensi Heart Rate (BPM) tertelusur ke Satuan Internasional ( SI ) melalui PT.KALIMAN</v>
      </c>
      <c r="C45" s="753"/>
      <c r="D45" s="753"/>
      <c r="E45" s="753"/>
      <c r="F45" s="160"/>
      <c r="G45" s="160"/>
      <c r="H45" s="160"/>
      <c r="I45" s="160"/>
      <c r="J45" s="160"/>
      <c r="K45" s="160"/>
      <c r="L45" s="160"/>
      <c r="M45" s="203"/>
      <c r="N45" s="553" t="s">
        <v>464</v>
      </c>
      <c r="O45" s="762">
        <f>IF(I29="-",0,1)</f>
        <v>0</v>
      </c>
      <c r="P45" s="158">
        <v>1</v>
      </c>
      <c r="Q45" s="158" t="s">
        <v>466</v>
      </c>
    </row>
    <row r="46" spans="1:17" ht="15.75" customHeight="1">
      <c r="A46" s="160"/>
      <c r="B46" s="967" t="str">
        <f>P47</f>
        <v>Catu daya menggunakan baterai</v>
      </c>
      <c r="C46" s="967"/>
      <c r="D46" s="967"/>
      <c r="E46" s="967"/>
      <c r="F46" s="967"/>
      <c r="G46" s="967"/>
      <c r="H46" s="967"/>
      <c r="I46" s="967"/>
      <c r="J46" s="967"/>
      <c r="K46" s="967"/>
      <c r="L46" s="967"/>
      <c r="M46" s="160"/>
      <c r="N46" s="197" t="s">
        <v>465</v>
      </c>
      <c r="O46" s="197">
        <f>SUM(O44:O45)</f>
        <v>0</v>
      </c>
      <c r="P46" s="158">
        <v>2</v>
      </c>
      <c r="Q46" s="242" t="s">
        <v>171</v>
      </c>
    </row>
    <row r="47" spans="1:17" ht="13.5" customHeight="1">
      <c r="A47" s="174"/>
      <c r="B47" s="160" t="str">
        <f>P71</f>
        <v>-</v>
      </c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P47" s="158" t="str">
        <f>VLOOKUP(O46,P44:Q46,2,0)</f>
        <v>Catu daya menggunakan baterai</v>
      </c>
    </row>
    <row r="48" spans="1:17" ht="13.5" customHeight="1">
      <c r="A48" s="174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97"/>
    </row>
    <row r="49" spans="1:17" ht="15.75" customHeight="1">
      <c r="A49" s="167" t="s">
        <v>56</v>
      </c>
      <c r="B49" s="168" t="s">
        <v>341</v>
      </c>
      <c r="C49" s="160"/>
      <c r="D49" s="160"/>
      <c r="E49" s="164"/>
      <c r="F49" s="160"/>
      <c r="G49" s="160"/>
      <c r="H49" s="160"/>
      <c r="I49" s="160"/>
      <c r="J49" s="160"/>
      <c r="K49" s="160"/>
      <c r="L49" s="160"/>
      <c r="M49" s="160"/>
    </row>
    <row r="50" spans="1:17">
      <c r="A50" s="168"/>
      <c r="B50" s="967" t="s">
        <v>359</v>
      </c>
      <c r="C50" s="967"/>
      <c r="D50" s="967"/>
      <c r="E50" s="967"/>
      <c r="F50" s="967"/>
      <c r="G50" s="967"/>
      <c r="H50" s="967"/>
      <c r="I50" s="967"/>
      <c r="J50" s="967"/>
      <c r="K50" s="967"/>
      <c r="L50" s="967"/>
      <c r="M50" s="203"/>
    </row>
    <row r="51" spans="1:17" ht="14.25" customHeight="1">
      <c r="A51" s="160"/>
      <c r="B51" s="967" t="s">
        <v>344</v>
      </c>
      <c r="C51" s="967"/>
      <c r="D51" s="967"/>
      <c r="E51" s="967"/>
      <c r="F51" s="967"/>
      <c r="G51" s="967"/>
      <c r="H51" s="967"/>
      <c r="I51" s="967"/>
      <c r="J51" s="967"/>
      <c r="K51" s="539"/>
      <c r="L51" s="539"/>
      <c r="M51" s="203"/>
    </row>
    <row r="52" spans="1:17">
      <c r="A52" s="168"/>
      <c r="B52" s="967" t="s">
        <v>399</v>
      </c>
      <c r="C52" s="967"/>
      <c r="D52" s="967"/>
      <c r="E52" s="967"/>
      <c r="F52" s="967"/>
      <c r="G52" s="967"/>
      <c r="H52" s="967"/>
      <c r="I52" s="967"/>
      <c r="J52" s="967"/>
      <c r="K52" s="163"/>
      <c r="L52" s="163"/>
      <c r="M52" s="160"/>
    </row>
    <row r="53" spans="1:17">
      <c r="A53" s="168"/>
      <c r="B53" s="164"/>
      <c r="C53" s="164"/>
      <c r="D53" s="164"/>
      <c r="E53" s="164"/>
      <c r="F53" s="164"/>
      <c r="G53" s="164"/>
      <c r="H53" s="164"/>
      <c r="I53" s="164"/>
      <c r="J53" s="160"/>
      <c r="K53" s="160"/>
      <c r="L53" s="160"/>
      <c r="M53" s="160"/>
    </row>
    <row r="54" spans="1:17">
      <c r="A54" s="167" t="s">
        <v>85</v>
      </c>
      <c r="B54" s="168" t="s">
        <v>61</v>
      </c>
      <c r="C54" s="160"/>
      <c r="D54" s="762"/>
      <c r="E54" s="164"/>
      <c r="F54" s="762"/>
      <c r="G54" s="762"/>
      <c r="H54" s="187"/>
      <c r="I54" s="187"/>
      <c r="J54" s="160"/>
      <c r="K54" s="160"/>
      <c r="L54" s="160"/>
      <c r="M54" s="160"/>
    </row>
    <row r="55" spans="1:17" ht="16.5" customHeight="1">
      <c r="A55" s="160"/>
      <c r="B55" s="973" t="str">
        <f>IF(Penyelia!M62&gt;=70,kesimpulan!E12,IF(Penyelia!M62&lt;70,kesimpulan!E13))</f>
        <v>Alat yang dikalibrasi dalam batas toleransi dan dinyatakan LAIK PAKAI, dimana hasil atau skor akhir sama dengan atau melampaui 70 % berdasarkan Keputusan Direktur Jenderal Pelayanan Kesehatan No : HK.02.02/V/0412/2020</v>
      </c>
      <c r="C55" s="973"/>
      <c r="D55" s="973"/>
      <c r="E55" s="973"/>
      <c r="F55" s="973"/>
      <c r="G55" s="973"/>
      <c r="H55" s="973"/>
      <c r="I55" s="973"/>
      <c r="J55" s="973"/>
      <c r="K55" s="973"/>
      <c r="L55" s="973"/>
      <c r="M55" s="310"/>
      <c r="O55" s="322" t="s">
        <v>406</v>
      </c>
    </row>
    <row r="56" spans="1:17" ht="11.25" customHeight="1">
      <c r="A56" s="160"/>
      <c r="B56" s="973"/>
      <c r="C56" s="973"/>
      <c r="D56" s="973"/>
      <c r="E56" s="973"/>
      <c r="F56" s="973"/>
      <c r="G56" s="973"/>
      <c r="H56" s="973"/>
      <c r="I56" s="973"/>
      <c r="J56" s="973"/>
      <c r="K56" s="973"/>
      <c r="L56" s="973"/>
      <c r="M56" s="310"/>
      <c r="O56" s="323" t="s">
        <v>171</v>
      </c>
    </row>
    <row r="57" spans="1:17" ht="9" customHeight="1">
      <c r="A57" s="160"/>
      <c r="B57" s="160"/>
      <c r="C57" s="762"/>
      <c r="D57" s="762"/>
      <c r="E57" s="164"/>
      <c r="F57" s="762"/>
      <c r="G57" s="762"/>
      <c r="H57" s="188"/>
      <c r="I57" s="188"/>
      <c r="J57" s="160"/>
      <c r="K57" s="160"/>
      <c r="L57" s="160"/>
      <c r="M57" s="160"/>
    </row>
    <row r="58" spans="1:17">
      <c r="A58" s="167" t="s">
        <v>62</v>
      </c>
      <c r="B58" s="168" t="s">
        <v>63</v>
      </c>
      <c r="C58" s="762"/>
      <c r="D58" s="762"/>
      <c r="E58" s="164"/>
      <c r="F58" s="762"/>
      <c r="G58" s="762"/>
      <c r="H58" s="188"/>
      <c r="I58" s="188"/>
      <c r="J58" s="160"/>
      <c r="K58" s="160"/>
      <c r="L58" s="160"/>
      <c r="M58" s="160"/>
    </row>
    <row r="59" spans="1:17" ht="15">
      <c r="A59" s="160"/>
      <c r="B59" s="961" t="s">
        <v>300</v>
      </c>
      <c r="C59" s="961"/>
      <c r="D59" s="961"/>
      <c r="E59" s="961"/>
      <c r="F59" s="762"/>
      <c r="G59" s="762"/>
      <c r="H59" s="188"/>
      <c r="I59" s="188"/>
      <c r="J59" s="160"/>
      <c r="K59" s="160"/>
      <c r="L59" s="160"/>
      <c r="M59" s="160"/>
      <c r="N59" s="324"/>
      <c r="O59" s="324"/>
      <c r="P59" s="324"/>
      <c r="Q59" s="325" t="s">
        <v>365</v>
      </c>
    </row>
    <row r="60" spans="1:17" ht="15">
      <c r="A60" s="160"/>
      <c r="B60" s="767"/>
      <c r="C60" s="767"/>
      <c r="D60" s="767"/>
      <c r="E60" s="767"/>
      <c r="F60" s="762"/>
      <c r="G60" s="762"/>
      <c r="H60" s="188"/>
      <c r="I60" s="188"/>
      <c r="J60" s="160"/>
      <c r="K60" s="160"/>
      <c r="L60" s="160"/>
      <c r="M60" s="160"/>
      <c r="N60" s="324"/>
      <c r="O60" s="324" t="s">
        <v>82</v>
      </c>
      <c r="P60" s="326">
        <f>IF(N64="-",40,IF(N64&lt;=N65,N68,IF(N64&gt;N65,0)))</f>
        <v>40</v>
      </c>
      <c r="Q60" s="948">
        <f>VLOOKUP(B46,O60:P62,2,FALSE)</f>
        <v>40</v>
      </c>
    </row>
    <row r="61" spans="1:17" ht="23.1" customHeight="1">
      <c r="A61" s="160"/>
      <c r="B61" s="164"/>
      <c r="C61" s="164"/>
      <c r="D61" s="164"/>
      <c r="E61" s="164"/>
      <c r="F61" s="762"/>
      <c r="G61" s="762"/>
      <c r="H61" s="188"/>
      <c r="I61" s="188"/>
      <c r="J61" s="160"/>
      <c r="K61" s="160"/>
      <c r="L61" s="160"/>
      <c r="M61" s="160"/>
      <c r="N61" s="324"/>
      <c r="O61" s="322" t="s">
        <v>466</v>
      </c>
      <c r="P61" s="326">
        <f>IF(N64="-",20,IF(N64&lt;=N65,N68,IF(N64&gt;N65,0)))</f>
        <v>20</v>
      </c>
      <c r="Q61" s="949"/>
    </row>
    <row r="62" spans="1:17" ht="15">
      <c r="A62" s="167" t="s">
        <v>87</v>
      </c>
      <c r="B62" s="168" t="s">
        <v>88</v>
      </c>
      <c r="C62" s="160"/>
      <c r="D62" s="160"/>
      <c r="E62" s="164"/>
      <c r="F62" s="160"/>
      <c r="G62" s="160"/>
      <c r="H62" s="160"/>
      <c r="I62" s="160"/>
      <c r="J62" s="160"/>
      <c r="K62" s="160"/>
      <c r="L62" s="204"/>
      <c r="M62" s="160"/>
      <c r="N62" s="324"/>
      <c r="O62" s="323" t="s">
        <v>171</v>
      </c>
      <c r="P62" s="326">
        <f>N69</f>
        <v>0</v>
      </c>
      <c r="Q62" s="950"/>
    </row>
    <row r="63" spans="1:17" ht="15">
      <c r="A63" s="160"/>
      <c r="B63" s="962" t="s">
        <v>350</v>
      </c>
      <c r="C63" s="963"/>
      <c r="D63" s="963"/>
      <c r="E63" s="164"/>
      <c r="F63" s="160"/>
      <c r="G63" s="160"/>
      <c r="H63" s="160"/>
      <c r="I63" s="160"/>
      <c r="J63" s="160"/>
      <c r="K63" s="160"/>
      <c r="L63" s="160"/>
      <c r="M63" s="160"/>
      <c r="N63" s="324"/>
      <c r="O63" s="324"/>
      <c r="P63" s="324"/>
      <c r="Q63" s="324"/>
    </row>
    <row r="64" spans="1:17" ht="15">
      <c r="A64" s="160"/>
      <c r="B64" s="160"/>
      <c r="C64" s="762"/>
      <c r="D64" s="160"/>
      <c r="E64" s="164"/>
      <c r="F64" s="762"/>
      <c r="G64" s="762"/>
      <c r="H64" s="188"/>
      <c r="I64" s="188"/>
      <c r="J64" s="160"/>
      <c r="K64" s="160"/>
      <c r="L64" s="160"/>
      <c r="M64" s="160"/>
      <c r="N64" s="324" t="str">
        <f>FORECAST!K48</f>
        <v>-</v>
      </c>
      <c r="O64" s="327">
        <f>IF(N64&gt;N65,N66,IF(N64&lt;=N65,N64))</f>
        <v>12.726911209665738</v>
      </c>
      <c r="P64" s="324"/>
      <c r="Q64" s="324"/>
    </row>
    <row r="65" spans="1:31" ht="15.6" thickBot="1">
      <c r="A65" s="160"/>
      <c r="B65" s="160"/>
      <c r="C65" s="160"/>
      <c r="D65" s="160"/>
      <c r="E65" s="164"/>
      <c r="F65" s="160"/>
      <c r="G65" s="160"/>
      <c r="H65" s="188"/>
      <c r="I65" s="188"/>
      <c r="J65" s="160"/>
      <c r="K65" s="160"/>
      <c r="L65" s="160"/>
      <c r="M65" s="160"/>
      <c r="N65" s="328">
        <f>Q29</f>
        <v>500</v>
      </c>
      <c r="O65" s="327">
        <f>FORECAST!K49</f>
        <v>12.726911209665738</v>
      </c>
      <c r="P65" s="324"/>
      <c r="Q65" s="324"/>
    </row>
    <row r="66" spans="1:31" ht="15">
      <c r="A66" s="160"/>
      <c r="B66" s="160"/>
      <c r="C66" s="160"/>
      <c r="D66" s="160"/>
      <c r="E66" s="164"/>
      <c r="F66" s="160"/>
      <c r="G66" s="160"/>
      <c r="H66" s="160"/>
      <c r="I66" s="160"/>
      <c r="J66" s="160"/>
      <c r="K66" s="160"/>
      <c r="L66" s="160"/>
      <c r="M66" s="160"/>
      <c r="N66" s="324">
        <f>IF(N65=100,200,O65)</f>
        <v>12.726911209665738</v>
      </c>
      <c r="O66" s="327">
        <f>IF(N64&lt;=N65,N68,IF(O65&lt;=100,N68,0))</f>
        <v>0</v>
      </c>
      <c r="P66" s="699"/>
      <c r="Q66" s="693">
        <v>0</v>
      </c>
      <c r="R66" s="336" t="s">
        <v>171</v>
      </c>
      <c r="S66" s="337"/>
      <c r="T66" s="338"/>
    </row>
    <row r="67" spans="1:31" ht="15">
      <c r="A67" s="160"/>
      <c r="B67" s="160"/>
      <c r="C67" s="160"/>
      <c r="D67" s="160"/>
      <c r="E67" s="164"/>
      <c r="F67" s="160"/>
      <c r="G67" s="160"/>
      <c r="H67" s="160"/>
      <c r="I67" s="160"/>
      <c r="J67" s="160"/>
      <c r="K67" s="160"/>
      <c r="L67" s="160"/>
      <c r="M67" s="160"/>
      <c r="N67" s="324"/>
      <c r="O67" s="324"/>
      <c r="P67" s="692"/>
      <c r="Q67" s="700">
        <v>10</v>
      </c>
      <c r="R67" s="697" t="s">
        <v>171</v>
      </c>
    </row>
    <row r="68" spans="1:31" ht="15.6">
      <c r="A68" s="160"/>
      <c r="B68" s="160"/>
      <c r="C68" s="160"/>
      <c r="D68" s="160"/>
      <c r="E68" s="164"/>
      <c r="F68" s="160"/>
      <c r="G68" s="160"/>
      <c r="H68" s="160"/>
      <c r="I68" s="160"/>
      <c r="J68" s="160"/>
      <c r="K68" s="160"/>
      <c r="L68" s="160"/>
      <c r="M68" s="160"/>
      <c r="N68" s="329">
        <f>SUM(Penyelia!P27:P30)</f>
        <v>0</v>
      </c>
      <c r="O68" s="330"/>
      <c r="P68" s="339">
        <f>O66</f>
        <v>0</v>
      </c>
      <c r="Q68" s="694">
        <v>20</v>
      </c>
      <c r="R68" s="689" t="s">
        <v>379</v>
      </c>
      <c r="S68" s="689"/>
      <c r="T68" s="340"/>
    </row>
    <row r="69" spans="1:31" ht="15">
      <c r="A69" s="160"/>
      <c r="B69" s="160"/>
      <c r="C69" s="160"/>
      <c r="D69" s="160"/>
      <c r="E69" s="164"/>
      <c r="F69" s="160"/>
      <c r="G69" s="160"/>
      <c r="H69" s="160"/>
      <c r="I69" s="160"/>
      <c r="J69" s="160"/>
      <c r="K69" s="160"/>
      <c r="L69" s="160"/>
      <c r="M69" s="160"/>
      <c r="N69" s="331">
        <f>O66</f>
        <v>0</v>
      </c>
      <c r="O69" s="329"/>
      <c r="P69" s="692"/>
      <c r="Q69" s="695">
        <v>30</v>
      </c>
      <c r="R69" s="698" t="s">
        <v>171</v>
      </c>
      <c r="S69" s="689"/>
      <c r="T69" s="340"/>
    </row>
    <row r="70" spans="1:31" ht="15.6" thickBot="1">
      <c r="A70" s="160"/>
      <c r="B70" s="160"/>
      <c r="C70" s="160"/>
      <c r="D70" s="160"/>
      <c r="E70" s="164"/>
      <c r="F70" s="160"/>
      <c r="G70" s="160"/>
      <c r="H70" s="160"/>
      <c r="I70" s="160"/>
      <c r="J70" s="160"/>
      <c r="K70" s="160"/>
      <c r="L70" s="160"/>
      <c r="M70" s="160"/>
      <c r="P70" s="237"/>
      <c r="Q70" s="696">
        <v>40</v>
      </c>
      <c r="R70" s="341" t="s">
        <v>171</v>
      </c>
      <c r="S70" s="690"/>
      <c r="T70" s="691"/>
    </row>
    <row r="71" spans="1:31" ht="15">
      <c r="A71" s="160"/>
      <c r="B71" s="160"/>
      <c r="C71" s="160"/>
      <c r="D71" s="160"/>
      <c r="E71" s="164"/>
      <c r="F71" s="160"/>
      <c r="G71" s="160"/>
      <c r="H71" s="160"/>
      <c r="I71" s="160"/>
      <c r="J71" s="160"/>
      <c r="K71" s="160"/>
      <c r="L71" s="160"/>
      <c r="M71" s="160"/>
      <c r="P71" s="689" t="str">
        <f>VLOOKUP(P68,Q66:T70,2,0)</f>
        <v>-</v>
      </c>
      <c r="Q71" s="689"/>
      <c r="R71" s="689"/>
      <c r="S71" s="689"/>
      <c r="T71" s="689"/>
    </row>
    <row r="72" spans="1:31" ht="12.75" customHeight="1">
      <c r="A72" s="160"/>
      <c r="B72" s="960" t="s">
        <v>24</v>
      </c>
      <c r="C72" s="905" t="s">
        <v>25</v>
      </c>
      <c r="D72" s="905" t="s">
        <v>39</v>
      </c>
      <c r="E72" s="205"/>
      <c r="F72" s="964" t="s">
        <v>89</v>
      </c>
      <c r="G72" s="964"/>
      <c r="H72" s="965"/>
      <c r="I72" s="966"/>
      <c r="J72" s="905" t="s">
        <v>90</v>
      </c>
      <c r="K72" s="213" t="s">
        <v>91</v>
      </c>
      <c r="L72" s="960" t="s">
        <v>92</v>
      </c>
      <c r="M72" s="980" t="s">
        <v>93</v>
      </c>
      <c r="N72" s="965" t="s">
        <v>94</v>
      </c>
    </row>
    <row r="73" spans="1:31" ht="29.25" customHeight="1">
      <c r="A73" s="160"/>
      <c r="B73" s="960"/>
      <c r="C73" s="907"/>
      <c r="D73" s="907"/>
      <c r="E73" s="206" t="s">
        <v>42</v>
      </c>
      <c r="F73" s="207" t="s">
        <v>43</v>
      </c>
      <c r="G73" s="208" t="s">
        <v>44</v>
      </c>
      <c r="H73" s="207" t="s">
        <v>45</v>
      </c>
      <c r="I73" s="207" t="s">
        <v>46</v>
      </c>
      <c r="J73" s="907"/>
      <c r="K73" s="214"/>
      <c r="L73" s="960"/>
      <c r="M73" s="980"/>
      <c r="N73" s="965"/>
    </row>
    <row r="74" spans="1:31" ht="13.5" customHeight="1">
      <c r="A74" s="160"/>
      <c r="B74" s="766">
        <v>1</v>
      </c>
      <c r="C74" s="905" t="s">
        <v>48</v>
      </c>
      <c r="D74" s="299">
        <f t="shared" ref="D74:I80" si="0">D34</f>
        <v>30</v>
      </c>
      <c r="E74" s="206">
        <f t="shared" si="0"/>
        <v>30</v>
      </c>
      <c r="F74" s="206">
        <f t="shared" si="0"/>
        <v>30</v>
      </c>
      <c r="G74" s="206">
        <f t="shared" si="0"/>
        <v>30</v>
      </c>
      <c r="H74" s="206">
        <f t="shared" si="0"/>
        <v>30</v>
      </c>
      <c r="I74" s="206">
        <f t="shared" si="0"/>
        <v>30</v>
      </c>
      <c r="J74" s="704">
        <f>IFERROR(FORECAST!L13,"-")</f>
        <v>30.000001000000001</v>
      </c>
      <c r="K74" s="705">
        <f>J74-D74</f>
        <v>1.0000000010279564E-6</v>
      </c>
      <c r="L74" s="706">
        <f t="shared" ref="L74:L80" si="1">STDEV(E74:I74)</f>
        <v>0</v>
      </c>
      <c r="M74" s="215">
        <f>(((ABS(K74))+N74)/(D74))*100</f>
        <v>1.932762329584425</v>
      </c>
      <c r="N74" s="216">
        <f>UB!J13</f>
        <v>0.57982769887532648</v>
      </c>
    </row>
    <row r="75" spans="1:31" ht="12.75" customHeight="1">
      <c r="A75" s="160"/>
      <c r="B75" s="766">
        <v>2</v>
      </c>
      <c r="C75" s="906"/>
      <c r="D75" s="209">
        <f t="shared" si="0"/>
        <v>60</v>
      </c>
      <c r="E75" s="206">
        <f t="shared" si="0"/>
        <v>60</v>
      </c>
      <c r="F75" s="206">
        <f t="shared" si="0"/>
        <v>60</v>
      </c>
      <c r="G75" s="206">
        <f t="shared" si="0"/>
        <v>60</v>
      </c>
      <c r="H75" s="206">
        <f t="shared" si="0"/>
        <v>60</v>
      </c>
      <c r="I75" s="206">
        <f t="shared" si="0"/>
        <v>60</v>
      </c>
      <c r="J75" s="704">
        <f>IFERROR(FORECAST!L14,"-")</f>
        <v>60.000000999999997</v>
      </c>
      <c r="K75" s="705">
        <f t="shared" ref="K75:K80" si="2">J75-D75</f>
        <v>9.9999999747524271E-7</v>
      </c>
      <c r="L75" s="706">
        <f t="shared" si="1"/>
        <v>0</v>
      </c>
      <c r="M75" s="215">
        <f>(((ABS(K75))+N75)/(D75))*100</f>
        <v>0.96638116479220659</v>
      </c>
      <c r="N75" s="216">
        <f>UB!J25</f>
        <v>0.57982769887532648</v>
      </c>
    </row>
    <row r="76" spans="1:31">
      <c r="A76" s="160"/>
      <c r="B76" s="185" t="s">
        <v>78</v>
      </c>
      <c r="C76" s="906"/>
      <c r="D76" s="209">
        <f t="shared" si="0"/>
        <v>90</v>
      </c>
      <c r="E76" s="206">
        <f t="shared" si="0"/>
        <v>90</v>
      </c>
      <c r="F76" s="206">
        <f t="shared" si="0"/>
        <v>90</v>
      </c>
      <c r="G76" s="206">
        <f t="shared" si="0"/>
        <v>90</v>
      </c>
      <c r="H76" s="206">
        <f t="shared" si="0"/>
        <v>90</v>
      </c>
      <c r="I76" s="206">
        <f t="shared" si="0"/>
        <v>90</v>
      </c>
      <c r="J76" s="704">
        <f>IFERROR(FORECAST!L15,"-")</f>
        <v>90.000000999999997</v>
      </c>
      <c r="K76" s="705">
        <f t="shared" si="2"/>
        <v>9.9999999747524271E-7</v>
      </c>
      <c r="L76" s="706">
        <f t="shared" si="1"/>
        <v>0</v>
      </c>
      <c r="M76" s="215">
        <f t="shared" ref="M76:M80" si="3">(((ABS(K76))+N76)/(D76))*100</f>
        <v>0.64425410986147102</v>
      </c>
      <c r="N76" s="216">
        <f>UB!J37</f>
        <v>0.57982769887532648</v>
      </c>
      <c r="T76" s="549"/>
      <c r="U76" s="291" t="s">
        <v>24</v>
      </c>
      <c r="V76" s="291" t="s">
        <v>188</v>
      </c>
      <c r="W76" s="291" t="s">
        <v>432</v>
      </c>
      <c r="X76" s="291" t="s">
        <v>433</v>
      </c>
      <c r="Y76" s="291" t="s">
        <v>434</v>
      </c>
      <c r="Z76" s="291" t="s">
        <v>435</v>
      </c>
      <c r="AA76" s="291" t="s">
        <v>189</v>
      </c>
      <c r="AB76" s="220"/>
      <c r="AC76" s="220"/>
      <c r="AE76" s="220"/>
    </row>
    <row r="77" spans="1:31">
      <c r="A77" s="160"/>
      <c r="B77" s="185" t="s">
        <v>50</v>
      </c>
      <c r="C77" s="906"/>
      <c r="D77" s="209">
        <f t="shared" si="0"/>
        <v>120</v>
      </c>
      <c r="E77" s="206">
        <f t="shared" si="0"/>
        <v>120</v>
      </c>
      <c r="F77" s="206">
        <f t="shared" si="0"/>
        <v>120</v>
      </c>
      <c r="G77" s="206">
        <f t="shared" si="0"/>
        <v>120</v>
      </c>
      <c r="H77" s="206">
        <f t="shared" si="0"/>
        <v>120</v>
      </c>
      <c r="I77" s="206">
        <f t="shared" si="0"/>
        <v>120</v>
      </c>
      <c r="J77" s="704">
        <f>IFERROR(FORECAST!L16,"-")</f>
        <v>120.000001</v>
      </c>
      <c r="K77" s="705">
        <f t="shared" si="2"/>
        <v>9.9999999747524271E-7</v>
      </c>
      <c r="L77" s="706">
        <f t="shared" si="1"/>
        <v>0</v>
      </c>
      <c r="M77" s="215">
        <f t="shared" si="3"/>
        <v>0.4831905823961033</v>
      </c>
      <c r="N77" s="216">
        <f>UB!J49</f>
        <v>0.57982769887532648</v>
      </c>
      <c r="T77" s="549"/>
      <c r="U77" s="550">
        <v>1</v>
      </c>
      <c r="V77" s="550">
        <v>2</v>
      </c>
      <c r="W77" s="550">
        <v>3</v>
      </c>
      <c r="X77" s="550">
        <v>4</v>
      </c>
      <c r="Y77" s="551">
        <v>5</v>
      </c>
      <c r="Z77" s="551">
        <v>6</v>
      </c>
      <c r="AA77" s="551">
        <v>7</v>
      </c>
      <c r="AB77" s="549"/>
      <c r="AC77" s="549"/>
      <c r="AE77" s="549"/>
    </row>
    <row r="78" spans="1:31">
      <c r="A78" s="160"/>
      <c r="B78" s="185" t="s">
        <v>79</v>
      </c>
      <c r="C78" s="906"/>
      <c r="D78" s="209">
        <f t="shared" si="0"/>
        <v>150</v>
      </c>
      <c r="E78" s="206">
        <f t="shared" si="0"/>
        <v>150</v>
      </c>
      <c r="F78" s="206">
        <f t="shared" si="0"/>
        <v>150</v>
      </c>
      <c r="G78" s="206">
        <f t="shared" si="0"/>
        <v>150</v>
      </c>
      <c r="H78" s="206">
        <f t="shared" si="0"/>
        <v>150</v>
      </c>
      <c r="I78" s="206">
        <f t="shared" si="0"/>
        <v>150</v>
      </c>
      <c r="J78" s="704">
        <f>IFERROR(FORECAST!L17,"-")</f>
        <v>150.000001</v>
      </c>
      <c r="K78" s="705">
        <f t="shared" si="2"/>
        <v>9.9999999747524271E-7</v>
      </c>
      <c r="L78" s="706">
        <f t="shared" si="1"/>
        <v>0</v>
      </c>
      <c r="M78" s="215">
        <f t="shared" si="3"/>
        <v>0.38655246591688264</v>
      </c>
      <c r="N78" s="216">
        <f>UB!J61</f>
        <v>0.57982769887532648</v>
      </c>
      <c r="U78" s="978" t="s">
        <v>436</v>
      </c>
      <c r="V78" s="978"/>
      <c r="W78" s="978"/>
      <c r="X78" s="978"/>
      <c r="Y78" s="978"/>
      <c r="Z78" s="978"/>
      <c r="AA78" s="978"/>
    </row>
    <row r="79" spans="1:31">
      <c r="B79" s="185" t="s">
        <v>51</v>
      </c>
      <c r="C79" s="906"/>
      <c r="D79" s="209">
        <f t="shared" si="0"/>
        <v>180</v>
      </c>
      <c r="E79" s="206">
        <f t="shared" si="0"/>
        <v>180</v>
      </c>
      <c r="F79" s="206">
        <f t="shared" si="0"/>
        <v>180</v>
      </c>
      <c r="G79" s="206">
        <f t="shared" si="0"/>
        <v>180</v>
      </c>
      <c r="H79" s="206">
        <f t="shared" si="0"/>
        <v>180</v>
      </c>
      <c r="I79" s="206">
        <f t="shared" si="0"/>
        <v>180</v>
      </c>
      <c r="J79" s="704">
        <f>IFERROR(FORECAST!L18,"-")</f>
        <v>180.000001</v>
      </c>
      <c r="K79" s="705">
        <f t="shared" si="2"/>
        <v>9.9999999747524271E-7</v>
      </c>
      <c r="L79" s="706">
        <f t="shared" si="1"/>
        <v>0</v>
      </c>
      <c r="M79" s="215">
        <f t="shared" si="3"/>
        <v>0.32212705493073551</v>
      </c>
      <c r="N79" s="216">
        <f>UB!J73</f>
        <v>0.57982769887532648</v>
      </c>
      <c r="U79" s="291" t="s">
        <v>215</v>
      </c>
      <c r="V79" s="291" t="s">
        <v>436</v>
      </c>
      <c r="W79" s="291" t="s">
        <v>421</v>
      </c>
      <c r="X79" s="291">
        <v>1828012</v>
      </c>
      <c r="Y79" s="291"/>
      <c r="Z79" s="291"/>
      <c r="AA79" s="291"/>
    </row>
    <row r="80" spans="1:31">
      <c r="B80" s="185" t="s">
        <v>80</v>
      </c>
      <c r="C80" s="907"/>
      <c r="D80" s="209">
        <f t="shared" si="0"/>
        <v>210</v>
      </c>
      <c r="E80" s="206">
        <f t="shared" si="0"/>
        <v>210</v>
      </c>
      <c r="F80" s="206">
        <f t="shared" si="0"/>
        <v>210</v>
      </c>
      <c r="G80" s="206">
        <f t="shared" si="0"/>
        <v>210</v>
      </c>
      <c r="H80" s="206">
        <f t="shared" si="0"/>
        <v>210</v>
      </c>
      <c r="I80" s="206">
        <f t="shared" si="0"/>
        <v>210</v>
      </c>
      <c r="J80" s="704">
        <f>IFERROR(FORECAST!L19,"-")</f>
        <v>210.000001</v>
      </c>
      <c r="K80" s="705">
        <f t="shared" si="2"/>
        <v>9.9999999747524271E-7</v>
      </c>
      <c r="L80" s="706">
        <f t="shared" si="1"/>
        <v>0</v>
      </c>
      <c r="M80" s="215">
        <f t="shared" si="3"/>
        <v>0.27610890422634476</v>
      </c>
      <c r="N80" s="216">
        <f>UB!J85</f>
        <v>0.57982769887532648</v>
      </c>
      <c r="U80" s="291" t="s">
        <v>216</v>
      </c>
      <c r="V80" s="291" t="s">
        <v>436</v>
      </c>
      <c r="W80" s="291" t="s">
        <v>421</v>
      </c>
      <c r="X80" s="291">
        <v>1828016</v>
      </c>
      <c r="Y80" s="291"/>
      <c r="Z80" s="291"/>
      <c r="AA80" s="291"/>
    </row>
    <row r="81" spans="3:27">
      <c r="U81" s="291" t="s">
        <v>217</v>
      </c>
      <c r="V81" s="291" t="s">
        <v>436</v>
      </c>
      <c r="W81" s="291" t="s">
        <v>421</v>
      </c>
      <c r="X81" s="291">
        <v>3204002</v>
      </c>
      <c r="Y81" s="291"/>
      <c r="Z81" s="291"/>
      <c r="AA81" s="291"/>
    </row>
    <row r="82" spans="3:27">
      <c r="D82" s="158" t="s">
        <v>363</v>
      </c>
      <c r="U82" s="291" t="s">
        <v>218</v>
      </c>
      <c r="V82" s="291" t="s">
        <v>436</v>
      </c>
      <c r="W82" s="291" t="s">
        <v>421</v>
      </c>
      <c r="X82" s="291">
        <v>3204003</v>
      </c>
      <c r="Y82" s="291"/>
      <c r="Z82" s="291"/>
      <c r="AA82" s="291"/>
    </row>
    <row r="83" spans="3:27">
      <c r="D83" s="321">
        <f>AVERAGE(E74:I74)</f>
        <v>30</v>
      </c>
      <c r="U83" s="291" t="s">
        <v>219</v>
      </c>
      <c r="V83" s="291" t="s">
        <v>436</v>
      </c>
      <c r="W83" s="291" t="s">
        <v>421</v>
      </c>
      <c r="X83" s="291">
        <v>4312020</v>
      </c>
      <c r="Y83" s="291"/>
      <c r="Z83" s="291"/>
      <c r="AA83" s="291"/>
    </row>
    <row r="84" spans="3:27">
      <c r="D84" s="321">
        <f>AVERAGE(E75:I75)</f>
        <v>60</v>
      </c>
      <c r="U84" s="291" t="s">
        <v>220</v>
      </c>
      <c r="V84" s="291" t="s">
        <v>436</v>
      </c>
      <c r="W84" s="291" t="s">
        <v>421</v>
      </c>
      <c r="X84" s="291">
        <v>4662032</v>
      </c>
      <c r="Y84" s="291"/>
      <c r="Z84" s="291"/>
      <c r="AA84" s="291"/>
    </row>
    <row r="85" spans="3:27">
      <c r="D85" s="321">
        <f t="shared" ref="D85:D89" si="4">AVERAGE(E76:I76)</f>
        <v>90</v>
      </c>
      <c r="U85" s="291" t="s">
        <v>221</v>
      </c>
      <c r="V85" s="291" t="s">
        <v>436</v>
      </c>
      <c r="W85" s="291" t="s">
        <v>421</v>
      </c>
      <c r="X85" s="291">
        <v>4662033</v>
      </c>
      <c r="Y85" s="291"/>
      <c r="Z85" s="291"/>
      <c r="AA85" s="291"/>
    </row>
    <row r="86" spans="3:27">
      <c r="D86" s="321">
        <f t="shared" si="4"/>
        <v>120</v>
      </c>
      <c r="U86" s="550">
        <v>1</v>
      </c>
      <c r="V86" s="550">
        <v>2</v>
      </c>
      <c r="W86" s="550">
        <v>3</v>
      </c>
      <c r="X86" s="550">
        <v>4</v>
      </c>
      <c r="Y86" s="550">
        <v>5</v>
      </c>
      <c r="Z86" s="550">
        <v>6</v>
      </c>
      <c r="AA86" s="550">
        <v>7</v>
      </c>
    </row>
    <row r="87" spans="3:27">
      <c r="D87" s="321">
        <f t="shared" si="4"/>
        <v>150</v>
      </c>
      <c r="U87" s="979" t="s">
        <v>437</v>
      </c>
      <c r="V87" s="979"/>
      <c r="W87" s="979"/>
      <c r="X87" s="979"/>
      <c r="Y87" s="979"/>
      <c r="Z87" s="979"/>
      <c r="AA87" s="979"/>
    </row>
    <row r="88" spans="3:27">
      <c r="C88" s="210"/>
      <c r="D88" s="321">
        <f t="shared" si="4"/>
        <v>180</v>
      </c>
      <c r="U88" s="291" t="s">
        <v>215</v>
      </c>
      <c r="V88" s="291" t="s">
        <v>437</v>
      </c>
      <c r="W88" s="291" t="s">
        <v>438</v>
      </c>
      <c r="X88" s="780">
        <v>1837056</v>
      </c>
      <c r="Y88" s="291"/>
      <c r="Z88" s="291"/>
      <c r="AA88" s="291"/>
    </row>
    <row r="89" spans="3:27">
      <c r="C89" s="210" t="s">
        <v>76</v>
      </c>
      <c r="D89" s="321">
        <f t="shared" si="4"/>
        <v>210</v>
      </c>
      <c r="U89" s="291" t="s">
        <v>216</v>
      </c>
      <c r="V89" s="291" t="s">
        <v>437</v>
      </c>
      <c r="W89" s="291" t="s">
        <v>438</v>
      </c>
      <c r="X89" s="780">
        <v>1834020</v>
      </c>
      <c r="Y89" s="291"/>
      <c r="Z89" s="291"/>
      <c r="AA89" s="291"/>
    </row>
    <row r="90" spans="3:27">
      <c r="C90" s="210" t="s">
        <v>95</v>
      </c>
      <c r="D90" s="321" t="e">
        <f>AVERAGE(E81:I81)</f>
        <v>#DIV/0!</v>
      </c>
      <c r="U90" s="291" t="s">
        <v>217</v>
      </c>
      <c r="V90" s="291" t="s">
        <v>437</v>
      </c>
      <c r="W90" s="291" t="s">
        <v>439</v>
      </c>
      <c r="X90" s="780">
        <v>2853077</v>
      </c>
      <c r="Y90" s="291"/>
      <c r="Z90" s="291"/>
      <c r="AA90" s="291"/>
    </row>
    <row r="91" spans="3:27">
      <c r="C91" s="210"/>
      <c r="U91" s="291" t="s">
        <v>218</v>
      </c>
      <c r="V91" s="291" t="s">
        <v>437</v>
      </c>
      <c r="W91" s="291" t="s">
        <v>439</v>
      </c>
      <c r="X91" s="780">
        <v>2853078</v>
      </c>
      <c r="Y91" s="291"/>
      <c r="Z91" s="291"/>
      <c r="AA91" s="291"/>
    </row>
    <row r="92" spans="3:27">
      <c r="C92" s="210" t="s">
        <v>96</v>
      </c>
      <c r="U92" s="291" t="s">
        <v>219</v>
      </c>
      <c r="V92" s="291" t="s">
        <v>437</v>
      </c>
      <c r="W92" s="291" t="s">
        <v>439</v>
      </c>
      <c r="X92" s="780">
        <v>3148907</v>
      </c>
      <c r="Y92" s="291"/>
      <c r="Z92" s="291"/>
      <c r="AA92" s="291"/>
    </row>
    <row r="93" spans="3:27">
      <c r="C93" s="210" t="s">
        <v>97</v>
      </c>
      <c r="U93" s="291" t="s">
        <v>220</v>
      </c>
      <c r="V93" s="291" t="s">
        <v>437</v>
      </c>
      <c r="W93" s="291" t="s">
        <v>439</v>
      </c>
      <c r="X93" s="780">
        <v>3148908</v>
      </c>
      <c r="Y93" s="291"/>
      <c r="Z93" s="291"/>
      <c r="AA93" s="291"/>
    </row>
    <row r="94" spans="3:27">
      <c r="C94" s="210" t="s">
        <v>98</v>
      </c>
      <c r="U94" s="291" t="s">
        <v>221</v>
      </c>
      <c r="V94" s="291" t="s">
        <v>437</v>
      </c>
      <c r="W94" s="291" t="s">
        <v>439</v>
      </c>
      <c r="X94" s="780">
        <v>3699030</v>
      </c>
      <c r="Y94" s="291"/>
      <c r="Z94" s="291"/>
      <c r="AA94" s="291"/>
    </row>
    <row r="95" spans="3:27">
      <c r="C95" s="210" t="s">
        <v>99</v>
      </c>
      <c r="U95" s="291" t="s">
        <v>254</v>
      </c>
      <c r="V95" s="291" t="s">
        <v>437</v>
      </c>
      <c r="W95" s="291" t="s">
        <v>439</v>
      </c>
      <c r="X95" s="780">
        <v>4670010</v>
      </c>
      <c r="Y95" s="291"/>
      <c r="Z95" s="291"/>
      <c r="AA95" s="291"/>
    </row>
    <row r="96" spans="3:27">
      <c r="C96" s="210"/>
      <c r="U96" s="291" t="s">
        <v>42</v>
      </c>
      <c r="V96" s="291" t="s">
        <v>437</v>
      </c>
      <c r="W96" s="291" t="s">
        <v>439</v>
      </c>
      <c r="X96" s="780">
        <v>4669058</v>
      </c>
      <c r="Y96" s="291"/>
      <c r="Z96" s="291"/>
      <c r="AA96" s="291"/>
    </row>
    <row r="97" spans="3:27">
      <c r="C97" s="210" t="s">
        <v>100</v>
      </c>
      <c r="U97" s="550">
        <v>1</v>
      </c>
      <c r="V97" s="550">
        <v>2</v>
      </c>
      <c r="W97" s="550">
        <v>3</v>
      </c>
      <c r="X97" s="550">
        <v>4</v>
      </c>
      <c r="Y97" s="550">
        <v>5</v>
      </c>
      <c r="Z97" s="550">
        <v>6</v>
      </c>
      <c r="AA97" s="550">
        <v>7</v>
      </c>
    </row>
    <row r="98" spans="3:27">
      <c r="C98" s="210" t="s">
        <v>101</v>
      </c>
      <c r="U98" s="979" t="s">
        <v>440</v>
      </c>
      <c r="V98" s="979"/>
      <c r="W98" s="979"/>
      <c r="X98" s="979"/>
      <c r="Y98" s="979"/>
      <c r="Z98" s="979"/>
      <c r="AA98" s="979"/>
    </row>
    <row r="99" spans="3:27">
      <c r="C99" s="210" t="s">
        <v>102</v>
      </c>
      <c r="U99" s="291" t="s">
        <v>215</v>
      </c>
      <c r="V99" s="291" t="s">
        <v>441</v>
      </c>
      <c r="W99" s="291" t="s">
        <v>442</v>
      </c>
      <c r="X99" s="552">
        <v>15062873</v>
      </c>
      <c r="Y99" s="291"/>
      <c r="Z99" s="291"/>
      <c r="AA99" s="291"/>
    </row>
    <row r="100" spans="3:27">
      <c r="C100" s="210" t="s">
        <v>103</v>
      </c>
      <c r="U100" s="291" t="s">
        <v>216</v>
      </c>
      <c r="V100" s="291" t="s">
        <v>441</v>
      </c>
      <c r="W100" s="291" t="s">
        <v>442</v>
      </c>
      <c r="X100" s="552">
        <v>15062874</v>
      </c>
      <c r="Y100" s="291"/>
      <c r="Z100" s="291"/>
      <c r="AA100" s="291"/>
    </row>
    <row r="101" spans="3:27">
      <c r="C101" s="210" t="s">
        <v>104</v>
      </c>
      <c r="U101" s="291" t="s">
        <v>217</v>
      </c>
      <c r="V101" s="291" t="s">
        <v>441</v>
      </c>
      <c r="W101" s="291" t="s">
        <v>442</v>
      </c>
      <c r="X101" s="552">
        <v>14082463</v>
      </c>
      <c r="Y101" s="291"/>
      <c r="Z101" s="291"/>
      <c r="AA101" s="291"/>
    </row>
    <row r="102" spans="3:27">
      <c r="C102" s="210" t="s">
        <v>105</v>
      </c>
      <c r="U102" s="291" t="s">
        <v>218</v>
      </c>
      <c r="V102" s="291" t="s">
        <v>441</v>
      </c>
      <c r="W102" s="291" t="s">
        <v>442</v>
      </c>
      <c r="X102" s="552">
        <v>15062872</v>
      </c>
      <c r="Y102" s="291"/>
      <c r="Z102" s="291"/>
      <c r="AA102" s="291"/>
    </row>
    <row r="103" spans="3:27">
      <c r="C103" s="210" t="s">
        <v>106</v>
      </c>
      <c r="U103" s="291" t="s">
        <v>219</v>
      </c>
      <c r="V103" s="291" t="s">
        <v>441</v>
      </c>
      <c r="W103" s="291" t="s">
        <v>442</v>
      </c>
      <c r="X103" s="552">
        <v>15062875</v>
      </c>
      <c r="Y103" s="291"/>
      <c r="Z103" s="291"/>
      <c r="AA103" s="291"/>
    </row>
    <row r="104" spans="3:27">
      <c r="C104" s="210" t="s">
        <v>107</v>
      </c>
      <c r="U104" s="291" t="s">
        <v>220</v>
      </c>
      <c r="V104" s="291" t="s">
        <v>441</v>
      </c>
      <c r="W104" s="291" t="s">
        <v>442</v>
      </c>
      <c r="X104" s="552">
        <v>34903046</v>
      </c>
      <c r="Y104" s="291"/>
      <c r="Z104" s="291"/>
      <c r="AA104" s="291"/>
    </row>
    <row r="105" spans="3:27">
      <c r="C105" s="210"/>
      <c r="U105" s="291" t="s">
        <v>221</v>
      </c>
      <c r="V105" s="291" t="s">
        <v>441</v>
      </c>
      <c r="W105" s="291" t="s">
        <v>443</v>
      </c>
      <c r="X105" s="552">
        <v>34903053</v>
      </c>
      <c r="Y105" s="291"/>
      <c r="Z105" s="291"/>
      <c r="AA105" s="291"/>
    </row>
    <row r="106" spans="3:27">
      <c r="C106" s="241" t="s">
        <v>108</v>
      </c>
      <c r="D106" s="211"/>
      <c r="U106" s="291" t="s">
        <v>254</v>
      </c>
      <c r="V106" s="291" t="s">
        <v>441</v>
      </c>
      <c r="W106" s="291" t="s">
        <v>443</v>
      </c>
      <c r="X106" s="552">
        <v>34903051</v>
      </c>
      <c r="Y106" s="291"/>
      <c r="Z106" s="291"/>
      <c r="AA106" s="291"/>
    </row>
    <row r="107" spans="3:27">
      <c r="C107" s="241" t="s">
        <v>109</v>
      </c>
      <c r="D107" s="211"/>
      <c r="U107" s="291" t="s">
        <v>42</v>
      </c>
      <c r="V107" s="291" t="s">
        <v>441</v>
      </c>
      <c r="W107" s="291" t="s">
        <v>443</v>
      </c>
      <c r="X107" s="552">
        <v>34904091</v>
      </c>
      <c r="Y107" s="291"/>
      <c r="Z107" s="291"/>
      <c r="AA107" s="291"/>
    </row>
    <row r="108" spans="3:27">
      <c r="C108" s="210"/>
      <c r="U108" s="291" t="s">
        <v>455</v>
      </c>
      <c r="V108" s="291" t="s">
        <v>441</v>
      </c>
      <c r="W108" s="291" t="s">
        <v>443</v>
      </c>
      <c r="X108" s="552" t="s">
        <v>446</v>
      </c>
      <c r="Y108" s="291"/>
      <c r="Z108" s="291"/>
      <c r="AA108" s="291"/>
    </row>
    <row r="109" spans="3:27">
      <c r="C109" s="212"/>
      <c r="U109" s="291" t="s">
        <v>456</v>
      </c>
      <c r="V109" s="291" t="s">
        <v>444</v>
      </c>
      <c r="W109" s="291" t="s">
        <v>445</v>
      </c>
      <c r="X109" s="552" t="s">
        <v>447</v>
      </c>
      <c r="Y109" s="291"/>
      <c r="Z109" s="291"/>
      <c r="AA109" s="291"/>
    </row>
    <row r="110" spans="3:27">
      <c r="C110" s="158" t="s">
        <v>364</v>
      </c>
      <c r="U110" s="291" t="s">
        <v>457</v>
      </c>
      <c r="V110" s="291" t="s">
        <v>444</v>
      </c>
      <c r="W110" s="291" t="s">
        <v>445</v>
      </c>
      <c r="X110" s="552" t="s">
        <v>448</v>
      </c>
      <c r="Y110" s="291"/>
      <c r="Z110" s="291"/>
      <c r="AA110" s="291"/>
    </row>
    <row r="111" spans="3:27">
      <c r="C111" s="158" t="s">
        <v>82</v>
      </c>
      <c r="U111" s="291" t="s">
        <v>458</v>
      </c>
      <c r="V111" s="291" t="s">
        <v>444</v>
      </c>
      <c r="W111" s="291" t="s">
        <v>445</v>
      </c>
      <c r="X111" s="552" t="s">
        <v>449</v>
      </c>
      <c r="Y111" s="291"/>
      <c r="Z111" s="291"/>
      <c r="AA111" s="291"/>
    </row>
    <row r="112" spans="3:27">
      <c r="C112" s="158" t="s">
        <v>171</v>
      </c>
      <c r="U112" s="291" t="s">
        <v>459</v>
      </c>
      <c r="V112" s="291" t="s">
        <v>444</v>
      </c>
      <c r="W112" s="291" t="s">
        <v>445</v>
      </c>
      <c r="X112" s="552" t="s">
        <v>450</v>
      </c>
      <c r="Y112" s="291"/>
      <c r="Z112" s="291"/>
      <c r="AA112" s="291"/>
    </row>
    <row r="113" spans="3:27">
      <c r="U113" s="291" t="s">
        <v>460</v>
      </c>
      <c r="V113" s="291" t="s">
        <v>444</v>
      </c>
      <c r="W113" s="291" t="s">
        <v>445</v>
      </c>
      <c r="X113" s="552" t="s">
        <v>451</v>
      </c>
      <c r="Y113" s="291"/>
      <c r="Z113" s="291"/>
      <c r="AA113" s="291"/>
    </row>
    <row r="114" spans="3:27">
      <c r="C114" s="242" t="s">
        <v>83</v>
      </c>
      <c r="U114" s="291" t="s">
        <v>461</v>
      </c>
      <c r="V114" s="291" t="s">
        <v>444</v>
      </c>
      <c r="W114" s="291" t="s">
        <v>445</v>
      </c>
      <c r="X114" s="552" t="s">
        <v>452</v>
      </c>
      <c r="Y114" s="291"/>
      <c r="Z114" s="291"/>
      <c r="AA114" s="291"/>
    </row>
    <row r="115" spans="3:27">
      <c r="U115" s="291" t="s">
        <v>462</v>
      </c>
      <c r="V115" s="291" t="s">
        <v>444</v>
      </c>
      <c r="W115" s="291" t="s">
        <v>445</v>
      </c>
      <c r="X115" s="552" t="s">
        <v>453</v>
      </c>
      <c r="Y115" s="291"/>
      <c r="Z115" s="291"/>
      <c r="AA115" s="291"/>
    </row>
    <row r="116" spans="3:27">
      <c r="U116" s="291" t="s">
        <v>463</v>
      </c>
      <c r="V116" s="291" t="s">
        <v>444</v>
      </c>
      <c r="W116" s="291" t="s">
        <v>445</v>
      </c>
      <c r="X116" s="552" t="s">
        <v>454</v>
      </c>
      <c r="Y116" s="291"/>
      <c r="Z116" s="291"/>
      <c r="AA116" s="291"/>
    </row>
  </sheetData>
  <mergeCells count="42">
    <mergeCell ref="U78:AA78"/>
    <mergeCell ref="U87:AA87"/>
    <mergeCell ref="U98:AA98"/>
    <mergeCell ref="M72:M73"/>
    <mergeCell ref="N72:N73"/>
    <mergeCell ref="A1:L1"/>
    <mergeCell ref="B72:B73"/>
    <mergeCell ref="C32:C33"/>
    <mergeCell ref="C34:C40"/>
    <mergeCell ref="C72:C73"/>
    <mergeCell ref="J72:J73"/>
    <mergeCell ref="I25:J26"/>
    <mergeCell ref="K25:L26"/>
    <mergeCell ref="B52:J52"/>
    <mergeCell ref="B55:L56"/>
    <mergeCell ref="C28:H28"/>
    <mergeCell ref="K28:L28"/>
    <mergeCell ref="C29:H29"/>
    <mergeCell ref="K29:L29"/>
    <mergeCell ref="E32:I32"/>
    <mergeCell ref="B43:L43"/>
    <mergeCell ref="C74:C80"/>
    <mergeCell ref="D32:D33"/>
    <mergeCell ref="D72:D73"/>
    <mergeCell ref="L72:L73"/>
    <mergeCell ref="B59:E59"/>
    <mergeCell ref="B63:D63"/>
    <mergeCell ref="F72:I72"/>
    <mergeCell ref="B46:L46"/>
    <mergeCell ref="B50:L50"/>
    <mergeCell ref="B51:J51"/>
    <mergeCell ref="B32:B33"/>
    <mergeCell ref="E8:F8"/>
    <mergeCell ref="E9:F9"/>
    <mergeCell ref="Q60:Q62"/>
    <mergeCell ref="M27:M28"/>
    <mergeCell ref="O14:P14"/>
    <mergeCell ref="A23:I23"/>
    <mergeCell ref="C27:H27"/>
    <mergeCell ref="K27:L27"/>
    <mergeCell ref="B25:B26"/>
    <mergeCell ref="C25:H26"/>
  </mergeCells>
  <phoneticPr fontId="36" type="noConversion"/>
  <dataValidations count="3">
    <dataValidation type="list" allowBlank="1" showInputMessage="1" showErrorMessage="1" sqref="E21:E22" xr:uid="{00000000-0002-0000-0300-000000000000}">
      <formula1>$C$89:$C$90</formula1>
    </dataValidation>
    <dataValidation allowBlank="1" showInputMessage="1" sqref="B46:L46 A2:G2 I2:L2" xr:uid="{00000000-0002-0000-0300-000001000000}"/>
    <dataValidation type="list" allowBlank="1" showInputMessage="1" showErrorMessage="1" sqref="M27" xr:uid="{00000000-0002-0000-0300-000002000000}">
      <formula1>"NG,G"</formula1>
    </dataValidation>
  </dataValidations>
  <printOptions horizontalCentered="1"/>
  <pageMargins left="0.5" right="0.5" top="0.5" bottom="0.5" header="0.25" footer="0.51180555555555596"/>
  <pageSetup paperSize="9" scale="70" orientation="portrait" r:id="rId1"/>
  <headerFooter alignWithMargins="0">
    <oddHeader xml:space="preserve">&amp;R&amp;8OA.024-18 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3091" r:id="rId4">
          <objectPr defaultSize="0" autoPict="0" r:id="rId5">
            <anchor moveWithCells="1" sizeWithCells="1">
              <from>
                <xdr:col>11</xdr:col>
                <xdr:colOff>7620</xdr:colOff>
                <xdr:row>30</xdr:row>
                <xdr:rowOff>0</xdr:rowOff>
              </from>
              <to>
                <xdr:col>11</xdr:col>
                <xdr:colOff>411480</xdr:colOff>
                <xdr:row>30</xdr:row>
                <xdr:rowOff>0</xdr:rowOff>
              </to>
            </anchor>
          </objectPr>
        </oleObject>
      </mc:Choice>
      <mc:Fallback>
        <oleObject progId="Equation.3" shapeId="3091" r:id="rId4"/>
      </mc:Fallback>
    </mc:AlternateContent>
    <mc:AlternateContent xmlns:mc="http://schemas.openxmlformats.org/markup-compatibility/2006">
      <mc:Choice Requires="x14">
        <oleObject progId="Equation.3" shapeId="3092" r:id="rId6">
          <objectPr defaultSize="0" autoPict="0" r:id="rId5">
            <anchor moveWithCells="1" sizeWithCells="1">
              <from>
                <xdr:col>11</xdr:col>
                <xdr:colOff>7620</xdr:colOff>
                <xdr:row>30</xdr:row>
                <xdr:rowOff>0</xdr:rowOff>
              </from>
              <to>
                <xdr:col>11</xdr:col>
                <xdr:colOff>411480</xdr:colOff>
                <xdr:row>30</xdr:row>
                <xdr:rowOff>0</xdr:rowOff>
              </to>
            </anchor>
          </objectPr>
        </oleObject>
      </mc:Choice>
      <mc:Fallback>
        <oleObject progId="Equation.3" shapeId="3092" r:id="rId6"/>
      </mc:Fallback>
    </mc:AlternateContent>
    <mc:AlternateContent xmlns:mc="http://schemas.openxmlformats.org/markup-compatibility/2006">
      <mc:Choice Requires="x14">
        <oleObject progId="Equation.3" shapeId="3093" r:id="rId7">
          <objectPr defaultSize="0" autoPict="0" r:id="rId5">
            <anchor moveWithCells="1" sizeWithCells="1">
              <from>
                <xdr:col>11</xdr:col>
                <xdr:colOff>7620</xdr:colOff>
                <xdr:row>30</xdr:row>
                <xdr:rowOff>0</xdr:rowOff>
              </from>
              <to>
                <xdr:col>11</xdr:col>
                <xdr:colOff>411480</xdr:colOff>
                <xdr:row>30</xdr:row>
                <xdr:rowOff>0</xdr:rowOff>
              </to>
            </anchor>
          </objectPr>
        </oleObject>
      </mc:Choice>
      <mc:Fallback>
        <oleObject progId="Equation.3" shapeId="3093" r:id="rId7"/>
      </mc:Fallback>
    </mc:AlternateContent>
    <mc:AlternateContent xmlns:mc="http://schemas.openxmlformats.org/markup-compatibility/2006">
      <mc:Choice Requires="x14">
        <oleObject progId="Equation.3" shapeId="3094" r:id="rId8">
          <objectPr defaultSize="0" autoPict="0" r:id="rId5">
            <anchor moveWithCells="1" sizeWithCells="1">
              <from>
                <xdr:col>11</xdr:col>
                <xdr:colOff>7620</xdr:colOff>
                <xdr:row>30</xdr:row>
                <xdr:rowOff>0</xdr:rowOff>
              </from>
              <to>
                <xdr:col>11</xdr:col>
                <xdr:colOff>411480</xdr:colOff>
                <xdr:row>30</xdr:row>
                <xdr:rowOff>0</xdr:rowOff>
              </to>
            </anchor>
          </objectPr>
        </oleObject>
      </mc:Choice>
      <mc:Fallback>
        <oleObject progId="Equation.3" shapeId="3094" r:id="rId8"/>
      </mc:Fallback>
    </mc:AlternateContent>
    <mc:AlternateContent xmlns:mc="http://schemas.openxmlformats.org/markup-compatibility/2006">
      <mc:Choice Requires="x14">
        <oleObject progId="Equation.3" shapeId="3095" r:id="rId9">
          <objectPr defaultSize="0" autoPict="0" r:id="rId5">
            <anchor moveWithCells="1" sizeWithCells="1">
              <from>
                <xdr:col>11</xdr:col>
                <xdr:colOff>7620</xdr:colOff>
                <xdr:row>30</xdr:row>
                <xdr:rowOff>0</xdr:rowOff>
              </from>
              <to>
                <xdr:col>11</xdr:col>
                <xdr:colOff>411480</xdr:colOff>
                <xdr:row>30</xdr:row>
                <xdr:rowOff>0</xdr:rowOff>
              </to>
            </anchor>
          </objectPr>
        </oleObject>
      </mc:Choice>
      <mc:Fallback>
        <oleObject progId="Equation.3" shapeId="3095" r:id="rId9"/>
      </mc:Fallback>
    </mc:AlternateContent>
    <mc:AlternateContent xmlns:mc="http://schemas.openxmlformats.org/markup-compatibility/2006">
      <mc:Choice Requires="x14">
        <oleObject progId="Equation.3" shapeId="3096" r:id="rId10">
          <objectPr defaultSize="0" autoPict="0" r:id="rId5">
            <anchor moveWithCells="1" sizeWithCells="1">
              <from>
                <xdr:col>11</xdr:col>
                <xdr:colOff>7620</xdr:colOff>
                <xdr:row>30</xdr:row>
                <xdr:rowOff>0</xdr:rowOff>
              </from>
              <to>
                <xdr:col>11</xdr:col>
                <xdr:colOff>411480</xdr:colOff>
                <xdr:row>30</xdr:row>
                <xdr:rowOff>0</xdr:rowOff>
              </to>
            </anchor>
          </objectPr>
        </oleObject>
      </mc:Choice>
      <mc:Fallback>
        <oleObject progId="Equation.3" shapeId="3096" r:id="rId10"/>
      </mc:Fallback>
    </mc:AlternateContent>
    <mc:AlternateContent xmlns:mc="http://schemas.openxmlformats.org/markup-compatibility/2006">
      <mc:Choice Requires="x14">
        <oleObject progId="Equation.3" shapeId="3097" r:id="rId11">
          <objectPr defaultSize="0" autoPict="0" r:id="rId5">
            <anchor moveWithCells="1" sizeWithCells="1">
              <from>
                <xdr:col>11</xdr:col>
                <xdr:colOff>7620</xdr:colOff>
                <xdr:row>30</xdr:row>
                <xdr:rowOff>0</xdr:rowOff>
              </from>
              <to>
                <xdr:col>11</xdr:col>
                <xdr:colOff>411480</xdr:colOff>
                <xdr:row>30</xdr:row>
                <xdr:rowOff>0</xdr:rowOff>
              </to>
            </anchor>
          </objectPr>
        </oleObject>
      </mc:Choice>
      <mc:Fallback>
        <oleObject progId="Equation.3" shapeId="3097" r:id="rId11"/>
      </mc:Fallback>
    </mc:AlternateContent>
    <mc:AlternateContent xmlns:mc="http://schemas.openxmlformats.org/markup-compatibility/2006">
      <mc:Choice Requires="x14">
        <oleObject progId="Equation.3" shapeId="3098" r:id="rId12">
          <objectPr defaultSize="0" autoPict="0" r:id="rId5">
            <anchor moveWithCells="1" sizeWithCells="1">
              <from>
                <xdr:col>11</xdr:col>
                <xdr:colOff>7620</xdr:colOff>
                <xdr:row>30</xdr:row>
                <xdr:rowOff>0</xdr:rowOff>
              </from>
              <to>
                <xdr:col>11</xdr:col>
                <xdr:colOff>411480</xdr:colOff>
                <xdr:row>30</xdr:row>
                <xdr:rowOff>0</xdr:rowOff>
              </to>
            </anchor>
          </objectPr>
        </oleObject>
      </mc:Choice>
      <mc:Fallback>
        <oleObject progId="Equation.3" shapeId="3098" r:id="rId12"/>
      </mc:Fallback>
    </mc:AlternateContent>
    <mc:AlternateContent xmlns:mc="http://schemas.openxmlformats.org/markup-compatibility/2006">
      <mc:Choice Requires="x14">
        <oleObject progId="Equation.3" shapeId="3099" r:id="rId13">
          <objectPr defaultSize="0" autoPict="0" r:id="rId5">
            <anchor moveWithCells="1" sizeWithCells="1">
              <from>
                <xdr:col>11</xdr:col>
                <xdr:colOff>7620</xdr:colOff>
                <xdr:row>30</xdr:row>
                <xdr:rowOff>0</xdr:rowOff>
              </from>
              <to>
                <xdr:col>11</xdr:col>
                <xdr:colOff>411480</xdr:colOff>
                <xdr:row>30</xdr:row>
                <xdr:rowOff>0</xdr:rowOff>
              </to>
            </anchor>
          </objectPr>
        </oleObject>
      </mc:Choice>
      <mc:Fallback>
        <oleObject progId="Equation.3" shapeId="3099" r:id="rId13"/>
      </mc:Fallback>
    </mc:AlternateContent>
    <mc:AlternateContent xmlns:mc="http://schemas.openxmlformats.org/markup-compatibility/2006">
      <mc:Choice Requires="x14">
        <oleObject progId="Equation.3" shapeId="3100" r:id="rId14">
          <objectPr defaultSize="0" autoPict="0" r:id="rId5">
            <anchor moveWithCells="1" sizeWithCells="1">
              <from>
                <xdr:col>10</xdr:col>
                <xdr:colOff>7620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0" r:id="rId14"/>
      </mc:Fallback>
    </mc:AlternateContent>
    <mc:AlternateContent xmlns:mc="http://schemas.openxmlformats.org/markup-compatibility/2006">
      <mc:Choice Requires="x14">
        <oleObject progId="Equation.3" shapeId="3101" r:id="rId15">
          <objectPr defaultSize="0" autoPict="0" r:id="rId5">
            <anchor moveWithCells="1" sizeWithCells="1">
              <from>
                <xdr:col>10</xdr:col>
                <xdr:colOff>7620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1" r:id="rId15"/>
      </mc:Fallback>
    </mc:AlternateContent>
    <mc:AlternateContent xmlns:mc="http://schemas.openxmlformats.org/markup-compatibility/2006">
      <mc:Choice Requires="x14">
        <oleObject progId="Equation.3" shapeId="3102" r:id="rId16">
          <objectPr defaultSize="0" autoPict="0" r:id="rId5">
            <anchor moveWithCells="1" sizeWithCells="1">
              <from>
                <xdr:col>10</xdr:col>
                <xdr:colOff>7620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2" r:id="rId16"/>
      </mc:Fallback>
    </mc:AlternateContent>
    <mc:AlternateContent xmlns:mc="http://schemas.openxmlformats.org/markup-compatibility/2006">
      <mc:Choice Requires="x14">
        <oleObject progId="Equation.3" shapeId="3103" r:id="rId17">
          <objectPr defaultSize="0" autoPict="0" r:id="rId5">
            <anchor moveWithCells="1" sizeWithCells="1">
              <from>
                <xdr:col>10</xdr:col>
                <xdr:colOff>7620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3" r:id="rId17"/>
      </mc:Fallback>
    </mc:AlternateContent>
    <mc:AlternateContent xmlns:mc="http://schemas.openxmlformats.org/markup-compatibility/2006">
      <mc:Choice Requires="x14">
        <oleObject progId="Equation.3" shapeId="3104" r:id="rId18">
          <objectPr defaultSize="0" autoPict="0" r:id="rId5">
            <anchor moveWithCells="1" sizeWithCells="1">
              <from>
                <xdr:col>10</xdr:col>
                <xdr:colOff>7620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4" r:id="rId18"/>
      </mc:Fallback>
    </mc:AlternateContent>
    <mc:AlternateContent xmlns:mc="http://schemas.openxmlformats.org/markup-compatibility/2006">
      <mc:Choice Requires="x14">
        <oleObject progId="Equation.3" shapeId="3105" r:id="rId19">
          <objectPr defaultSize="0" autoPict="0" r:id="rId5">
            <anchor moveWithCells="1" sizeWithCells="1">
              <from>
                <xdr:col>10</xdr:col>
                <xdr:colOff>7620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5" r:id="rId19"/>
      </mc:Fallback>
    </mc:AlternateContent>
    <mc:AlternateContent xmlns:mc="http://schemas.openxmlformats.org/markup-compatibility/2006">
      <mc:Choice Requires="x14">
        <oleObject progId="Equation.3" shapeId="3106" r:id="rId20">
          <objectPr defaultSize="0" autoPict="0" r:id="rId5">
            <anchor moveWithCells="1" sizeWithCells="1">
              <from>
                <xdr:col>10</xdr:col>
                <xdr:colOff>7620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6" r:id="rId20"/>
      </mc:Fallback>
    </mc:AlternateContent>
    <mc:AlternateContent xmlns:mc="http://schemas.openxmlformats.org/markup-compatibility/2006">
      <mc:Choice Requires="x14">
        <oleObject progId="Equation.3" shapeId="3107" r:id="rId21">
          <objectPr defaultSize="0" autoPict="0" r:id="rId5">
            <anchor moveWithCells="1" sizeWithCells="1">
              <from>
                <xdr:col>10</xdr:col>
                <xdr:colOff>7620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7" r:id="rId21"/>
      </mc:Fallback>
    </mc:AlternateContent>
    <mc:AlternateContent xmlns:mc="http://schemas.openxmlformats.org/markup-compatibility/2006">
      <mc:Choice Requires="x14">
        <oleObject progId="Equation.3" shapeId="3108" r:id="rId22">
          <objectPr defaultSize="0" autoPict="0" r:id="rId5">
            <anchor moveWithCells="1" sizeWithCells="1">
              <from>
                <xdr:col>10</xdr:col>
                <xdr:colOff>7620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8" r:id="rId22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xr:uid="{00000000-0002-0000-0300-000003000000}">
          <x14:formula1>
            <xm:f>cetik!$A$1:$A$2</xm:f>
          </x14:formula1>
          <xm:sqref>B43</xm:sqref>
        </x14:dataValidation>
        <x14:dataValidation type="list" allowBlank="1" showInputMessage="1" showErrorMessage="1" xr:uid="{00000000-0002-0000-0300-000004000000}">
          <x14:formula1>
            <xm:f>cetik!$L$4:$L$10</xm:f>
          </x14:formula1>
          <xm:sqref>B50:L50</xm:sqref>
        </x14:dataValidation>
        <x14:dataValidation type="list" allowBlank="1" showInputMessage="1" showErrorMessage="1" xr:uid="{00000000-0002-0000-0300-000005000000}">
          <x14:formula1>
            <xm:f>cetik!$B$2:$B$11</xm:f>
          </x14:formula1>
          <xm:sqref>M50</xm:sqref>
        </x14:dataValidation>
        <x14:dataValidation type="list" allowBlank="1" showInputMessage="1" showErrorMessage="1" xr:uid="{00000000-0002-0000-0300-000006000000}">
          <x14:formula1>
            <xm:f>'DB ESA'!$A$235:$A$243</xm:f>
          </x14:formula1>
          <xm:sqref>B51:J51</xm:sqref>
        </x14:dataValidation>
        <x14:dataValidation type="list" allowBlank="1" showInputMessage="1" showErrorMessage="1" xr:uid="{00000000-0002-0000-0300-000007000000}">
          <x14:formula1>
            <xm:f>cetik!$G$1:$G$10</xm:f>
          </x14:formula1>
          <xm:sqref>B53:I53</xm:sqref>
        </x14:dataValidation>
        <x14:dataValidation type="list" allowBlank="1" showInputMessage="1" xr:uid="{00000000-0002-0000-0300-000008000000}">
          <x14:formula1>
            <xm:f>cetik!$H$1:$H$22</xm:f>
          </x14:formula1>
          <xm:sqref>B59:E60</xm:sqref>
        </x14:dataValidation>
        <x14:dataValidation type="list" allowBlank="1" showInputMessage="1" xr:uid="{00000000-0002-0000-0300-000009000000}">
          <x14:formula1>
            <xm:f>cetik!$H$1:$H$11</xm:f>
          </x14:formula1>
          <xm:sqref>B61:E61</xm:sqref>
        </x14:dataValidation>
        <x14:dataValidation type="list" allowBlank="1" showInputMessage="1" showErrorMessage="1" xr:uid="{00000000-0002-0000-0300-00000A000000}">
          <x14:formula1>
            <xm:f>'DB Suhu'!$A$354:$A$371</xm:f>
          </x14:formula1>
          <xm:sqref>B52:J52</xm:sqref>
        </x14:dataValidation>
        <x14:dataValidation type="list" allowBlank="1" showInputMessage="1" showErrorMessage="1" xr:uid="{00000000-0002-0000-0300-00000B000000}">
          <x14:formula1>
            <xm:f>cetik!$J$4:$J$5</xm:f>
          </x14:formula1>
          <xm:sqref>C29:H29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68"/>
  <sheetViews>
    <sheetView showGridLines="0" showWhiteSpace="0" view="pageBreakPreview" topLeftCell="A22" zoomScaleNormal="100" zoomScaleSheetLayoutView="100" workbookViewId="0">
      <selection activeCell="B45" sqref="B45"/>
    </sheetView>
  </sheetViews>
  <sheetFormatPr defaultColWidth="9.109375" defaultRowHeight="13.8"/>
  <cols>
    <col min="1" max="2" width="4.109375" style="49" customWidth="1"/>
    <col min="3" max="3" width="13" style="49" customWidth="1"/>
    <col min="4" max="4" width="8.44140625" style="49" customWidth="1"/>
    <col min="5" max="5" width="2.33203125" style="49" customWidth="1"/>
    <col min="6" max="6" width="8" style="294" customWidth="1"/>
    <col min="7" max="7" width="6.109375" style="49" customWidth="1"/>
    <col min="8" max="8" width="6.33203125" style="49" customWidth="1"/>
    <col min="9" max="9" width="5.6640625" style="49" customWidth="1"/>
    <col min="10" max="10" width="11.88671875" style="49" customWidth="1"/>
    <col min="11" max="11" width="12.5546875" style="49" customWidth="1"/>
    <col min="12" max="12" width="16.5546875" style="49" customWidth="1"/>
    <col min="13" max="13" width="6.88671875" style="49" customWidth="1"/>
    <col min="14" max="14" width="15.6640625" style="49" customWidth="1"/>
    <col min="15" max="15" width="7.109375" style="49" customWidth="1"/>
    <col min="16" max="16" width="7.6640625" style="49" customWidth="1"/>
    <col min="17" max="18" width="9.109375" style="49"/>
    <col min="19" max="19" width="9.44140625" style="49" bestFit="1" customWidth="1"/>
    <col min="20" max="16384" width="9.109375" style="49"/>
  </cols>
  <sheetData>
    <row r="1" spans="1:17" ht="17.399999999999999">
      <c r="A1" s="996" t="s">
        <v>377</v>
      </c>
      <c r="B1" s="996"/>
      <c r="C1" s="996"/>
      <c r="D1" s="996"/>
      <c r="E1" s="996"/>
      <c r="F1" s="996"/>
      <c r="G1" s="996"/>
      <c r="H1" s="996"/>
      <c r="I1" s="996"/>
      <c r="J1" s="996"/>
      <c r="K1" s="996"/>
      <c r="L1" s="996"/>
      <c r="M1" s="996"/>
      <c r="N1" s="996"/>
      <c r="O1" s="996"/>
      <c r="P1" s="996"/>
      <c r="Q1" s="89"/>
    </row>
    <row r="2" spans="1:17" ht="17.25" customHeight="1">
      <c r="A2" s="997" t="str">
        <f>ID!H2&amp;" "&amp;ID!I2</f>
        <v>Nomor Sertifikat : 18 / 1 / IV - 21 / E - 03.000 DL</v>
      </c>
      <c r="B2" s="997"/>
      <c r="C2" s="997"/>
      <c r="D2" s="997"/>
      <c r="E2" s="997"/>
      <c r="F2" s="997"/>
      <c r="G2" s="997"/>
      <c r="H2" s="997"/>
      <c r="I2" s="997"/>
      <c r="J2" s="997"/>
      <c r="K2" s="997"/>
      <c r="L2" s="997"/>
      <c r="M2" s="997"/>
      <c r="N2" s="997"/>
      <c r="O2" s="997"/>
      <c r="P2" s="997"/>
      <c r="Q2" s="90"/>
    </row>
    <row r="3" spans="1:17" ht="17.25" customHeight="1">
      <c r="B3" s="776"/>
      <c r="C3" s="776"/>
      <c r="D3" s="776"/>
      <c r="E3" s="776"/>
      <c r="F3" s="559"/>
      <c r="G3" s="776"/>
      <c r="H3" s="776"/>
      <c r="I3" s="776"/>
      <c r="J3" s="776"/>
      <c r="K3" s="776"/>
      <c r="L3" s="776"/>
      <c r="M3" s="776"/>
      <c r="N3" s="776"/>
      <c r="O3" s="776"/>
      <c r="P3" s="776"/>
      <c r="Q3" s="90"/>
    </row>
    <row r="4" spans="1:17" ht="14.25" customHeight="1">
      <c r="B4" s="50"/>
      <c r="C4" s="50"/>
      <c r="D4" s="50"/>
      <c r="E4" s="50"/>
      <c r="F4" s="560"/>
      <c r="G4" s="50"/>
      <c r="H4" s="50"/>
      <c r="I4" s="50"/>
      <c r="J4" s="50"/>
      <c r="K4" s="50"/>
      <c r="L4" s="50"/>
      <c r="M4" s="52"/>
      <c r="N4" s="52"/>
      <c r="O4" s="52"/>
      <c r="P4" s="52"/>
    </row>
    <row r="5" spans="1:17">
      <c r="A5" s="51" t="str">
        <f>ID!A4</f>
        <v>Merek</v>
      </c>
      <c r="C5" s="51"/>
      <c r="D5" s="52"/>
      <c r="E5" s="53" t="s">
        <v>15</v>
      </c>
      <c r="F5" s="779" t="str">
        <f>ID!E4</f>
        <v>bistos</v>
      </c>
      <c r="G5" s="53"/>
      <c r="H5" s="53"/>
      <c r="J5" s="51"/>
      <c r="K5" s="51"/>
      <c r="L5" s="51"/>
      <c r="M5" s="51"/>
      <c r="N5" s="52"/>
      <c r="O5" s="52"/>
      <c r="P5" s="52"/>
    </row>
    <row r="6" spans="1:17">
      <c r="A6" s="51" t="str">
        <f>ID!A5</f>
        <v>Model/Tipe</v>
      </c>
      <c r="C6" s="51"/>
      <c r="D6" s="52"/>
      <c r="E6" s="53" t="s">
        <v>15</v>
      </c>
      <c r="F6" s="779" t="str">
        <f>ID!E5</f>
        <v>BT - 200</v>
      </c>
      <c r="G6" s="53"/>
      <c r="H6" s="53"/>
      <c r="J6" s="51"/>
      <c r="K6" s="51"/>
      <c r="L6" s="51"/>
      <c r="M6" s="51"/>
      <c r="N6" s="52"/>
      <c r="O6" s="52"/>
      <c r="P6" s="52"/>
    </row>
    <row r="7" spans="1:17">
      <c r="A7" s="51" t="str">
        <f>ID!A6</f>
        <v>No. Seri</v>
      </c>
      <c r="C7" s="51"/>
      <c r="D7" s="52"/>
      <c r="E7" s="53" t="s">
        <v>15</v>
      </c>
      <c r="F7" s="779" t="str">
        <f>ID!E6</f>
        <v>BDH10736</v>
      </c>
      <c r="G7" s="53"/>
      <c r="H7" s="53"/>
      <c r="J7" s="51"/>
      <c r="K7" s="51"/>
      <c r="L7" s="51"/>
      <c r="M7" s="51"/>
      <c r="N7" s="52"/>
      <c r="O7" s="52"/>
      <c r="P7" s="52"/>
    </row>
    <row r="8" spans="1:17">
      <c r="A8" s="51" t="str">
        <f>ID!A7</f>
        <v>Resolusi</v>
      </c>
      <c r="C8" s="51"/>
      <c r="D8" s="52"/>
      <c r="E8" s="53" t="s">
        <v>15</v>
      </c>
      <c r="F8" s="561">
        <f>ID!E7</f>
        <v>1</v>
      </c>
      <c r="G8" s="558" t="s">
        <v>65</v>
      </c>
      <c r="H8" s="558"/>
      <c r="I8" s="558"/>
      <c r="J8" s="558"/>
      <c r="K8" s="51"/>
      <c r="L8" s="51"/>
      <c r="M8" s="51"/>
      <c r="N8" s="52"/>
      <c r="O8" s="52"/>
      <c r="P8" s="52"/>
    </row>
    <row r="9" spans="1:17">
      <c r="A9" s="51" t="str">
        <f>ID!A8</f>
        <v>Tanggal Penerimaan Alat</v>
      </c>
      <c r="C9" s="51"/>
      <c r="D9" s="52"/>
      <c r="E9" s="53" t="s">
        <v>15</v>
      </c>
      <c r="F9" s="1005">
        <f>ID!E8</f>
        <v>44624</v>
      </c>
      <c r="G9" s="1005"/>
      <c r="H9" s="1005"/>
      <c r="I9" s="1005"/>
      <c r="J9" s="51"/>
      <c r="K9" s="51"/>
      <c r="L9" s="51"/>
      <c r="M9" s="51"/>
      <c r="N9" s="52"/>
      <c r="O9" s="52"/>
      <c r="P9" s="52"/>
    </row>
    <row r="10" spans="1:17">
      <c r="A10" s="51" t="str">
        <f>ID!A9</f>
        <v>Tanggal Kalibrasi</v>
      </c>
      <c r="C10" s="51"/>
      <c r="D10" s="52"/>
      <c r="E10" s="53" t="s">
        <v>15</v>
      </c>
      <c r="F10" s="1005">
        <f>ID!E9</f>
        <v>44625</v>
      </c>
      <c r="G10" s="1005"/>
      <c r="H10" s="1005"/>
      <c r="I10" s="1005"/>
      <c r="J10" s="51"/>
      <c r="K10" s="51"/>
      <c r="L10" s="51"/>
      <c r="M10" s="51"/>
      <c r="N10" s="52"/>
      <c r="O10" s="52"/>
      <c r="P10" s="52"/>
    </row>
    <row r="11" spans="1:17">
      <c r="A11" s="51" t="str">
        <f>ID!A10</f>
        <v>Tempat Kalibrasi</v>
      </c>
      <c r="C11" s="51"/>
      <c r="D11" s="52"/>
      <c r="E11" s="53" t="s">
        <v>15</v>
      </c>
      <c r="F11" s="779" t="str">
        <f>ID!E10</f>
        <v>IGD</v>
      </c>
      <c r="G11" s="53"/>
      <c r="H11" s="53"/>
      <c r="J11" s="51"/>
      <c r="K11" s="51"/>
      <c r="L11" s="51"/>
      <c r="M11" s="51"/>
      <c r="N11" s="52"/>
      <c r="O11" s="52"/>
      <c r="P11" s="52"/>
    </row>
    <row r="12" spans="1:17">
      <c r="A12" s="51" t="str">
        <f>ID!A11</f>
        <v>Nama Ruang</v>
      </c>
      <c r="C12" s="51"/>
      <c r="D12" s="52"/>
      <c r="E12" s="53" t="s">
        <v>15</v>
      </c>
      <c r="F12" s="779" t="str">
        <f>ID!E11</f>
        <v>IGD</v>
      </c>
      <c r="G12" s="53"/>
      <c r="H12" s="53"/>
      <c r="J12" s="51"/>
      <c r="K12" s="51"/>
      <c r="L12" s="51"/>
      <c r="M12" s="51"/>
      <c r="N12" s="52"/>
      <c r="O12" s="52"/>
      <c r="P12" s="52"/>
    </row>
    <row r="13" spans="1:17">
      <c r="A13" s="51" t="str">
        <f>ID!A12</f>
        <v>Metode Kerja</v>
      </c>
      <c r="C13" s="51"/>
      <c r="D13" s="52"/>
      <c r="E13" s="53" t="s">
        <v>15</v>
      </c>
      <c r="F13" s="779" t="str">
        <f>ID!E12</f>
        <v>MK 024 - 18</v>
      </c>
      <c r="G13" s="53"/>
      <c r="H13" s="53"/>
      <c r="J13" s="51"/>
      <c r="K13" s="51"/>
      <c r="L13" s="51"/>
      <c r="M13" s="51"/>
      <c r="N13" s="52"/>
      <c r="O13" s="52"/>
      <c r="P13" s="52"/>
    </row>
    <row r="14" spans="1:17" ht="14.25" customHeight="1">
      <c r="B14" s="51"/>
      <c r="C14" s="51"/>
      <c r="D14" s="52"/>
      <c r="E14" s="51"/>
      <c r="F14" s="779"/>
      <c r="G14" s="51"/>
      <c r="H14" s="51"/>
      <c r="I14" s="51"/>
      <c r="J14" s="51"/>
      <c r="K14" s="51"/>
      <c r="L14" s="51"/>
      <c r="M14" s="51"/>
      <c r="N14" s="52"/>
      <c r="O14" s="52"/>
      <c r="P14" s="52"/>
    </row>
    <row r="15" spans="1:17">
      <c r="A15" s="54" t="s">
        <v>7</v>
      </c>
      <c r="B15" s="54" t="s">
        <v>332</v>
      </c>
      <c r="D15" s="52"/>
      <c r="E15" s="54"/>
      <c r="F15" s="560"/>
      <c r="G15" s="54"/>
      <c r="H15" s="54"/>
      <c r="I15" s="54"/>
      <c r="J15" s="54"/>
      <c r="K15" s="54"/>
      <c r="L15" s="54"/>
      <c r="M15" s="54"/>
      <c r="N15" s="52"/>
      <c r="O15" s="52"/>
      <c r="P15" s="52"/>
    </row>
    <row r="16" spans="1:17" ht="16.2">
      <c r="B16" s="51" t="str">
        <f>ID!B16</f>
        <v xml:space="preserve">1. Suhu </v>
      </c>
      <c r="D16" s="52"/>
      <c r="E16" s="53" t="s">
        <v>15</v>
      </c>
      <c r="F16" s="779" t="str">
        <f>FORECAST!M35</f>
        <v>24.4</v>
      </c>
      <c r="G16" s="568" t="str">
        <f>FORECAST!N35</f>
        <v xml:space="preserve"> ± </v>
      </c>
      <c r="H16" s="53">
        <f>FORECAST!O35</f>
        <v>0.3</v>
      </c>
      <c r="I16" s="555" t="str">
        <f>FORECAST!P35</f>
        <v xml:space="preserve"> °C</v>
      </c>
      <c r="J16" s="556"/>
      <c r="K16" s="55"/>
      <c r="L16" s="51"/>
      <c r="M16" s="51"/>
      <c r="N16" s="52"/>
      <c r="O16" s="52"/>
      <c r="P16" s="52"/>
    </row>
    <row r="17" spans="1:20">
      <c r="B17" s="51" t="str">
        <f>ID!B17</f>
        <v>2. Kelembaban</v>
      </c>
      <c r="D17" s="52"/>
      <c r="E17" s="53" t="s">
        <v>15</v>
      </c>
      <c r="F17" s="779" t="str">
        <f>FORECAST!M36</f>
        <v>79.0</v>
      </c>
      <c r="G17" s="567" t="str">
        <f>FORECAST!N36</f>
        <v xml:space="preserve"> ± </v>
      </c>
      <c r="H17" s="701">
        <f>FORECAST!O36</f>
        <v>2</v>
      </c>
      <c r="I17" s="556" t="str">
        <f>FORECAST!P36</f>
        <v xml:space="preserve"> %RH</v>
      </c>
      <c r="J17" s="556"/>
      <c r="K17" s="51"/>
      <c r="L17" s="51"/>
      <c r="M17" s="51"/>
      <c r="N17" s="52"/>
      <c r="O17" s="52"/>
      <c r="P17" s="52"/>
    </row>
    <row r="18" spans="1:20">
      <c r="B18" s="51" t="str">
        <f>ID!B18</f>
        <v>3. Tegangan Jala - jala</v>
      </c>
      <c r="D18" s="52"/>
      <c r="E18" s="53" t="s">
        <v>15</v>
      </c>
      <c r="F18" s="752" t="str">
        <f>FORECAST!K45</f>
        <v>-</v>
      </c>
      <c r="G18" s="49" t="s">
        <v>16</v>
      </c>
      <c r="H18" s="579"/>
      <c r="K18" s="52"/>
      <c r="L18" s="51"/>
      <c r="M18" s="51"/>
      <c r="N18" s="52"/>
      <c r="O18" s="52"/>
      <c r="P18" s="52"/>
    </row>
    <row r="19" spans="1:20" ht="14.25" customHeight="1">
      <c r="B19" s="51"/>
      <c r="C19" s="56"/>
      <c r="D19" s="56"/>
      <c r="E19" s="53"/>
      <c r="F19" s="779"/>
      <c r="G19" s="53"/>
      <c r="H19" s="53"/>
      <c r="I19" s="57"/>
      <c r="J19" s="57"/>
      <c r="K19" s="51"/>
      <c r="L19" s="51"/>
      <c r="M19" s="51"/>
      <c r="N19" s="52"/>
      <c r="O19" s="52"/>
      <c r="P19" s="52"/>
    </row>
    <row r="20" spans="1:20">
      <c r="A20" s="54" t="s">
        <v>17</v>
      </c>
      <c r="B20" s="54" t="s">
        <v>333</v>
      </c>
      <c r="D20" s="52"/>
      <c r="E20" s="54"/>
      <c r="F20" s="560"/>
      <c r="G20" s="54"/>
      <c r="H20" s="54"/>
      <c r="I20" s="54"/>
      <c r="J20" s="54"/>
      <c r="K20" s="54"/>
      <c r="L20" s="54"/>
      <c r="M20" s="54"/>
      <c r="N20" s="52"/>
      <c r="O20" s="52"/>
      <c r="P20" s="91" t="s">
        <v>18</v>
      </c>
    </row>
    <row r="21" spans="1:20">
      <c r="B21" s="51" t="str">
        <f>ID!B21</f>
        <v>1. Fisik</v>
      </c>
      <c r="D21" s="52"/>
      <c r="E21" s="53" t="s">
        <v>15</v>
      </c>
      <c r="F21" s="51" t="str">
        <f>ID!E21</f>
        <v>Baik</v>
      </c>
      <c r="G21" s="53"/>
      <c r="H21" s="53"/>
      <c r="J21" s="51"/>
      <c r="K21" s="51"/>
      <c r="L21" s="51"/>
      <c r="M21" s="51"/>
      <c r="N21" s="52"/>
      <c r="O21" s="51"/>
      <c r="P21" s="303">
        <f>IF(F21="baik",5,IF(F21="Tidak Baik",0))</f>
        <v>5</v>
      </c>
    </row>
    <row r="22" spans="1:20">
      <c r="B22" s="51" t="str">
        <f>ID!B22</f>
        <v>2. Fungsi</v>
      </c>
      <c r="D22" s="52"/>
      <c r="E22" s="53" t="s">
        <v>15</v>
      </c>
      <c r="F22" s="51" t="str">
        <f>ID!E22</f>
        <v>Baik</v>
      </c>
      <c r="G22" s="53"/>
      <c r="H22" s="53"/>
      <c r="J22" s="51"/>
      <c r="K22" s="51"/>
      <c r="L22" s="51"/>
      <c r="M22" s="51"/>
      <c r="N22" s="52"/>
      <c r="O22" s="51"/>
      <c r="P22" s="303">
        <f>IF(F22="baik",5,IF(F22="Tidak Baik",0))</f>
        <v>5</v>
      </c>
    </row>
    <row r="23" spans="1:20" ht="14.25" customHeight="1">
      <c r="B23" s="51"/>
      <c r="C23" s="51"/>
      <c r="D23" s="51"/>
      <c r="E23" s="51"/>
      <c r="F23" s="779"/>
      <c r="G23" s="51"/>
      <c r="H23" s="51"/>
      <c r="I23" s="51"/>
      <c r="J23" s="51"/>
      <c r="K23" s="51"/>
      <c r="L23" s="51"/>
      <c r="M23" s="52"/>
      <c r="N23" s="52"/>
      <c r="O23" s="51"/>
      <c r="P23" s="51"/>
    </row>
    <row r="24" spans="1:20">
      <c r="A24" s="54" t="s">
        <v>23</v>
      </c>
      <c r="B24" s="54" t="s">
        <v>331</v>
      </c>
      <c r="D24" s="54"/>
      <c r="E24" s="54"/>
      <c r="F24" s="560"/>
      <c r="G24" s="54"/>
      <c r="H24" s="54"/>
      <c r="I24" s="54"/>
      <c r="J24" s="50"/>
      <c r="K24" s="58"/>
      <c r="L24" s="59"/>
      <c r="M24" s="52"/>
      <c r="N24" s="52"/>
      <c r="O24" s="51"/>
      <c r="P24" s="51"/>
    </row>
    <row r="25" spans="1:20" ht="12" customHeight="1">
      <c r="B25" s="959" t="s">
        <v>24</v>
      </c>
      <c r="C25" s="889" t="s">
        <v>25</v>
      </c>
      <c r="D25" s="890"/>
      <c r="E25" s="890"/>
      <c r="F25" s="890"/>
      <c r="G25" s="890"/>
      <c r="H25" s="890"/>
      <c r="I25" s="890"/>
      <c r="J25" s="890"/>
      <c r="K25" s="891"/>
      <c r="L25" s="969" t="s">
        <v>26</v>
      </c>
      <c r="M25" s="970"/>
      <c r="N25" s="758" t="s">
        <v>181</v>
      </c>
      <c r="O25" s="92"/>
      <c r="P25" s="69"/>
    </row>
    <row r="26" spans="1:20" ht="19.5" customHeight="1">
      <c r="B26" s="959"/>
      <c r="C26" s="892"/>
      <c r="D26" s="893"/>
      <c r="E26" s="893"/>
      <c r="F26" s="893"/>
      <c r="G26" s="893"/>
      <c r="H26" s="893"/>
      <c r="I26" s="893"/>
      <c r="J26" s="893"/>
      <c r="K26" s="894"/>
      <c r="L26" s="971"/>
      <c r="M26" s="972"/>
      <c r="N26" s="759" t="s">
        <v>182</v>
      </c>
      <c r="O26" s="92"/>
      <c r="P26" s="93" t="s">
        <v>18</v>
      </c>
      <c r="S26" s="781" t="s">
        <v>514</v>
      </c>
      <c r="T26" s="49">
        <v>500</v>
      </c>
    </row>
    <row r="27" spans="1:20" ht="18" customHeight="1">
      <c r="B27" s="769">
        <v>1</v>
      </c>
      <c r="C27" s="1000" t="str">
        <f>ID!C27</f>
        <v xml:space="preserve">Resistansi isolasi </v>
      </c>
      <c r="D27" s="1000"/>
      <c r="E27" s="1000"/>
      <c r="F27" s="1000"/>
      <c r="G27" s="1000"/>
      <c r="H27" s="1000"/>
      <c r="I27" s="1000"/>
      <c r="J27" s="1000"/>
      <c r="K27" s="1000"/>
      <c r="L27" s="1003" t="str">
        <f>FORECAST!K46</f>
        <v>-</v>
      </c>
      <c r="M27" s="1004"/>
      <c r="N27" s="764" t="str">
        <f>ID!K27</f>
        <v xml:space="preserve">&gt; 2 MΩ
</v>
      </c>
      <c r="O27" s="69"/>
      <c r="P27" s="283">
        <f>IF(ID!I27="OL",10,IF(ID!I27="-",0,IF(L27&gt;2,10,0)))</f>
        <v>0</v>
      </c>
      <c r="S27" s="781" t="s">
        <v>77</v>
      </c>
      <c r="T27" s="49">
        <v>100</v>
      </c>
    </row>
    <row r="28" spans="1:20" ht="18" customHeight="1">
      <c r="B28" s="769">
        <v>2</v>
      </c>
      <c r="C28" s="1000" t="str">
        <f>ID!C28</f>
        <v>Resistansi Pembumian Protektif</v>
      </c>
      <c r="D28" s="1000"/>
      <c r="E28" s="1000"/>
      <c r="F28" s="1000"/>
      <c r="G28" s="1000"/>
      <c r="H28" s="1000"/>
      <c r="I28" s="1000"/>
      <c r="J28" s="1000"/>
      <c r="K28" s="1000"/>
      <c r="L28" s="998" t="str">
        <f>FORECAST!K47</f>
        <v>-</v>
      </c>
      <c r="M28" s="999"/>
      <c r="N28" s="764" t="str">
        <f>ID!K28</f>
        <v>≤ 0.2 Ω</v>
      </c>
      <c r="O28" s="69"/>
      <c r="P28" s="283">
        <f>IF(ID!I28="OL",10,IF(ID!I28="-",0,IF(L28&lt;=0.2,10,0)))</f>
        <v>0</v>
      </c>
      <c r="R28" s="285"/>
      <c r="S28" s="94" t="s">
        <v>29</v>
      </c>
      <c r="T28" s="49">
        <f>VLOOKUP(C29,S26:T27,2,FALSE)</f>
        <v>500</v>
      </c>
    </row>
    <row r="29" spans="1:20" ht="18" customHeight="1">
      <c r="B29" s="769">
        <v>3</v>
      </c>
      <c r="C29" s="1000" t="str">
        <f>ID!C29</f>
        <v>Arus bocor peralatan untuk peralatan elektromedik kelas I</v>
      </c>
      <c r="D29" s="1000"/>
      <c r="E29" s="1000"/>
      <c r="F29" s="1000"/>
      <c r="G29" s="1000"/>
      <c r="H29" s="1000"/>
      <c r="I29" s="1000"/>
      <c r="J29" s="1000"/>
      <c r="K29" s="1000"/>
      <c r="L29" s="1001" t="str">
        <f>FORECAST!K48</f>
        <v>-</v>
      </c>
      <c r="M29" s="1002"/>
      <c r="N29" s="764" t="str">
        <f>ID!K29</f>
        <v>≤ 500 µA</v>
      </c>
      <c r="O29" s="69"/>
      <c r="P29" s="283">
        <f>IF(ID!I29="OL",20,IF(ID!I29="-",0,IF(L29&lt;=T28,20,0)))</f>
        <v>0</v>
      </c>
      <c r="R29" s="94"/>
      <c r="S29" s="94" t="s">
        <v>32</v>
      </c>
    </row>
    <row r="30" spans="1:20" ht="14.25" customHeight="1">
      <c r="B30" s="63"/>
      <c r="C30" s="779"/>
      <c r="D30" s="779"/>
      <c r="E30" s="779"/>
      <c r="F30" s="779"/>
      <c r="G30" s="779"/>
      <c r="H30" s="779"/>
      <c r="I30" s="779"/>
      <c r="J30" s="779"/>
      <c r="K30" s="64"/>
      <c r="L30" s="63"/>
      <c r="M30" s="52"/>
      <c r="N30" s="52"/>
      <c r="O30" s="51"/>
      <c r="P30" s="51"/>
      <c r="Q30" s="287"/>
      <c r="R30" s="94"/>
      <c r="S30" s="94" t="s">
        <v>35</v>
      </c>
      <c r="T30" s="309"/>
    </row>
    <row r="31" spans="1:20">
      <c r="A31" s="54" t="s">
        <v>38</v>
      </c>
      <c r="B31" s="54" t="str">
        <f>ID!B31</f>
        <v>Kalibrasi Akurasi Frekuensi Heart Rate</v>
      </c>
      <c r="D31" s="54"/>
      <c r="E31" s="54"/>
      <c r="F31" s="560"/>
      <c r="G31" s="54"/>
      <c r="H31" s="54"/>
      <c r="I31" s="54"/>
      <c r="J31" s="54"/>
      <c r="K31" s="63"/>
      <c r="L31" s="51"/>
      <c r="M31" s="52"/>
      <c r="N31" s="52"/>
      <c r="O31" s="51"/>
      <c r="P31" s="51"/>
      <c r="R31" s="94"/>
      <c r="S31" s="94"/>
    </row>
    <row r="32" spans="1:20" ht="36.75" customHeight="1">
      <c r="B32" s="775" t="s">
        <v>183</v>
      </c>
      <c r="C32" s="773" t="s">
        <v>25</v>
      </c>
      <c r="D32" s="995" t="s">
        <v>184</v>
      </c>
      <c r="E32" s="995"/>
      <c r="F32" s="981" t="s">
        <v>185</v>
      </c>
      <c r="G32" s="982"/>
      <c r="H32" s="982"/>
      <c r="I32" s="983"/>
      <c r="J32" s="65" t="s">
        <v>91</v>
      </c>
      <c r="K32" s="65" t="s">
        <v>41</v>
      </c>
      <c r="L32" s="775" t="s">
        <v>186</v>
      </c>
      <c r="N32" s="52"/>
      <c r="O32" s="95" t="s">
        <v>187</v>
      </c>
      <c r="P32" s="762" t="s">
        <v>18</v>
      </c>
    </row>
    <row r="33" spans="1:26" ht="15.75" customHeight="1">
      <c r="B33" s="82">
        <f>ID!B34</f>
        <v>1</v>
      </c>
      <c r="C33" s="988" t="s">
        <v>48</v>
      </c>
      <c r="D33" s="994">
        <f>ID!D34</f>
        <v>30</v>
      </c>
      <c r="E33" s="994"/>
      <c r="F33" s="984">
        <f>IFERROR(ID!J74,"-")</f>
        <v>30.000001000000001</v>
      </c>
      <c r="G33" s="985"/>
      <c r="H33" s="985"/>
      <c r="I33" s="986"/>
      <c r="J33" s="749">
        <f>FORECAST!M13</f>
        <v>1.0000000010279564E-6</v>
      </c>
      <c r="K33" s="991">
        <v>0.05</v>
      </c>
      <c r="L33" s="66">
        <f>IFERROR(ID!N74,"-")</f>
        <v>0.57982769887532648</v>
      </c>
      <c r="N33" s="52"/>
      <c r="O33" s="49">
        <f>IFERROR(ID!M74,"-")</f>
        <v>1.932762329584425</v>
      </c>
      <c r="P33" s="301">
        <f>IF(O33="-",S33,IF(O33&lt;=5,S33,IF(P34&gt;5,0)))</f>
        <v>14.2857143</v>
      </c>
      <c r="Q33" s="49">
        <f>IF($L$29="-",R33,S33)</f>
        <v>2.5</v>
      </c>
      <c r="R33" s="302">
        <v>2.5</v>
      </c>
      <c r="S33" s="286">
        <v>14.2857143</v>
      </c>
      <c r="T33" s="49">
        <v>14.2857143</v>
      </c>
      <c r="U33" s="304">
        <f>SUM(P33:P39)</f>
        <v>100.00000009999999</v>
      </c>
      <c r="V33" s="49">
        <f>SUM(T33:T39)</f>
        <v>100.00000009999999</v>
      </c>
      <c r="W33" s="49">
        <f>IF(U33&lt;70,0,IF(U33&gt;70,50))</f>
        <v>50</v>
      </c>
    </row>
    <row r="34" spans="1:26">
      <c r="B34" s="82">
        <f>ID!B35</f>
        <v>2</v>
      </c>
      <c r="C34" s="989"/>
      <c r="D34" s="994">
        <f>ID!D35</f>
        <v>60</v>
      </c>
      <c r="E34" s="994"/>
      <c r="F34" s="984">
        <f>IFERROR(ID!J75,"-")</f>
        <v>60.000000999999997</v>
      </c>
      <c r="G34" s="985"/>
      <c r="H34" s="985"/>
      <c r="I34" s="986"/>
      <c r="J34" s="749">
        <f>FORECAST!M14</f>
        <v>9.9999999747524271E-7</v>
      </c>
      <c r="K34" s="992"/>
      <c r="L34" s="66">
        <f>IFERROR(ID!N75,"-")</f>
        <v>0.57982769887532648</v>
      </c>
      <c r="N34" s="52"/>
      <c r="O34" s="49">
        <f>IFERROR(ID!M75,"-")</f>
        <v>0.96638116479220659</v>
      </c>
      <c r="P34" s="301">
        <f t="shared" ref="P34:P39" si="0">IF(O34="-",S34,IF(O34&lt;=5,S34,IF(P35&gt;5,0)))</f>
        <v>14.2857143</v>
      </c>
      <c r="Q34" s="49">
        <f t="shared" ref="Q34:Q39" si="1">IF($L$29="-",R34,S34)</f>
        <v>5</v>
      </c>
      <c r="R34" s="302">
        <v>5</v>
      </c>
      <c r="S34" s="286">
        <v>14.2857143</v>
      </c>
      <c r="T34" s="49">
        <v>14.2857143</v>
      </c>
    </row>
    <row r="35" spans="1:26">
      <c r="B35" s="82" t="str">
        <f>ID!B36</f>
        <v>3</v>
      </c>
      <c r="C35" s="989"/>
      <c r="D35" s="994">
        <f>ID!D36</f>
        <v>90</v>
      </c>
      <c r="E35" s="994"/>
      <c r="F35" s="984">
        <f>IFERROR(ID!J76,"-")</f>
        <v>90.000000999999997</v>
      </c>
      <c r="G35" s="985"/>
      <c r="H35" s="985"/>
      <c r="I35" s="986"/>
      <c r="J35" s="749">
        <f>FORECAST!M15</f>
        <v>9.9999999747524271E-7</v>
      </c>
      <c r="K35" s="992"/>
      <c r="L35" s="66">
        <f>IFERROR(ID!N76,"-")</f>
        <v>0.57982769887532648</v>
      </c>
      <c r="N35" s="52"/>
      <c r="O35" s="49">
        <f>IFERROR(ID!M76,"-")</f>
        <v>0.64425410986147102</v>
      </c>
      <c r="P35" s="301">
        <f t="shared" si="0"/>
        <v>14.2857143</v>
      </c>
      <c r="Q35" s="49">
        <f t="shared" si="1"/>
        <v>20</v>
      </c>
      <c r="R35" s="302">
        <v>20</v>
      </c>
      <c r="S35" s="286">
        <v>14.2857143</v>
      </c>
      <c r="T35" s="49">
        <v>14.2857143</v>
      </c>
    </row>
    <row r="36" spans="1:26">
      <c r="B36" s="82" t="str">
        <f>ID!B37</f>
        <v>4</v>
      </c>
      <c r="C36" s="989"/>
      <c r="D36" s="994">
        <f>ID!D37</f>
        <v>120</v>
      </c>
      <c r="E36" s="994"/>
      <c r="F36" s="984">
        <f>IFERROR(ID!J77,"-")</f>
        <v>120.000001</v>
      </c>
      <c r="G36" s="985"/>
      <c r="H36" s="985"/>
      <c r="I36" s="986"/>
      <c r="J36" s="749">
        <f>FORECAST!M16</f>
        <v>9.9999999747524271E-7</v>
      </c>
      <c r="K36" s="992"/>
      <c r="L36" s="66">
        <f>IFERROR(ID!N77,"-")</f>
        <v>0.57982769887532648</v>
      </c>
      <c r="N36" s="52"/>
      <c r="O36" s="49">
        <f>IFERROR(ID!M77,"-")</f>
        <v>0.4831905823961033</v>
      </c>
      <c r="P36" s="301">
        <f t="shared" si="0"/>
        <v>14.2857143</v>
      </c>
      <c r="Q36" s="49">
        <f t="shared" si="1"/>
        <v>20</v>
      </c>
      <c r="R36" s="302">
        <v>20</v>
      </c>
      <c r="S36" s="286">
        <v>14.2857143</v>
      </c>
      <c r="T36" s="49">
        <v>14.2857143</v>
      </c>
    </row>
    <row r="37" spans="1:26">
      <c r="B37" s="82" t="str">
        <f>ID!B38</f>
        <v>5</v>
      </c>
      <c r="C37" s="989"/>
      <c r="D37" s="994">
        <f>ID!D38</f>
        <v>150</v>
      </c>
      <c r="E37" s="994"/>
      <c r="F37" s="984">
        <f>IFERROR(ID!J78,"-")</f>
        <v>150.000001</v>
      </c>
      <c r="G37" s="985"/>
      <c r="H37" s="985"/>
      <c r="I37" s="986"/>
      <c r="J37" s="749">
        <f>FORECAST!M17</f>
        <v>9.9999999747524271E-7</v>
      </c>
      <c r="K37" s="992"/>
      <c r="L37" s="66">
        <f>IFERROR(ID!N78,"-")</f>
        <v>0.57982769887532648</v>
      </c>
      <c r="N37" s="52"/>
      <c r="O37" s="49">
        <f>IFERROR(ID!M78,"-")</f>
        <v>0.38655246591688264</v>
      </c>
      <c r="P37" s="301">
        <f t="shared" si="0"/>
        <v>14.2857143</v>
      </c>
      <c r="Q37" s="49">
        <f t="shared" si="1"/>
        <v>20</v>
      </c>
      <c r="R37" s="302">
        <v>20</v>
      </c>
      <c r="S37" s="286">
        <v>14.2857143</v>
      </c>
      <c r="T37" s="49">
        <v>14.2857143</v>
      </c>
      <c r="Z37" s="284">
        <f>IFERROR(ID!M74,"-")</f>
        <v>1.932762329584425</v>
      </c>
    </row>
    <row r="38" spans="1:26">
      <c r="B38" s="82" t="str">
        <f>ID!B39</f>
        <v>6</v>
      </c>
      <c r="C38" s="989"/>
      <c r="D38" s="994">
        <f>ID!D39</f>
        <v>180</v>
      </c>
      <c r="E38" s="994"/>
      <c r="F38" s="984">
        <f>IFERROR(ID!J79,"-")</f>
        <v>180.000001</v>
      </c>
      <c r="G38" s="985"/>
      <c r="H38" s="985"/>
      <c r="I38" s="986"/>
      <c r="J38" s="749">
        <f>FORECAST!M18</f>
        <v>9.9999999747524271E-7</v>
      </c>
      <c r="K38" s="992"/>
      <c r="L38" s="66">
        <f>IFERROR(ID!N79,"-")</f>
        <v>0.57982769887532648</v>
      </c>
      <c r="N38" s="52"/>
      <c r="O38" s="49">
        <f>IFERROR(ID!M79,"-")</f>
        <v>0.32212705493073551</v>
      </c>
      <c r="P38" s="301">
        <f t="shared" si="0"/>
        <v>14.2857143</v>
      </c>
      <c r="Q38" s="49">
        <f t="shared" si="1"/>
        <v>20</v>
      </c>
      <c r="R38" s="302">
        <v>20</v>
      </c>
      <c r="S38" s="286">
        <v>14.2857143</v>
      </c>
      <c r="T38" s="49">
        <v>14.2857143</v>
      </c>
      <c r="Z38" s="284">
        <f>ID!M75</f>
        <v>0.96638116479220659</v>
      </c>
    </row>
    <row r="39" spans="1:26" ht="12.75" customHeight="1">
      <c r="B39" s="82" t="str">
        <f>ID!B40</f>
        <v>7</v>
      </c>
      <c r="C39" s="990"/>
      <c r="D39" s="994">
        <f>ID!D40</f>
        <v>210</v>
      </c>
      <c r="E39" s="994"/>
      <c r="F39" s="984">
        <f>IFERROR(ID!J80,"-")</f>
        <v>210.000001</v>
      </c>
      <c r="G39" s="985"/>
      <c r="H39" s="985"/>
      <c r="I39" s="986"/>
      <c r="J39" s="749">
        <f>FORECAST!M19</f>
        <v>9.9999999747524271E-7</v>
      </c>
      <c r="K39" s="993"/>
      <c r="L39" s="66">
        <f>IFERROR(ID!N80,"-")</f>
        <v>0.57982769887532648</v>
      </c>
      <c r="N39" s="52"/>
      <c r="O39" s="49">
        <f>IFERROR(ID!M80,"-")</f>
        <v>0.27610890422634476</v>
      </c>
      <c r="P39" s="301">
        <f t="shared" si="0"/>
        <v>14.2857143</v>
      </c>
      <c r="Q39" s="49">
        <f t="shared" si="1"/>
        <v>2.5</v>
      </c>
      <c r="R39" s="302">
        <v>2.5</v>
      </c>
      <c r="S39" s="286">
        <v>14.2857143</v>
      </c>
      <c r="T39" s="49">
        <v>14.2857143</v>
      </c>
      <c r="Z39" s="284">
        <f>ID!M76</f>
        <v>0.64425410986147102</v>
      </c>
    </row>
    <row r="40" spans="1:26" ht="14.25" customHeight="1">
      <c r="B40" s="63"/>
      <c r="C40" s="63"/>
      <c r="D40" s="67"/>
      <c r="E40" s="68"/>
      <c r="F40" s="562"/>
      <c r="G40" s="557"/>
      <c r="H40" s="557"/>
      <c r="I40" s="63"/>
      <c r="J40" s="63"/>
      <c r="K40" s="63"/>
      <c r="L40" s="63"/>
      <c r="M40" s="52"/>
      <c r="N40" s="52"/>
      <c r="O40" s="52"/>
      <c r="P40" s="52"/>
      <c r="Z40" s="284">
        <f>ID!M77</f>
        <v>0.4831905823961033</v>
      </c>
    </row>
    <row r="41" spans="1:26">
      <c r="A41" s="54" t="s">
        <v>52</v>
      </c>
      <c r="B41" s="54" t="s">
        <v>53</v>
      </c>
      <c r="D41" s="51"/>
      <c r="E41" s="51"/>
      <c r="F41" s="779"/>
      <c r="G41" s="51"/>
      <c r="H41" s="51"/>
      <c r="I41" s="51"/>
      <c r="J41" s="51"/>
      <c r="K41" s="51"/>
      <c r="L41" s="51"/>
      <c r="M41" s="52"/>
      <c r="N41" s="52"/>
      <c r="O41" s="52"/>
      <c r="P41" s="52"/>
      <c r="Z41" s="284">
        <f>ID!M78</f>
        <v>0.38655246591688264</v>
      </c>
    </row>
    <row r="42" spans="1:26">
      <c r="B42" s="779" t="str">
        <f>ID!B43</f>
        <v>Ketidakpastian pengukuran dilaporkan pada tingkat kepercayaan 95% dengan faktor cakupan k= 2</v>
      </c>
      <c r="D42" s="51"/>
      <c r="E42" s="51"/>
      <c r="F42" s="779"/>
      <c r="G42" s="51"/>
      <c r="H42" s="51"/>
      <c r="I42" s="51"/>
      <c r="J42" s="51"/>
      <c r="K42" s="51"/>
      <c r="L42" s="51"/>
      <c r="M42" s="52"/>
      <c r="N42" s="52"/>
      <c r="O42" s="52"/>
      <c r="P42" s="52"/>
      <c r="Z42" s="284">
        <f>ID!M79</f>
        <v>0.32212705493073551</v>
      </c>
    </row>
    <row r="43" spans="1:26" ht="15.75" customHeight="1">
      <c r="B43" s="779" t="str">
        <f>ID!B44</f>
        <v>-</v>
      </c>
      <c r="D43" s="51"/>
      <c r="E43" s="51"/>
      <c r="F43" s="779"/>
      <c r="G43" s="51"/>
      <c r="H43" s="51"/>
      <c r="I43" s="51"/>
      <c r="J43" s="51"/>
      <c r="K43" s="51"/>
      <c r="L43" s="51"/>
      <c r="M43" s="52"/>
      <c r="N43" s="52"/>
      <c r="O43" s="52"/>
      <c r="P43" s="52"/>
      <c r="R43" s="304" t="s">
        <v>366</v>
      </c>
      <c r="S43" s="333">
        <f>SUM(P21:P22)</f>
        <v>10</v>
      </c>
      <c r="Z43" s="284">
        <f>IFERROR(ID!M80,"-")</f>
        <v>0.27610890422634476</v>
      </c>
    </row>
    <row r="44" spans="1:26">
      <c r="B44" s="779" t="str">
        <f>ID!B45</f>
        <v>Hasil Kalibrasi Frekuensi Heart Rate (BPM) tertelusur ke Satuan Internasional ( SI ) melalui PT.KALIMAN</v>
      </c>
      <c r="D44" s="69"/>
      <c r="E44" s="69"/>
      <c r="F44" s="563"/>
      <c r="G44" s="69"/>
      <c r="H44" s="69"/>
      <c r="I44" s="69"/>
      <c r="J44" s="69"/>
      <c r="K44" s="69"/>
      <c r="L44" s="69"/>
      <c r="R44" s="49" t="s">
        <v>367</v>
      </c>
      <c r="S44" s="334">
        <f>ID!Q60</f>
        <v>40</v>
      </c>
    </row>
    <row r="45" spans="1:26">
      <c r="B45" s="779" t="str">
        <f>ID!B46</f>
        <v>Catu daya menggunakan baterai</v>
      </c>
      <c r="D45" s="69"/>
      <c r="E45" s="69"/>
      <c r="F45" s="563"/>
      <c r="G45" s="69"/>
      <c r="H45" s="69"/>
      <c r="I45" s="69"/>
      <c r="J45" s="69"/>
      <c r="K45" s="69"/>
      <c r="L45" s="69"/>
      <c r="R45" s="49" t="s">
        <v>368</v>
      </c>
      <c r="S45" s="335">
        <f>W33</f>
        <v>50</v>
      </c>
    </row>
    <row r="46" spans="1:26">
      <c r="B46" s="779" t="str">
        <f>ID!B47</f>
        <v>-</v>
      </c>
      <c r="D46" s="69"/>
      <c r="E46" s="69"/>
      <c r="F46" s="563"/>
      <c r="G46" s="69"/>
      <c r="H46" s="69"/>
      <c r="I46" s="69"/>
      <c r="J46" s="69"/>
      <c r="K46" s="69"/>
      <c r="L46" s="69"/>
      <c r="S46" s="335"/>
    </row>
    <row r="47" spans="1:26" ht="14.25" customHeight="1">
      <c r="B47" s="779"/>
      <c r="C47" s="779"/>
      <c r="D47" s="69"/>
      <c r="E47" s="69"/>
      <c r="F47" s="563"/>
      <c r="G47" s="69"/>
      <c r="H47" s="69"/>
      <c r="I47" s="69"/>
      <c r="J47" s="69"/>
      <c r="K47" s="69"/>
      <c r="L47" s="69"/>
    </row>
    <row r="48" spans="1:26">
      <c r="A48" s="54" t="s">
        <v>56</v>
      </c>
      <c r="B48" s="54" t="s">
        <v>340</v>
      </c>
      <c r="D48" s="54"/>
      <c r="E48" s="51"/>
      <c r="F48" s="779"/>
      <c r="G48" s="51"/>
      <c r="H48" s="51"/>
      <c r="I48" s="51"/>
      <c r="J48" s="51"/>
      <c r="K48" s="51"/>
      <c r="L48" s="51"/>
      <c r="M48" s="52"/>
      <c r="N48" s="52"/>
      <c r="O48" s="52"/>
      <c r="P48" s="52"/>
    </row>
    <row r="49" spans="1:19">
      <c r="B49" s="69" t="str">
        <f>ID!B50</f>
        <v>Fetal Simulator, Merek : Fluke Biomedical, Model : PS 320, SN : 4662032</v>
      </c>
      <c r="D49" s="69"/>
      <c r="E49" s="69"/>
      <c r="F49" s="563"/>
      <c r="G49" s="69"/>
      <c r="H49" s="69"/>
      <c r="I49" s="69"/>
      <c r="J49" s="69"/>
      <c r="K49" s="69"/>
      <c r="L49" s="69"/>
    </row>
    <row r="50" spans="1:19" ht="14.25" customHeight="1">
      <c r="B50" s="69" t="str">
        <f>ID!B51</f>
        <v>Electrical Safety Analyzer, Merek : Fluke, Model : ESA 615, SN : 3699030</v>
      </c>
      <c r="D50" s="69"/>
      <c r="E50" s="69"/>
      <c r="F50" s="563"/>
      <c r="G50" s="69"/>
      <c r="H50" s="69"/>
      <c r="I50" s="69"/>
      <c r="J50" s="69"/>
      <c r="K50" s="69"/>
      <c r="L50" s="69"/>
    </row>
    <row r="51" spans="1:19" ht="14.25" customHeight="1">
      <c r="B51" s="70"/>
      <c r="C51" s="69"/>
      <c r="D51" s="69"/>
      <c r="E51" s="69"/>
      <c r="F51" s="563"/>
      <c r="G51" s="69"/>
      <c r="H51" s="69"/>
      <c r="I51" s="69"/>
      <c r="J51" s="69"/>
      <c r="K51" s="69"/>
      <c r="L51" s="69"/>
    </row>
    <row r="52" spans="1:19">
      <c r="A52" s="70" t="s">
        <v>60</v>
      </c>
      <c r="B52" s="70" t="s">
        <v>61</v>
      </c>
      <c r="D52" s="69"/>
      <c r="E52" s="69"/>
      <c r="F52" s="563"/>
      <c r="G52" s="69"/>
      <c r="H52" s="69"/>
      <c r="I52" s="69"/>
      <c r="J52" s="69"/>
      <c r="K52" s="69"/>
      <c r="L52" s="69"/>
    </row>
    <row r="53" spans="1:19" ht="16.5" customHeight="1">
      <c r="B53" s="987" t="str">
        <f>ID!B55</f>
        <v>Alat yang dikalibrasi dalam batas toleransi dan dinyatakan LAIK PAKAI, dimana hasil atau skor akhir sama dengan atau melampaui 70 % berdasarkan Keputusan Direktur Jenderal Pelayanan Kesehatan No : HK.02.02/V/0412/2020</v>
      </c>
      <c r="C53" s="987"/>
      <c r="D53" s="987"/>
      <c r="E53" s="987"/>
      <c r="F53" s="987"/>
      <c r="G53" s="987"/>
      <c r="H53" s="987"/>
      <c r="I53" s="987"/>
      <c r="J53" s="987"/>
      <c r="K53" s="987"/>
      <c r="L53" s="987"/>
      <c r="M53" s="987"/>
      <c r="N53" s="987"/>
      <c r="O53" s="987"/>
    </row>
    <row r="54" spans="1:19" ht="12.75" customHeight="1">
      <c r="B54" s="987"/>
      <c r="C54" s="987"/>
      <c r="D54" s="987"/>
      <c r="E54" s="987"/>
      <c r="F54" s="987"/>
      <c r="G54" s="987"/>
      <c r="H54" s="987"/>
      <c r="I54" s="987"/>
      <c r="J54" s="987"/>
      <c r="K54" s="987"/>
      <c r="L54" s="987"/>
      <c r="M54" s="987"/>
      <c r="N54" s="987"/>
      <c r="O54" s="987"/>
    </row>
    <row r="55" spans="1:19" ht="12.75" customHeight="1">
      <c r="B55" s="987"/>
      <c r="C55" s="987"/>
      <c r="D55" s="987"/>
      <c r="E55" s="987"/>
      <c r="F55" s="987"/>
      <c r="G55" s="987"/>
      <c r="H55" s="987"/>
      <c r="I55" s="987"/>
      <c r="J55" s="987"/>
      <c r="K55" s="987"/>
      <c r="L55" s="987"/>
      <c r="M55" s="987"/>
      <c r="N55" s="987"/>
      <c r="O55" s="987"/>
    </row>
    <row r="56" spans="1:19" ht="6" customHeight="1">
      <c r="B56" s="70"/>
      <c r="C56" s="69"/>
      <c r="D56" s="69"/>
      <c r="E56" s="69"/>
      <c r="F56" s="563"/>
      <c r="G56" s="69"/>
      <c r="H56" s="69"/>
      <c r="I56" s="69"/>
      <c r="J56" s="69"/>
      <c r="K56" s="69"/>
      <c r="L56" s="69"/>
    </row>
    <row r="57" spans="1:19">
      <c r="A57" s="70" t="s">
        <v>62</v>
      </c>
      <c r="B57" s="70" t="s">
        <v>63</v>
      </c>
      <c r="D57" s="69"/>
      <c r="E57" s="69"/>
      <c r="F57" s="563"/>
      <c r="G57" s="69"/>
      <c r="H57" s="69"/>
      <c r="I57" s="69"/>
      <c r="J57" s="69"/>
      <c r="K57" s="69"/>
      <c r="L57" s="69"/>
    </row>
    <row r="58" spans="1:19">
      <c r="B58" s="69" t="str">
        <f>ID!B59</f>
        <v>Septia Khairunnisa</v>
      </c>
      <c r="D58" s="69"/>
      <c r="E58" s="69"/>
      <c r="F58" s="563"/>
      <c r="G58" s="69"/>
      <c r="H58" s="69"/>
      <c r="I58" s="69"/>
      <c r="J58" s="69"/>
      <c r="K58" s="69"/>
      <c r="L58" s="69"/>
    </row>
    <row r="59" spans="1:19" ht="6.75" customHeight="1">
      <c r="B59" s="69"/>
      <c r="C59" s="69"/>
      <c r="D59" s="69"/>
      <c r="E59" s="71"/>
      <c r="F59" s="564"/>
      <c r="G59" s="71"/>
      <c r="H59" s="71"/>
      <c r="I59" s="71"/>
      <c r="J59" s="69"/>
      <c r="K59" s="69"/>
      <c r="L59" s="69"/>
    </row>
    <row r="60" spans="1:19">
      <c r="B60" s="70"/>
      <c r="C60" s="72"/>
      <c r="D60" s="778"/>
      <c r="E60" s="778"/>
      <c r="F60" s="72"/>
      <c r="G60" s="778"/>
      <c r="H60" s="778"/>
      <c r="I60" s="778"/>
      <c r="K60" s="69"/>
      <c r="L60" s="69"/>
      <c r="R60" s="1010">
        <f>SUM(S43:S45)</f>
        <v>100</v>
      </c>
      <c r="S60" s="1010"/>
    </row>
    <row r="61" spans="1:19">
      <c r="B61" s="69"/>
      <c r="C61" s="1011" t="s">
        <v>188</v>
      </c>
      <c r="D61" s="1012"/>
      <c r="E61" s="1012"/>
      <c r="F61" s="1012"/>
      <c r="G61" s="1012"/>
      <c r="H61" s="1012"/>
      <c r="I61" s="1013"/>
      <c r="J61" s="1011" t="s">
        <v>189</v>
      </c>
      <c r="K61" s="1013"/>
      <c r="L61" s="83" t="s">
        <v>190</v>
      </c>
      <c r="M61" s="1014" t="s">
        <v>191</v>
      </c>
      <c r="N61" s="1014"/>
      <c r="R61" s="1010"/>
      <c r="S61" s="1010"/>
    </row>
    <row r="62" spans="1:19" ht="14.25" customHeight="1">
      <c r="B62" s="69"/>
      <c r="C62" s="782" t="s">
        <v>192</v>
      </c>
      <c r="D62" s="1015" t="str">
        <f>ID!B59</f>
        <v>Septia Khairunnisa</v>
      </c>
      <c r="E62" s="1016"/>
      <c r="F62" s="1016"/>
      <c r="G62" s="1016"/>
      <c r="H62" s="1016"/>
      <c r="I62" s="1016"/>
      <c r="J62" s="1017" t="str">
        <f>ID!B63</f>
        <v>11 Maret 2020</v>
      </c>
      <c r="K62" s="1017"/>
      <c r="L62" s="783"/>
      <c r="M62" s="707">
        <f>SUM(S43:S45)</f>
        <v>100</v>
      </c>
    </row>
    <row r="63" spans="1:19" ht="14.25" customHeight="1">
      <c r="B63" s="69"/>
      <c r="C63" s="782" t="s">
        <v>193</v>
      </c>
      <c r="D63" s="84"/>
      <c r="E63" s="84"/>
      <c r="F63" s="565"/>
      <c r="G63" s="84"/>
      <c r="H63" s="84"/>
      <c r="I63" s="85"/>
      <c r="J63" s="1006"/>
      <c r="K63" s="1007"/>
      <c r="L63" s="783"/>
    </row>
    <row r="64" spans="1:19">
      <c r="B64" s="69"/>
      <c r="C64" s="1008"/>
      <c r="D64" s="1008"/>
      <c r="E64" s="1009"/>
      <c r="F64" s="1009"/>
      <c r="G64" s="1009"/>
      <c r="H64" s="1009"/>
      <c r="I64" s="1009"/>
      <c r="K64" s="69"/>
      <c r="L64" s="69"/>
    </row>
    <row r="65" spans="2:12">
      <c r="B65" s="69"/>
      <c r="C65" s="777"/>
      <c r="D65" s="777"/>
      <c r="E65" s="777"/>
      <c r="F65" s="566"/>
      <c r="G65" s="777"/>
      <c r="H65" s="777"/>
      <c r="I65" s="777"/>
      <c r="K65" s="69"/>
      <c r="L65" s="69"/>
    </row>
    <row r="66" spans="2:12">
      <c r="B66" s="69"/>
      <c r="C66" s="86"/>
      <c r="D66" s="87"/>
      <c r="E66" s="88"/>
      <c r="F66" s="86"/>
      <c r="G66" s="88"/>
      <c r="H66" s="88"/>
      <c r="I66" s="88"/>
      <c r="K66" s="69"/>
      <c r="L66" s="87"/>
    </row>
    <row r="67" spans="2:12">
      <c r="B67" s="69"/>
      <c r="C67" s="86"/>
      <c r="D67" s="88"/>
      <c r="E67" s="88"/>
      <c r="F67" s="86"/>
      <c r="G67" s="88"/>
      <c r="H67" s="88"/>
      <c r="I67" s="88"/>
      <c r="K67" s="69"/>
      <c r="L67" s="96"/>
    </row>
    <row r="68" spans="2:12">
      <c r="B68" s="69"/>
      <c r="C68" s="88"/>
      <c r="D68" s="88"/>
      <c r="E68" s="88"/>
      <c r="F68" s="86"/>
      <c r="G68" s="88"/>
      <c r="H68" s="88"/>
      <c r="I68" s="88"/>
      <c r="K68" s="69"/>
      <c r="L68" s="79"/>
    </row>
  </sheetData>
  <sheetProtection formatCells="0" formatColumns="0" formatRows="0" insertColumns="0" insertRows="0" insertHyperlinks="0" deleteColumns="0" deleteRows="0" sort="0"/>
  <mergeCells count="41">
    <mergeCell ref="F37:I37"/>
    <mergeCell ref="F38:I38"/>
    <mergeCell ref="F39:I39"/>
    <mergeCell ref="M61:N61"/>
    <mergeCell ref="D62:I62"/>
    <mergeCell ref="J62:K62"/>
    <mergeCell ref="J63:K63"/>
    <mergeCell ref="C64:D64"/>
    <mergeCell ref="E64:I64"/>
    <mergeCell ref="R60:S61"/>
    <mergeCell ref="C61:I61"/>
    <mergeCell ref="J61:K61"/>
    <mergeCell ref="A1:P1"/>
    <mergeCell ref="A2:P2"/>
    <mergeCell ref="L28:M28"/>
    <mergeCell ref="C29:K29"/>
    <mergeCell ref="L29:M29"/>
    <mergeCell ref="B25:B26"/>
    <mergeCell ref="C25:K26"/>
    <mergeCell ref="L25:M26"/>
    <mergeCell ref="C27:K27"/>
    <mergeCell ref="L27:M27"/>
    <mergeCell ref="C28:K28"/>
    <mergeCell ref="F9:I9"/>
    <mergeCell ref="F10:I10"/>
    <mergeCell ref="F32:I32"/>
    <mergeCell ref="F33:I33"/>
    <mergeCell ref="F34:I34"/>
    <mergeCell ref="F35:I35"/>
    <mergeCell ref="B53:O55"/>
    <mergeCell ref="C33:C39"/>
    <mergeCell ref="K33:K39"/>
    <mergeCell ref="D37:E37"/>
    <mergeCell ref="D38:E38"/>
    <mergeCell ref="D39:E39"/>
    <mergeCell ref="D32:E32"/>
    <mergeCell ref="D33:E33"/>
    <mergeCell ref="D34:E34"/>
    <mergeCell ref="D35:E35"/>
    <mergeCell ref="D36:E36"/>
    <mergeCell ref="F36:I36"/>
  </mergeCells>
  <printOptions horizontalCentered="1"/>
  <pageMargins left="0.5" right="0.5" top="0.5" bottom="0.5" header="0.25" footer="0.25"/>
  <pageSetup paperSize="9" scale="75" orientation="portrait" r:id="rId1"/>
  <headerFooter>
    <oddHeader xml:space="preserve">&amp;R&amp;"-,Regular"&amp;8OA.024-18 </oddHead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28AF2BA3-1681-41B2-95D1-1318DBA7C02E}">
            <x14:iconSet custom="1">
              <x14:cfvo type="percent">
                <xm:f>0</xm:f>
              </x14:cfvo>
              <x14:cfvo type="num">
                <xm:f>0.2</xm:f>
              </x14:cfvo>
              <x14:cfvo type="formula">
                <xm:f>"OL"</xm:f>
              </x14:cfvo>
              <x14:cfIcon iconSet="3Symbols" iconId="0"/>
              <x14:cfIcon iconSet="3Symbols" iconId="2"/>
              <x14:cfIcon iconSet="3TrafficLights1" iconId="2"/>
            </x14:iconSet>
          </x14:cfRule>
          <xm:sqref>L27</xm:sqref>
        </x14:conditionalFormatting>
        <x14:conditionalFormatting xmlns:xm="http://schemas.microsoft.com/office/excel/2006/main">
          <x14:cfRule type="iconSet" priority="1" id="{756BFD05-417B-4476-878A-6D732B1B9D2A}">
            <x14:iconSet custom="1">
              <x14:cfvo type="percent">
                <xm:f>0</xm:f>
              </x14:cfvo>
              <x14:cfvo type="num">
                <xm:f>70</xm:f>
              </x14:cfvo>
              <x14:cfvo type="num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R60</xm:sqref>
        </x14:conditionalFormatting>
        <x14:conditionalFormatting xmlns:xm="http://schemas.microsoft.com/office/excel/2006/main">
          <x14:cfRule type="iconSet" priority="2" id="{06100BDC-690B-4ECD-910E-434B31572376}">
            <x14:iconSet custom="1">
              <x14:cfvo type="percent">
                <xm:f>0</xm:f>
              </x14:cfvo>
              <x14:cfvo type="num">
                <xm:f>-5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0"/>
            </x14:iconSet>
          </x14:cfRule>
          <xm:sqref>Z37:Z43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E73"/>
  <sheetViews>
    <sheetView showGridLines="0" view="pageBreakPreview" topLeftCell="A24" zoomScaleNormal="100" zoomScaleSheetLayoutView="100" zoomScalePageLayoutView="80" workbookViewId="0">
      <selection activeCell="M24" sqref="M24"/>
    </sheetView>
  </sheetViews>
  <sheetFormatPr defaultColWidth="9.109375" defaultRowHeight="13.8"/>
  <cols>
    <col min="1" max="1" width="4.109375" style="49" customWidth="1"/>
    <col min="2" max="2" width="10.33203125" style="49" customWidth="1"/>
    <col min="3" max="3" width="11.88671875" style="49" customWidth="1"/>
    <col min="4" max="4" width="2.33203125" style="49" customWidth="1"/>
    <col min="5" max="5" width="6.6640625" style="49" customWidth="1"/>
    <col min="6" max="6" width="2" style="49" customWidth="1"/>
    <col min="7" max="7" width="6.44140625" style="49" customWidth="1"/>
    <col min="8" max="8" width="5.44140625" style="49" customWidth="1"/>
    <col min="9" max="9" width="13.6640625" style="49" customWidth="1"/>
    <col min="10" max="10" width="12.5546875" style="49" customWidth="1"/>
    <col min="11" max="11" width="16.88671875" style="49" customWidth="1"/>
    <col min="12" max="13" width="8.44140625" style="49" customWidth="1"/>
    <col min="14" max="14" width="18.44140625" style="49" customWidth="1"/>
    <col min="15" max="16" width="3.5546875" style="49" customWidth="1"/>
    <col min="17" max="16384" width="9.109375" style="49"/>
  </cols>
  <sheetData>
    <row r="1" spans="1:14" ht="17.399999999999999">
      <c r="A1" s="996" t="str">
        <f>Penyelia!A1:P1</f>
        <v>Hasil Kalibrasi Fetal Doppler</v>
      </c>
      <c r="B1" s="996"/>
      <c r="C1" s="996"/>
      <c r="D1" s="996"/>
      <c r="E1" s="996"/>
      <c r="F1" s="996"/>
      <c r="G1" s="996"/>
      <c r="H1" s="996"/>
      <c r="I1" s="996"/>
      <c r="J1" s="996"/>
      <c r="K1" s="996"/>
      <c r="L1" s="996"/>
      <c r="M1" s="996"/>
      <c r="N1" s="996"/>
    </row>
    <row r="2" spans="1:14" ht="17.25" customHeight="1">
      <c r="A2" s="997" t="str">
        <f>Penyelia!A2</f>
        <v>Nomor Sertifikat : 18 / 1 / IV - 21 / E - 03.000 DL</v>
      </c>
      <c r="B2" s="997"/>
      <c r="C2" s="997"/>
      <c r="D2" s="997"/>
      <c r="E2" s="997"/>
      <c r="F2" s="997"/>
      <c r="G2" s="997"/>
      <c r="H2" s="997"/>
      <c r="I2" s="997"/>
      <c r="J2" s="997"/>
      <c r="K2" s="997"/>
      <c r="L2" s="997"/>
      <c r="M2" s="997"/>
      <c r="N2" s="997"/>
    </row>
    <row r="3" spans="1:14" ht="17.25" customHeight="1">
      <c r="A3" s="776"/>
      <c r="B3" s="288"/>
      <c r="C3" s="776"/>
      <c r="D3" s="776"/>
      <c r="E3" s="776"/>
      <c r="F3" s="776"/>
      <c r="G3" s="776"/>
      <c r="H3" s="776"/>
      <c r="I3" s="776"/>
      <c r="J3" s="776"/>
      <c r="K3" s="776"/>
      <c r="L3" s="776"/>
      <c r="M3" s="776"/>
      <c r="N3" s="776"/>
    </row>
    <row r="4" spans="1:14" ht="14.25" customHeight="1">
      <c r="A4" s="50"/>
      <c r="B4" s="289"/>
      <c r="C4" s="50"/>
      <c r="D4" s="50"/>
      <c r="E4" s="50"/>
      <c r="F4" s="50"/>
      <c r="G4" s="50"/>
      <c r="H4" s="50"/>
      <c r="I4" s="50"/>
      <c r="J4" s="50"/>
      <c r="K4" s="50"/>
      <c r="L4" s="52"/>
      <c r="M4" s="52"/>
      <c r="N4" s="52"/>
    </row>
    <row r="5" spans="1:14">
      <c r="A5" s="51" t="str">
        <f>Penyelia!A5</f>
        <v>Merek</v>
      </c>
      <c r="B5" s="52"/>
      <c r="C5" s="52"/>
      <c r="D5" s="53" t="s">
        <v>15</v>
      </c>
      <c r="E5" s="779" t="str">
        <f>Penyelia!F5</f>
        <v>bistos</v>
      </c>
      <c r="F5" s="53"/>
      <c r="G5" s="53"/>
      <c r="I5" s="51"/>
      <c r="J5" s="51"/>
      <c r="K5" s="51"/>
      <c r="L5" s="51"/>
      <c r="M5" s="52"/>
      <c r="N5" s="52"/>
    </row>
    <row r="6" spans="1:14">
      <c r="A6" s="51" t="str">
        <f>Penyelia!A6</f>
        <v>Model/Tipe</v>
      </c>
      <c r="B6" s="52"/>
      <c r="C6" s="52"/>
      <c r="D6" s="53" t="s">
        <v>15</v>
      </c>
      <c r="E6" s="779" t="str">
        <f>Penyelia!F6</f>
        <v>BT - 200</v>
      </c>
      <c r="F6" s="53"/>
      <c r="G6" s="53"/>
      <c r="I6" s="51"/>
      <c r="J6" s="51"/>
      <c r="K6" s="51"/>
      <c r="L6" s="51"/>
      <c r="M6" s="52"/>
      <c r="N6" s="52"/>
    </row>
    <row r="7" spans="1:14">
      <c r="A7" s="51" t="str">
        <f>Penyelia!A7</f>
        <v>No. Seri</v>
      </c>
      <c r="B7" s="52"/>
      <c r="C7" s="52"/>
      <c r="D7" s="53" t="s">
        <v>15</v>
      </c>
      <c r="E7" s="779" t="str">
        <f>Penyelia!F7</f>
        <v>BDH10736</v>
      </c>
      <c r="F7" s="53"/>
      <c r="G7" s="53"/>
      <c r="I7" s="51"/>
      <c r="J7" s="51"/>
      <c r="K7" s="51"/>
      <c r="L7" s="51"/>
      <c r="M7" s="52"/>
      <c r="N7" s="52"/>
    </row>
    <row r="8" spans="1:14">
      <c r="A8" s="51" t="str">
        <f>Penyelia!A8</f>
        <v>Resolusi</v>
      </c>
      <c r="B8" s="52"/>
      <c r="C8" s="52"/>
      <c r="D8" s="53" t="s">
        <v>15</v>
      </c>
      <c r="E8" s="561">
        <f>Penyelia!F8</f>
        <v>1</v>
      </c>
      <c r="F8" s="1021" t="s">
        <v>65</v>
      </c>
      <c r="G8" s="1021"/>
      <c r="H8" s="1021"/>
      <c r="I8" s="51"/>
      <c r="J8" s="51"/>
      <c r="K8" s="51"/>
      <c r="L8" s="51"/>
      <c r="M8" s="52"/>
      <c r="N8" s="52"/>
    </row>
    <row r="9" spans="1:14">
      <c r="A9" s="51" t="str">
        <f>Penyelia!A9</f>
        <v>Tanggal Penerimaan Alat</v>
      </c>
      <c r="B9" s="52"/>
      <c r="C9" s="52"/>
      <c r="D9" s="53" t="s">
        <v>15</v>
      </c>
      <c r="E9" s="1005">
        <f>Penyelia!F9</f>
        <v>44624</v>
      </c>
      <c r="F9" s="1005"/>
      <c r="G9" s="1005"/>
      <c r="H9" s="1005"/>
      <c r="I9" s="51"/>
      <c r="J9" s="51"/>
      <c r="K9" s="51"/>
      <c r="L9" s="51"/>
      <c r="M9" s="52"/>
      <c r="N9" s="52"/>
    </row>
    <row r="10" spans="1:14">
      <c r="A10" s="51" t="str">
        <f>Penyelia!A10</f>
        <v>Tanggal Kalibrasi</v>
      </c>
      <c r="B10" s="52"/>
      <c r="C10" s="52"/>
      <c r="D10" s="53" t="s">
        <v>15</v>
      </c>
      <c r="E10" s="1005">
        <f>Penyelia!F10</f>
        <v>44625</v>
      </c>
      <c r="F10" s="1005"/>
      <c r="G10" s="1005"/>
      <c r="H10" s="1005"/>
      <c r="I10" s="51"/>
      <c r="J10" s="51"/>
      <c r="K10" s="51"/>
      <c r="L10" s="51"/>
      <c r="M10" s="52"/>
      <c r="N10" s="52"/>
    </row>
    <row r="11" spans="1:14">
      <c r="A11" s="51" t="str">
        <f>Penyelia!A11</f>
        <v>Tempat Kalibrasi</v>
      </c>
      <c r="B11" s="52"/>
      <c r="C11" s="52"/>
      <c r="D11" s="53" t="s">
        <v>15</v>
      </c>
      <c r="E11" s="779" t="str">
        <f>Penyelia!F11</f>
        <v>IGD</v>
      </c>
      <c r="F11" s="53"/>
      <c r="G11" s="53"/>
      <c r="I11" s="51"/>
      <c r="J11" s="51"/>
      <c r="K11" s="51"/>
      <c r="L11" s="51"/>
      <c r="M11" s="52"/>
      <c r="N11" s="52"/>
    </row>
    <row r="12" spans="1:14">
      <c r="A12" s="51" t="str">
        <f>Penyelia!A12</f>
        <v>Nama Ruang</v>
      </c>
      <c r="B12" s="52"/>
      <c r="C12" s="52"/>
      <c r="D12" s="53" t="s">
        <v>15</v>
      </c>
      <c r="E12" s="779" t="str">
        <f>Penyelia!F12</f>
        <v>IGD</v>
      </c>
      <c r="F12" s="53"/>
      <c r="G12" s="53"/>
      <c r="I12" s="51"/>
      <c r="J12" s="51"/>
      <c r="K12" s="51"/>
      <c r="L12" s="51"/>
      <c r="M12" s="52"/>
      <c r="N12" s="52"/>
    </row>
    <row r="13" spans="1:14">
      <c r="A13" s="51" t="str">
        <f>Penyelia!A13</f>
        <v>Metode Kerja</v>
      </c>
      <c r="B13" s="52"/>
      <c r="C13" s="52"/>
      <c r="D13" s="53" t="s">
        <v>15</v>
      </c>
      <c r="E13" s="779" t="str">
        <f>Penyelia!F13</f>
        <v>MK 024 - 18</v>
      </c>
      <c r="F13" s="53"/>
      <c r="G13" s="53"/>
      <c r="I13" s="51"/>
      <c r="J13" s="51"/>
      <c r="K13" s="779"/>
      <c r="L13" s="51"/>
      <c r="M13" s="52"/>
      <c r="N13" s="52"/>
    </row>
    <row r="14" spans="1:14" ht="14.25" customHeight="1">
      <c r="A14" s="51"/>
      <c r="B14" s="52"/>
      <c r="C14" s="52"/>
      <c r="D14" s="51"/>
      <c r="E14" s="51"/>
      <c r="F14" s="51"/>
      <c r="G14" s="51"/>
      <c r="H14" s="51"/>
      <c r="I14" s="51"/>
      <c r="J14" s="51"/>
      <c r="K14" s="51"/>
      <c r="L14" s="51"/>
      <c r="M14" s="52"/>
      <c r="N14" s="52"/>
    </row>
    <row r="15" spans="1:14">
      <c r="A15" s="54" t="s">
        <v>7</v>
      </c>
      <c r="B15" s="290" t="str">
        <f>Penyelia!B15</f>
        <v>Kondisi Ruang</v>
      </c>
      <c r="C15" s="52"/>
      <c r="D15" s="54"/>
      <c r="E15" s="54"/>
      <c r="F15" s="54"/>
      <c r="G15" s="54"/>
      <c r="H15" s="54"/>
      <c r="I15" s="54"/>
      <c r="J15" s="54"/>
      <c r="K15" s="54"/>
      <c r="L15" s="54"/>
      <c r="M15" s="52"/>
      <c r="N15" s="52"/>
    </row>
    <row r="16" spans="1:14" ht="16.2">
      <c r="A16" s="51"/>
      <c r="B16" s="52" t="str">
        <f>Penyelia!B16</f>
        <v xml:space="preserve">1. Suhu </v>
      </c>
      <c r="C16" s="52"/>
      <c r="D16" s="53" t="s">
        <v>15</v>
      </c>
      <c r="E16" s="779" t="str">
        <f>Penyelia!F16</f>
        <v>24.4</v>
      </c>
      <c r="F16" s="568" t="str">
        <f>Penyelia!G16</f>
        <v xml:space="preserve"> ± </v>
      </c>
      <c r="G16" s="701">
        <f>Penyelia!H16</f>
        <v>0.3</v>
      </c>
      <c r="H16" s="556" t="str">
        <f>Penyelia!I16</f>
        <v xml:space="preserve"> °C</v>
      </c>
      <c r="I16" s="556"/>
      <c r="J16" s="55"/>
      <c r="K16" s="51"/>
      <c r="L16" s="51"/>
      <c r="M16" s="52"/>
      <c r="N16" s="52"/>
    </row>
    <row r="17" spans="1:14">
      <c r="A17" s="51"/>
      <c r="B17" s="52" t="str">
        <f>Penyelia!B17</f>
        <v>2. Kelembaban</v>
      </c>
      <c r="C17" s="52"/>
      <c r="D17" s="53" t="s">
        <v>15</v>
      </c>
      <c r="E17" s="779" t="str">
        <f>Penyelia!F17</f>
        <v>79.0</v>
      </c>
      <c r="F17" s="568" t="str">
        <f>Penyelia!G17</f>
        <v xml:space="preserve"> ± </v>
      </c>
      <c r="G17" s="701">
        <f>Penyelia!H17</f>
        <v>2</v>
      </c>
      <c r="H17" s="556" t="str">
        <f>Penyelia!I17</f>
        <v xml:space="preserve"> %RH</v>
      </c>
      <c r="I17" s="556"/>
      <c r="J17" s="51"/>
      <c r="K17" s="51"/>
      <c r="L17" s="51"/>
      <c r="M17" s="52"/>
      <c r="N17" s="52"/>
    </row>
    <row r="18" spans="1:14">
      <c r="A18" s="51"/>
      <c r="B18" s="52" t="str">
        <f>Penyelia!B18</f>
        <v>3. Tegangan Jala - jala</v>
      </c>
      <c r="C18" s="52"/>
      <c r="D18" s="53" t="s">
        <v>15</v>
      </c>
      <c r="E18" s="752" t="str">
        <f>Penyelia!F18</f>
        <v>-</v>
      </c>
      <c r="F18" s="752" t="str">
        <f>Penyelia!G18</f>
        <v>Volt</v>
      </c>
      <c r="I18" s="569"/>
      <c r="J18" s="52"/>
      <c r="K18" s="779"/>
      <c r="L18" s="51"/>
      <c r="M18" s="52"/>
      <c r="N18" s="52"/>
    </row>
    <row r="19" spans="1:14" ht="14.25" customHeight="1">
      <c r="A19" s="51"/>
      <c r="B19" s="56"/>
      <c r="C19" s="56"/>
      <c r="D19" s="53"/>
      <c r="E19" s="53"/>
      <c r="F19" s="53"/>
      <c r="G19" s="53"/>
      <c r="H19" s="57"/>
      <c r="I19" s="57"/>
      <c r="J19" s="51"/>
      <c r="K19" s="51"/>
      <c r="L19" s="51"/>
      <c r="M19" s="52"/>
      <c r="N19" s="52"/>
    </row>
    <row r="20" spans="1:14">
      <c r="A20" s="54" t="s">
        <v>17</v>
      </c>
      <c r="B20" s="290" t="str">
        <f>Penyelia!B20</f>
        <v>Pemeriksaan Kondisi Fisik dan Fungsi Alat</v>
      </c>
      <c r="C20" s="52"/>
      <c r="D20" s="54"/>
      <c r="E20" s="54"/>
      <c r="F20" s="54"/>
      <c r="G20" s="54"/>
      <c r="H20" s="54"/>
      <c r="I20" s="54"/>
      <c r="J20" s="54"/>
      <c r="K20" s="54"/>
      <c r="L20" s="54"/>
      <c r="M20" s="52"/>
      <c r="N20" s="52"/>
    </row>
    <row r="21" spans="1:14">
      <c r="A21" s="51"/>
      <c r="B21" s="52" t="str">
        <f>Penyelia!B21</f>
        <v>1. Fisik</v>
      </c>
      <c r="C21" s="52"/>
      <c r="D21" s="53" t="s">
        <v>15</v>
      </c>
      <c r="E21" s="51" t="str">
        <f>Penyelia!F21</f>
        <v>Baik</v>
      </c>
      <c r="F21" s="53"/>
      <c r="G21" s="53"/>
      <c r="I21" s="51"/>
      <c r="J21" s="51"/>
      <c r="K21" s="51"/>
      <c r="L21" s="51"/>
      <c r="M21" s="52"/>
      <c r="N21" s="52"/>
    </row>
    <row r="22" spans="1:14">
      <c r="A22" s="51"/>
      <c r="B22" s="52" t="str">
        <f>Penyelia!B22</f>
        <v>2. Fungsi</v>
      </c>
      <c r="C22" s="52"/>
      <c r="D22" s="53" t="s">
        <v>15</v>
      </c>
      <c r="E22" s="51" t="str">
        <f>Penyelia!F22</f>
        <v>Baik</v>
      </c>
      <c r="F22" s="53"/>
      <c r="G22" s="53"/>
      <c r="I22" s="51"/>
      <c r="J22" s="51"/>
      <c r="K22" s="51"/>
      <c r="L22" s="51"/>
      <c r="M22" s="52"/>
      <c r="N22" s="52"/>
    </row>
    <row r="23" spans="1:14" ht="14.25" customHeight="1">
      <c r="A23" s="51"/>
      <c r="B23" s="52"/>
      <c r="C23" s="51"/>
      <c r="D23" s="51"/>
      <c r="E23" s="51"/>
      <c r="F23" s="51"/>
      <c r="G23" s="51"/>
      <c r="H23" s="51"/>
      <c r="I23" s="51"/>
      <c r="J23" s="51"/>
      <c r="K23" s="51"/>
      <c r="L23" s="52"/>
      <c r="M23" s="52"/>
      <c r="N23" s="52"/>
    </row>
    <row r="24" spans="1:14">
      <c r="A24" s="54" t="s">
        <v>23</v>
      </c>
      <c r="B24" s="290" t="str">
        <f>Penyelia!B24</f>
        <v>Pengujian Keselamatan Listrik</v>
      </c>
      <c r="C24" s="54"/>
      <c r="D24" s="54"/>
      <c r="E24" s="54"/>
      <c r="F24" s="54"/>
      <c r="G24" s="54"/>
      <c r="H24" s="54"/>
      <c r="I24" s="50"/>
      <c r="J24" s="58"/>
      <c r="K24" s="59"/>
      <c r="L24" s="52"/>
      <c r="M24" s="52"/>
      <c r="N24" s="52"/>
    </row>
    <row r="25" spans="1:14" ht="12" customHeight="1">
      <c r="B25" s="1020" t="s">
        <v>24</v>
      </c>
      <c r="C25" s="889" t="s">
        <v>25</v>
      </c>
      <c r="D25" s="890"/>
      <c r="E25" s="890"/>
      <c r="F25" s="890"/>
      <c r="G25" s="890"/>
      <c r="H25" s="890"/>
      <c r="I25" s="890"/>
      <c r="J25" s="890"/>
      <c r="K25" s="891"/>
      <c r="L25" s="969" t="s">
        <v>26</v>
      </c>
      <c r="M25" s="970"/>
      <c r="N25" s="1018" t="s">
        <v>27</v>
      </c>
    </row>
    <row r="26" spans="1:14" ht="19.5" customHeight="1">
      <c r="B26" s="1020"/>
      <c r="C26" s="892"/>
      <c r="D26" s="893"/>
      <c r="E26" s="893"/>
      <c r="F26" s="893"/>
      <c r="G26" s="893"/>
      <c r="H26" s="893"/>
      <c r="I26" s="893"/>
      <c r="J26" s="893"/>
      <c r="K26" s="894"/>
      <c r="L26" s="971"/>
      <c r="M26" s="972"/>
      <c r="N26" s="1019"/>
    </row>
    <row r="27" spans="1:14" ht="18" customHeight="1">
      <c r="B27" s="291">
        <v>1</v>
      </c>
      <c r="C27" s="60" t="str">
        <f>Penyelia!C27</f>
        <v xml:space="preserve">Resistansi isolasi </v>
      </c>
      <c r="D27" s="61"/>
      <c r="E27" s="61"/>
      <c r="F27" s="61"/>
      <c r="G27" s="61"/>
      <c r="H27" s="61"/>
      <c r="I27" s="61"/>
      <c r="J27" s="61"/>
      <c r="K27" s="62"/>
      <c r="L27" s="578" t="str">
        <f>Penyelia!L27</f>
        <v>-</v>
      </c>
      <c r="M27" s="570" t="str">
        <f>ID!J27</f>
        <v>MΩ</v>
      </c>
      <c r="N27" s="764" t="str">
        <f>Penyelia!N27</f>
        <v xml:space="preserve">&gt; 2 MΩ
</v>
      </c>
    </row>
    <row r="28" spans="1:14" ht="18" customHeight="1">
      <c r="B28" s="291">
        <v>2</v>
      </c>
      <c r="C28" s="60" t="str">
        <f>Penyelia!C28</f>
        <v>Resistansi Pembumian Protektif</v>
      </c>
      <c r="D28" s="61"/>
      <c r="E28" s="61"/>
      <c r="F28" s="61"/>
      <c r="G28" s="61"/>
      <c r="H28" s="61"/>
      <c r="I28" s="61"/>
      <c r="J28" s="61"/>
      <c r="K28" s="62"/>
      <c r="L28" s="578" t="str">
        <f>Penyelia!L28</f>
        <v>-</v>
      </c>
      <c r="M28" s="571" t="str">
        <f>ID!J28</f>
        <v>Ω</v>
      </c>
      <c r="N28" s="764" t="str">
        <f>Penyelia!N28</f>
        <v>≤ 0.2 Ω</v>
      </c>
    </row>
    <row r="29" spans="1:14" ht="18" customHeight="1">
      <c r="B29" s="291">
        <v>3</v>
      </c>
      <c r="C29" s="60" t="str">
        <f>Penyelia!C29</f>
        <v>Arus bocor peralatan untuk peralatan elektromedik kelas I</v>
      </c>
      <c r="D29" s="61"/>
      <c r="E29" s="61"/>
      <c r="F29" s="61"/>
      <c r="G29" s="61"/>
      <c r="H29" s="61"/>
      <c r="I29" s="61"/>
      <c r="J29" s="61"/>
      <c r="K29" s="62"/>
      <c r="L29" s="577" t="str">
        <f>Penyelia!L29</f>
        <v>-</v>
      </c>
      <c r="M29" s="572" t="str">
        <f>ID!J29</f>
        <v>µA</v>
      </c>
      <c r="N29" s="764" t="str">
        <f>Penyelia!N29</f>
        <v>≤ 500 µA</v>
      </c>
    </row>
    <row r="30" spans="1:14" ht="14.25" customHeight="1">
      <c r="A30" s="63"/>
      <c r="B30" s="292"/>
      <c r="C30" s="779"/>
      <c r="D30" s="779"/>
      <c r="E30" s="779"/>
      <c r="F30" s="779"/>
      <c r="G30" s="779"/>
      <c r="H30" s="779"/>
      <c r="I30" s="779"/>
      <c r="J30" s="64"/>
      <c r="K30" s="63"/>
      <c r="L30" s="52"/>
      <c r="M30" s="52"/>
      <c r="N30" s="52"/>
    </row>
    <row r="31" spans="1:14">
      <c r="A31" s="54" t="s">
        <v>38</v>
      </c>
      <c r="B31" s="290" t="str">
        <f>Penyelia!B31</f>
        <v>Kalibrasi Akurasi Frekuensi Heart Rate</v>
      </c>
      <c r="C31" s="54"/>
      <c r="D31" s="54"/>
      <c r="E31" s="54"/>
      <c r="F31" s="54"/>
      <c r="G31" s="54"/>
      <c r="H31" s="54"/>
      <c r="I31" s="54"/>
      <c r="J31" s="63"/>
      <c r="K31" s="51"/>
      <c r="L31" s="52"/>
      <c r="M31" s="52"/>
      <c r="N31" s="52"/>
    </row>
    <row r="32" spans="1:14" ht="36.75" customHeight="1">
      <c r="B32" s="293" t="str">
        <f>Penyelia!B32</f>
        <v>No.</v>
      </c>
      <c r="C32" s="773" t="str">
        <f>Penyelia!C32</f>
        <v>Parameter</v>
      </c>
      <c r="D32" s="995" t="str">
        <f>Penyelia!D32</f>
        <v>Setting Standar</v>
      </c>
      <c r="E32" s="995"/>
      <c r="F32" s="995"/>
      <c r="G32" s="995"/>
      <c r="H32" s="995"/>
      <c r="I32" s="774" t="str">
        <f>Penyelia!F32</f>
        <v>Pambacaan Alat</v>
      </c>
      <c r="J32" s="65" t="str">
        <f>Penyelia!J32</f>
        <v>Koreksi</v>
      </c>
      <c r="K32" s="65" t="str">
        <f>Penyelia!K32</f>
        <v>Toleransi</v>
      </c>
      <c r="L32" s="1022" t="str">
        <f>Penyelia!L32</f>
        <v>Ketidakpastian Pengukuran</v>
      </c>
      <c r="M32" s="1022"/>
      <c r="N32" s="52"/>
    </row>
    <row r="33" spans="1:14" ht="15.75" customHeight="1">
      <c r="B33" s="233">
        <f>Penyelia!B33</f>
        <v>1</v>
      </c>
      <c r="C33" s="988" t="s">
        <v>48</v>
      </c>
      <c r="D33" s="994">
        <f>Penyelia!D33</f>
        <v>30</v>
      </c>
      <c r="E33" s="994"/>
      <c r="F33" s="994"/>
      <c r="G33" s="994"/>
      <c r="H33" s="994"/>
      <c r="I33" s="749">
        <f>IFERROR(Penyelia!F33,"-")</f>
        <v>30.000001000000001</v>
      </c>
      <c r="J33" s="751">
        <f>IFERROR(Penyelia!J33,"-")</f>
        <v>1.0000000010279564E-6</v>
      </c>
      <c r="K33" s="1023">
        <f>Penyelia!K33</f>
        <v>0.05</v>
      </c>
      <c r="L33" s="786" t="s">
        <v>469</v>
      </c>
      <c r="M33" s="688">
        <f>Penyelia!L33</f>
        <v>0.57982769887532648</v>
      </c>
      <c r="N33" s="52"/>
    </row>
    <row r="34" spans="1:14" ht="17.399999999999999">
      <c r="B34" s="233">
        <f>Penyelia!B34</f>
        <v>2</v>
      </c>
      <c r="C34" s="989"/>
      <c r="D34" s="994">
        <f>Penyelia!D34</f>
        <v>60</v>
      </c>
      <c r="E34" s="994"/>
      <c r="F34" s="994"/>
      <c r="G34" s="994"/>
      <c r="H34" s="994"/>
      <c r="I34" s="749">
        <f>IFERROR(Penyelia!F34,"-")</f>
        <v>60.000000999999997</v>
      </c>
      <c r="J34" s="751">
        <f>IFERROR(Penyelia!J34,"-")</f>
        <v>9.9999999747524271E-7</v>
      </c>
      <c r="K34" s="1024"/>
      <c r="L34" s="787" t="s">
        <v>469</v>
      </c>
      <c r="M34" s="574">
        <f>Penyelia!L34</f>
        <v>0.57982769887532648</v>
      </c>
      <c r="N34" s="573"/>
    </row>
    <row r="35" spans="1:14" ht="17.399999999999999">
      <c r="B35" s="233" t="str">
        <f>Penyelia!B35</f>
        <v>3</v>
      </c>
      <c r="C35" s="989"/>
      <c r="D35" s="994">
        <f>Penyelia!D35</f>
        <v>90</v>
      </c>
      <c r="E35" s="994"/>
      <c r="F35" s="994"/>
      <c r="G35" s="994"/>
      <c r="H35" s="994"/>
      <c r="I35" s="749">
        <f>IFERROR(Penyelia!F35,"-")</f>
        <v>90.000000999999997</v>
      </c>
      <c r="J35" s="751">
        <f>IFERROR(Penyelia!J35,"-")</f>
        <v>9.9999999747524271E-7</v>
      </c>
      <c r="K35" s="1024"/>
      <c r="L35" s="787" t="s">
        <v>469</v>
      </c>
      <c r="M35" s="574">
        <f>Penyelia!L35</f>
        <v>0.57982769887532648</v>
      </c>
      <c r="N35" s="573"/>
    </row>
    <row r="36" spans="1:14" ht="17.399999999999999">
      <c r="B36" s="233" t="str">
        <f>Penyelia!B36</f>
        <v>4</v>
      </c>
      <c r="C36" s="989"/>
      <c r="D36" s="994">
        <f>Penyelia!D36</f>
        <v>120</v>
      </c>
      <c r="E36" s="994"/>
      <c r="F36" s="994"/>
      <c r="G36" s="994"/>
      <c r="H36" s="994"/>
      <c r="I36" s="749">
        <f>IFERROR(Penyelia!F36,"-")</f>
        <v>120.000001</v>
      </c>
      <c r="J36" s="751">
        <f>IFERROR(Penyelia!J36,"-")</f>
        <v>9.9999999747524271E-7</v>
      </c>
      <c r="K36" s="1024"/>
      <c r="L36" s="787" t="s">
        <v>469</v>
      </c>
      <c r="M36" s="574">
        <f>Penyelia!L36</f>
        <v>0.57982769887532648</v>
      </c>
      <c r="N36" s="573"/>
    </row>
    <row r="37" spans="1:14" ht="17.399999999999999">
      <c r="B37" s="233" t="str">
        <f>Penyelia!B37</f>
        <v>5</v>
      </c>
      <c r="C37" s="989"/>
      <c r="D37" s="994">
        <f>Penyelia!D37</f>
        <v>150</v>
      </c>
      <c r="E37" s="994"/>
      <c r="F37" s="994"/>
      <c r="G37" s="994"/>
      <c r="H37" s="994"/>
      <c r="I37" s="749">
        <f>IFERROR(Penyelia!F37,"-")</f>
        <v>150.000001</v>
      </c>
      <c r="J37" s="751">
        <f>IFERROR(Penyelia!J37,"-")</f>
        <v>9.9999999747524271E-7</v>
      </c>
      <c r="K37" s="1024"/>
      <c r="L37" s="787" t="s">
        <v>469</v>
      </c>
      <c r="M37" s="574">
        <f>Penyelia!L37</f>
        <v>0.57982769887532648</v>
      </c>
      <c r="N37" s="573"/>
    </row>
    <row r="38" spans="1:14" ht="17.399999999999999">
      <c r="B38" s="233" t="str">
        <f>Penyelia!B38</f>
        <v>6</v>
      </c>
      <c r="C38" s="989"/>
      <c r="D38" s="994">
        <f>Penyelia!D38</f>
        <v>180</v>
      </c>
      <c r="E38" s="994"/>
      <c r="F38" s="994"/>
      <c r="G38" s="994"/>
      <c r="H38" s="994"/>
      <c r="I38" s="749">
        <f>IFERROR(Penyelia!F38,"-")</f>
        <v>180.000001</v>
      </c>
      <c r="J38" s="751">
        <f>IFERROR(Penyelia!J38,"-")</f>
        <v>9.9999999747524271E-7</v>
      </c>
      <c r="K38" s="1024"/>
      <c r="L38" s="787" t="s">
        <v>469</v>
      </c>
      <c r="M38" s="574">
        <f>Penyelia!L38</f>
        <v>0.57982769887532648</v>
      </c>
      <c r="N38" s="573"/>
    </row>
    <row r="39" spans="1:14" ht="12.75" customHeight="1">
      <c r="B39" s="233" t="str">
        <f>Penyelia!B39</f>
        <v>7</v>
      </c>
      <c r="C39" s="990"/>
      <c r="D39" s="994">
        <f>Penyelia!D39</f>
        <v>210</v>
      </c>
      <c r="E39" s="994"/>
      <c r="F39" s="994"/>
      <c r="G39" s="994"/>
      <c r="H39" s="994"/>
      <c r="I39" s="749">
        <f>IFERROR(Penyelia!F39,"-")</f>
        <v>210.000001</v>
      </c>
      <c r="J39" s="751">
        <f>IFERROR(Penyelia!J39,"-")</f>
        <v>9.9999999747524271E-7</v>
      </c>
      <c r="K39" s="1025"/>
      <c r="L39" s="788" t="s">
        <v>469</v>
      </c>
      <c r="M39" s="575">
        <f>Penyelia!L39</f>
        <v>0.57982769887532648</v>
      </c>
      <c r="N39" s="573"/>
    </row>
    <row r="40" spans="1:14" ht="14.25" customHeight="1">
      <c r="A40" s="63"/>
      <c r="B40" s="91"/>
      <c r="C40" s="67"/>
      <c r="D40" s="68"/>
      <c r="E40" s="557"/>
      <c r="F40" s="557"/>
      <c r="G40" s="557"/>
      <c r="H40" s="63"/>
      <c r="I40" s="63"/>
      <c r="J40" s="63"/>
      <c r="K40" s="63"/>
      <c r="L40" s="52"/>
      <c r="M40" s="52"/>
      <c r="N40" s="52"/>
    </row>
    <row r="41" spans="1:14">
      <c r="A41" s="54" t="s">
        <v>52</v>
      </c>
      <c r="B41" s="290" t="str">
        <f>Penyelia!B41</f>
        <v>Keterangan</v>
      </c>
      <c r="C41" s="51"/>
      <c r="D41" s="51"/>
      <c r="E41" s="51"/>
      <c r="F41" s="51"/>
      <c r="G41" s="51"/>
      <c r="H41" s="51"/>
      <c r="I41" s="51"/>
      <c r="J41" s="51"/>
      <c r="K41" s="51"/>
      <c r="L41" s="52"/>
      <c r="M41" s="52"/>
      <c r="N41" s="52"/>
    </row>
    <row r="42" spans="1:14">
      <c r="A42" s="51"/>
      <c r="B42" s="292" t="str">
        <f>Penyelia!B42</f>
        <v>Ketidakpastian pengukuran dilaporkan pada tingkat kepercayaan 95% dengan faktor cakupan k= 2</v>
      </c>
      <c r="C42" s="51"/>
      <c r="D42" s="51"/>
      <c r="E42" s="51"/>
      <c r="F42" s="51"/>
      <c r="G42" s="51"/>
      <c r="H42" s="51"/>
      <c r="I42" s="51"/>
      <c r="J42" s="51"/>
      <c r="K42" s="51"/>
      <c r="L42" s="52"/>
      <c r="M42" s="52"/>
      <c r="N42" s="52"/>
    </row>
    <row r="43" spans="1:14" ht="15.75" customHeight="1">
      <c r="A43" s="51"/>
      <c r="B43" s="292" t="str">
        <f>Penyelia!B43</f>
        <v>-</v>
      </c>
      <c r="C43" s="51"/>
      <c r="D43" s="51"/>
      <c r="E43" s="51"/>
      <c r="F43" s="51"/>
      <c r="G43" s="51"/>
      <c r="H43" s="51"/>
      <c r="I43" s="51"/>
      <c r="J43" s="51"/>
      <c r="K43" s="51"/>
      <c r="L43" s="52"/>
      <c r="M43" s="52"/>
      <c r="N43" s="52"/>
    </row>
    <row r="44" spans="1:14">
      <c r="A44" s="69"/>
      <c r="B44" s="294" t="str">
        <f>Penyelia!B44</f>
        <v>Hasil Kalibrasi Frekuensi Heart Rate (BPM) tertelusur ke Satuan Internasional ( SI ) melalui PT.KALIMAN</v>
      </c>
      <c r="C44" s="69"/>
      <c r="D44" s="69"/>
      <c r="E44" s="69"/>
      <c r="F44" s="69"/>
      <c r="G44" s="69"/>
      <c r="H44" s="69"/>
      <c r="I44" s="69"/>
      <c r="J44" s="69"/>
      <c r="K44" s="69"/>
    </row>
    <row r="45" spans="1:14">
      <c r="A45" s="69"/>
      <c r="B45" s="294" t="str">
        <f>Penyelia!B45</f>
        <v>Catu daya menggunakan baterai</v>
      </c>
      <c r="C45" s="69"/>
      <c r="D45" s="69"/>
      <c r="E45" s="69"/>
      <c r="F45" s="69"/>
      <c r="G45" s="69"/>
      <c r="H45" s="69"/>
      <c r="I45" s="69"/>
      <c r="J45" s="69"/>
      <c r="K45" s="69"/>
    </row>
    <row r="46" spans="1:14" ht="14.25" customHeight="1">
      <c r="A46" s="69"/>
      <c r="B46" s="294"/>
      <c r="C46" s="69"/>
      <c r="D46" s="69"/>
      <c r="E46" s="69"/>
      <c r="F46" s="69"/>
      <c r="G46" s="69"/>
      <c r="H46" s="69"/>
      <c r="I46" s="69"/>
      <c r="J46" s="69"/>
      <c r="K46" s="69"/>
    </row>
    <row r="47" spans="1:14" ht="14.25" customHeight="1">
      <c r="A47" s="69"/>
      <c r="B47" s="294"/>
      <c r="C47" s="69"/>
      <c r="D47" s="69"/>
      <c r="E47" s="69"/>
      <c r="F47" s="69"/>
      <c r="G47" s="69"/>
      <c r="H47" s="69"/>
      <c r="I47" s="69"/>
      <c r="J47" s="69"/>
      <c r="K47" s="69"/>
    </row>
    <row r="48" spans="1:14" ht="14.25" customHeight="1">
      <c r="A48" s="69"/>
      <c r="B48" s="294"/>
      <c r="C48" s="69"/>
      <c r="D48" s="69"/>
      <c r="E48" s="69"/>
      <c r="F48" s="69"/>
      <c r="G48" s="69"/>
      <c r="H48" s="69"/>
      <c r="I48" s="69"/>
      <c r="J48" s="69"/>
      <c r="K48" s="69"/>
    </row>
    <row r="49" spans="1:21">
      <c r="A49" s="54" t="s">
        <v>56</v>
      </c>
      <c r="B49" s="290" t="str">
        <f>Penyelia!B48</f>
        <v xml:space="preserve">Alat ukur yang digunakan </v>
      </c>
      <c r="C49" s="54"/>
      <c r="D49" s="51"/>
      <c r="E49" s="51"/>
      <c r="F49" s="51"/>
      <c r="G49" s="51"/>
      <c r="H49" s="51"/>
      <c r="I49" s="51"/>
      <c r="J49" s="51"/>
      <c r="K49" s="51"/>
      <c r="L49" s="52"/>
      <c r="M49" s="52"/>
      <c r="N49" s="52"/>
    </row>
    <row r="50" spans="1:21">
      <c r="A50" s="69"/>
      <c r="B50" s="49" t="str">
        <f>Penyelia!B49</f>
        <v>Fetal Simulator, Merek : Fluke Biomedical, Model : PS 320, SN : 4662032</v>
      </c>
      <c r="C50" s="69"/>
      <c r="D50" s="69"/>
      <c r="E50" s="69"/>
      <c r="F50" s="69"/>
      <c r="G50" s="69"/>
      <c r="H50" s="69"/>
      <c r="I50" s="69"/>
      <c r="J50" s="69"/>
      <c r="K50" s="69"/>
    </row>
    <row r="51" spans="1:21" ht="14.25" customHeight="1">
      <c r="A51" s="69"/>
      <c r="B51" s="49" t="str">
        <f>Penyelia!B50</f>
        <v>Electrical Safety Analyzer, Merek : Fluke, Model : ESA 615, SN : 3699030</v>
      </c>
      <c r="C51" s="69"/>
      <c r="D51" s="69"/>
      <c r="E51" s="69"/>
      <c r="F51" s="69"/>
      <c r="G51" s="69"/>
      <c r="H51" s="69"/>
      <c r="I51" s="69"/>
      <c r="J51" s="69"/>
      <c r="K51" s="69"/>
    </row>
    <row r="52" spans="1:21" ht="14.25" customHeight="1">
      <c r="A52" s="70"/>
      <c r="C52" s="69"/>
      <c r="D52" s="69"/>
      <c r="E52" s="69"/>
      <c r="F52" s="69"/>
      <c r="G52" s="69"/>
      <c r="H52" s="69"/>
      <c r="I52" s="69"/>
      <c r="J52" s="69"/>
      <c r="K52" s="69"/>
      <c r="U52" s="75"/>
    </row>
    <row r="53" spans="1:21">
      <c r="A53" s="70" t="s">
        <v>60</v>
      </c>
      <c r="B53" s="295" t="str">
        <f>Penyelia!B52</f>
        <v>Kesimpulan</v>
      </c>
      <c r="C53" s="69"/>
      <c r="D53" s="69"/>
      <c r="E53" s="69"/>
      <c r="F53" s="69"/>
      <c r="G53" s="69"/>
      <c r="H53" s="69"/>
      <c r="I53" s="69"/>
      <c r="J53" s="69"/>
      <c r="K53" s="69"/>
      <c r="U53" s="76"/>
    </row>
    <row r="54" spans="1:21" ht="14.25" customHeight="1">
      <c r="A54" s="54"/>
      <c r="B54" s="987" t="str">
        <f>Penyelia!B53</f>
        <v>Alat yang dikalibrasi dalam batas toleransi dan dinyatakan LAIK PAKAI, dimana hasil atau skor akhir sama dengan atau melampaui 70 % berdasarkan Keputusan Direktur Jenderal Pelayanan Kesehatan No : HK.02.02/V/0412/2020</v>
      </c>
      <c r="C54" s="987"/>
      <c r="D54" s="987"/>
      <c r="E54" s="987"/>
      <c r="F54" s="987"/>
      <c r="G54" s="987"/>
      <c r="H54" s="987"/>
      <c r="I54" s="987"/>
      <c r="J54" s="987"/>
      <c r="K54" s="987"/>
      <c r="L54" s="987"/>
      <c r="M54" s="987"/>
      <c r="N54" s="987"/>
      <c r="U54" s="73"/>
    </row>
    <row r="55" spans="1:21" ht="14.25" customHeight="1">
      <c r="A55" s="54"/>
      <c r="B55" s="987"/>
      <c r="C55" s="987"/>
      <c r="D55" s="987"/>
      <c r="E55" s="987"/>
      <c r="F55" s="987"/>
      <c r="G55" s="987"/>
      <c r="H55" s="987"/>
      <c r="I55" s="987"/>
      <c r="J55" s="987"/>
      <c r="K55" s="987"/>
      <c r="L55" s="987"/>
      <c r="M55" s="987"/>
      <c r="N55" s="987"/>
      <c r="U55" s="75"/>
    </row>
    <row r="56" spans="1:21" ht="14.25" customHeight="1">
      <c r="A56" s="70"/>
      <c r="C56" s="69"/>
      <c r="D56" s="69"/>
      <c r="E56" s="69"/>
      <c r="F56" s="69"/>
      <c r="G56" s="69"/>
      <c r="H56" s="69"/>
      <c r="I56" s="69"/>
      <c r="J56" s="69"/>
      <c r="K56" s="69"/>
      <c r="U56" s="75"/>
    </row>
    <row r="57" spans="1:21">
      <c r="A57" s="70" t="s">
        <v>62</v>
      </c>
      <c r="B57" s="295" t="str">
        <f>Penyelia!B57</f>
        <v>Petugas Kalibrasi</v>
      </c>
      <c r="C57" s="69"/>
      <c r="D57" s="69"/>
      <c r="E57" s="69"/>
      <c r="F57" s="69"/>
      <c r="G57" s="69"/>
      <c r="H57" s="69"/>
      <c r="I57" s="69"/>
      <c r="J57" s="69"/>
      <c r="K57" s="69"/>
      <c r="U57" s="75"/>
    </row>
    <row r="58" spans="1:21">
      <c r="A58" s="69"/>
      <c r="B58" s="49" t="str">
        <f>Penyelia!B58</f>
        <v>Septia Khairunnisa</v>
      </c>
      <c r="C58" s="69"/>
      <c r="D58" s="69"/>
      <c r="E58" s="69"/>
      <c r="F58" s="69"/>
      <c r="G58" s="69"/>
      <c r="H58" s="69"/>
      <c r="I58" s="69"/>
      <c r="J58" s="69"/>
      <c r="K58" s="69"/>
      <c r="U58" s="75"/>
    </row>
    <row r="59" spans="1:21" ht="14.25" customHeight="1">
      <c r="A59" s="69"/>
      <c r="C59" s="69"/>
      <c r="D59" s="71"/>
      <c r="E59" s="71"/>
      <c r="F59" s="71"/>
      <c r="G59" s="71"/>
      <c r="H59" s="71"/>
      <c r="I59" s="69"/>
      <c r="J59" s="69"/>
      <c r="U59" s="77"/>
    </row>
    <row r="60" spans="1:21">
      <c r="A60" s="70"/>
      <c r="B60" s="296"/>
      <c r="C60" s="778"/>
      <c r="D60" s="778"/>
      <c r="E60" s="778"/>
      <c r="F60" s="778"/>
      <c r="G60" s="778"/>
      <c r="H60" s="778"/>
      <c r="J60" s="69"/>
      <c r="K60" s="73" t="s">
        <v>194</v>
      </c>
      <c r="U60" s="78"/>
    </row>
    <row r="61" spans="1:21">
      <c r="A61" s="69"/>
      <c r="B61" s="1009"/>
      <c r="C61" s="1009"/>
      <c r="D61" s="1009"/>
      <c r="E61" s="1009"/>
      <c r="F61" s="1009"/>
      <c r="G61" s="1009"/>
      <c r="H61" s="1009"/>
      <c r="J61" s="69"/>
      <c r="K61" s="74" t="s">
        <v>195</v>
      </c>
      <c r="M61" s="75"/>
    </row>
    <row r="62" spans="1:21">
      <c r="A62" s="69"/>
      <c r="B62" s="297"/>
      <c r="C62" s="778"/>
      <c r="D62" s="778"/>
      <c r="E62" s="778"/>
      <c r="F62" s="778"/>
      <c r="G62" s="778"/>
      <c r="H62" s="778"/>
      <c r="J62" s="69"/>
      <c r="K62" s="74" t="s">
        <v>196</v>
      </c>
      <c r="M62" s="75"/>
    </row>
    <row r="63" spans="1:21">
      <c r="A63" s="69"/>
      <c r="B63" s="297"/>
      <c r="C63" s="778"/>
      <c r="D63" s="778"/>
      <c r="E63" s="778"/>
      <c r="F63" s="778"/>
      <c r="G63" s="778"/>
      <c r="H63" s="778"/>
      <c r="J63" s="69"/>
      <c r="K63" s="73"/>
      <c r="M63" s="73"/>
    </row>
    <row r="64" spans="1:21">
      <c r="A64" s="69"/>
      <c r="C64" s="69"/>
      <c r="D64" s="69"/>
      <c r="E64" s="69"/>
      <c r="F64" s="69"/>
      <c r="G64" s="69"/>
      <c r="H64" s="69"/>
      <c r="K64" s="73"/>
      <c r="M64" s="75"/>
    </row>
    <row r="65" spans="1:31">
      <c r="A65" s="69"/>
      <c r="B65" s="298"/>
      <c r="C65" s="70"/>
      <c r="D65" s="70"/>
      <c r="E65" s="70"/>
      <c r="F65" s="70"/>
      <c r="G65" s="70"/>
      <c r="H65" s="70"/>
      <c r="K65" s="73"/>
      <c r="M65" s="75"/>
    </row>
    <row r="66" spans="1:31">
      <c r="A66" s="69"/>
      <c r="B66" s="297"/>
      <c r="C66" s="778"/>
      <c r="D66" s="778"/>
      <c r="E66" s="778"/>
      <c r="F66" s="778"/>
      <c r="G66" s="778"/>
      <c r="H66" s="778"/>
      <c r="J66" s="69"/>
      <c r="K66" s="750" t="s">
        <v>467</v>
      </c>
      <c r="M66" s="75"/>
      <c r="Q66" s="306"/>
    </row>
    <row r="67" spans="1:31">
      <c r="A67" s="69"/>
      <c r="B67" s="297"/>
      <c r="C67" s="778"/>
      <c r="D67" s="778"/>
      <c r="E67" s="778"/>
      <c r="F67" s="778"/>
      <c r="G67" s="778"/>
      <c r="H67" s="778"/>
      <c r="J67" s="69"/>
      <c r="K67" s="49" t="s">
        <v>329</v>
      </c>
      <c r="L67" s="75"/>
      <c r="M67" s="75"/>
      <c r="Q67" s="158"/>
    </row>
    <row r="68" spans="1:31">
      <c r="L68" s="75"/>
      <c r="M68" s="75"/>
    </row>
    <row r="70" spans="1:31">
      <c r="N70" s="789" t="s">
        <v>197</v>
      </c>
    </row>
    <row r="71" spans="1:31">
      <c r="AB71" s="307" t="s">
        <v>101</v>
      </c>
      <c r="AC71" s="79" t="s">
        <v>330</v>
      </c>
      <c r="AD71" s="308"/>
      <c r="AE71" s="308"/>
    </row>
    <row r="72" spans="1:31">
      <c r="AB72" s="306" t="s">
        <v>467</v>
      </c>
      <c r="AC72" s="79" t="s">
        <v>329</v>
      </c>
      <c r="AD72" s="308"/>
      <c r="AE72" s="308"/>
    </row>
    <row r="73" spans="1:31">
      <c r="AC73"/>
      <c r="AD73"/>
      <c r="AE73"/>
    </row>
  </sheetData>
  <sheetProtection formatCells="0" formatColumns="0" formatRows="0" insertColumns="0" insertRows="0" insertHyperlinks="0" deleteColumns="0" deleteRows="0" sort="0"/>
  <mergeCells count="23">
    <mergeCell ref="B61:C61"/>
    <mergeCell ref="D61:H61"/>
    <mergeCell ref="B54:N55"/>
    <mergeCell ref="F8:H8"/>
    <mergeCell ref="C25:K26"/>
    <mergeCell ref="D39:H39"/>
    <mergeCell ref="L32:M32"/>
    <mergeCell ref="D35:H35"/>
    <mergeCell ref="D36:H36"/>
    <mergeCell ref="D37:H37"/>
    <mergeCell ref="D38:H38"/>
    <mergeCell ref="D32:H32"/>
    <mergeCell ref="D33:H33"/>
    <mergeCell ref="L25:M26"/>
    <mergeCell ref="K33:K39"/>
    <mergeCell ref="A1:N1"/>
    <mergeCell ref="A2:N2"/>
    <mergeCell ref="N25:N26"/>
    <mergeCell ref="B25:B26"/>
    <mergeCell ref="C33:C39"/>
    <mergeCell ref="D34:H34"/>
    <mergeCell ref="E9:H9"/>
    <mergeCell ref="E10:H10"/>
  </mergeCells>
  <dataValidations count="1">
    <dataValidation type="list" allowBlank="1" showInputMessage="1" showErrorMessage="1" sqref="Q66" xr:uid="{00000000-0002-0000-0500-000000000000}">
      <formula1>$AB$71:$AB$72</formula1>
    </dataValidation>
  </dataValidations>
  <printOptions horizontalCentered="1"/>
  <pageMargins left="0.5" right="0.5" top="0.5" bottom="0.5" header="0.25" footer="0.25"/>
  <pageSetup paperSize="9" scale="74" orientation="portrait" r:id="rId1"/>
  <headerFooter>
    <oddHeader xml:space="preserve">&amp;R&amp;"-,Regular"&amp;8OA.024 -18 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9"/>
  <sheetViews>
    <sheetView topLeftCell="A4" workbookViewId="0">
      <selection activeCell="I8" sqref="I8"/>
    </sheetView>
  </sheetViews>
  <sheetFormatPr defaultRowHeight="13.2"/>
  <cols>
    <col min="1" max="1" width="18.109375" customWidth="1"/>
    <col min="2" max="2" width="26.109375" customWidth="1"/>
    <col min="3" max="3" width="3.109375" customWidth="1"/>
    <col min="4" max="4" width="11.5546875" customWidth="1"/>
    <col min="5" max="5" width="9.44140625" customWidth="1"/>
    <col min="6" max="6" width="22.5546875" customWidth="1"/>
  </cols>
  <sheetData>
    <row r="1" spans="1:6">
      <c r="A1" s="580"/>
      <c r="B1" s="580"/>
      <c r="C1" s="580"/>
      <c r="D1" s="580"/>
      <c r="E1" s="580"/>
      <c r="F1" s="580"/>
    </row>
    <row r="2" spans="1:6" ht="30">
      <c r="A2" s="1038" t="str">
        <f>B44</f>
        <v>SERTIFIKAT KALIBRASI</v>
      </c>
      <c r="B2" s="1038"/>
      <c r="C2" s="1038"/>
      <c r="D2" s="1038"/>
      <c r="E2" s="1038"/>
      <c r="F2" s="1038"/>
    </row>
    <row r="3" spans="1:6" ht="13.8">
      <c r="A3" s="1039" t="str">
        <f>"Nomor : 18 /"&amp;" "&amp;ID!I2</f>
        <v>Nomor : 18 / 1 / IV - 21 / E - 03.000 DL</v>
      </c>
      <c r="B3" s="1039"/>
      <c r="C3" s="1039"/>
      <c r="D3" s="1039"/>
      <c r="E3" s="1039"/>
      <c r="F3" s="1039"/>
    </row>
    <row r="4" spans="1:6">
      <c r="A4" s="580"/>
      <c r="B4" s="580"/>
      <c r="C4" s="580" t="s">
        <v>475</v>
      </c>
      <c r="D4" s="1040" t="s">
        <v>504</v>
      </c>
      <c r="E4" s="1040"/>
      <c r="F4" s="1040"/>
    </row>
    <row r="5" spans="1:6">
      <c r="A5" s="580"/>
      <c r="B5" s="580"/>
      <c r="C5" s="580"/>
      <c r="D5" s="580"/>
      <c r="E5" s="580"/>
      <c r="F5" s="580"/>
    </row>
    <row r="6" spans="1:6" ht="13.8">
      <c r="A6" s="615" t="s">
        <v>476</v>
      </c>
      <c r="B6" s="582" t="s">
        <v>477</v>
      </c>
      <c r="C6" s="583"/>
      <c r="D6" s="1036" t="s">
        <v>478</v>
      </c>
      <c r="E6" s="1037"/>
      <c r="F6" s="584" t="str">
        <f>MID(A3,SEARCH("E - ",A3),LEN(A3))</f>
        <v>E - 03.000 DL</v>
      </c>
    </row>
    <row r="7" spans="1:6" ht="13.8">
      <c r="A7" s="585"/>
      <c r="B7" s="585"/>
      <c r="C7" s="585"/>
      <c r="D7" s="580"/>
      <c r="E7" s="580"/>
      <c r="F7" s="580"/>
    </row>
    <row r="8" spans="1:6" ht="13.8">
      <c r="A8" s="1026" t="s">
        <v>1</v>
      </c>
      <c r="B8" s="1026"/>
      <c r="C8" s="586" t="s">
        <v>15</v>
      </c>
      <c r="D8" s="1026" t="str">
        <f>LH!E5</f>
        <v>bistos</v>
      </c>
      <c r="E8" s="1026"/>
      <c r="F8" s="1026"/>
    </row>
    <row r="9" spans="1:6" ht="13.8">
      <c r="A9" s="1026" t="s">
        <v>479</v>
      </c>
      <c r="B9" s="1026"/>
      <c r="C9" s="586" t="s">
        <v>15</v>
      </c>
      <c r="D9" s="1026" t="str">
        <f>LH!E6</f>
        <v>BT - 200</v>
      </c>
      <c r="E9" s="1026"/>
      <c r="F9" s="1026"/>
    </row>
    <row r="10" spans="1:6" ht="13.8">
      <c r="A10" s="1026" t="s">
        <v>433</v>
      </c>
      <c r="B10" s="1026"/>
      <c r="C10" s="586" t="s">
        <v>15</v>
      </c>
      <c r="D10" s="1026" t="str">
        <f>LH!E7</f>
        <v>BDH10736</v>
      </c>
      <c r="E10" s="1026"/>
      <c r="F10" s="1026"/>
    </row>
    <row r="11" spans="1:6" ht="13.8">
      <c r="A11" s="587"/>
      <c r="B11" s="587"/>
      <c r="C11" s="585"/>
      <c r="D11" s="580"/>
      <c r="E11" s="580"/>
      <c r="F11" s="580"/>
    </row>
    <row r="12" spans="1:6" ht="29.25" customHeight="1">
      <c r="A12" s="588" t="s">
        <v>480</v>
      </c>
      <c r="B12" s="589"/>
      <c r="C12" s="585"/>
      <c r="D12" s="1036" t="s">
        <v>481</v>
      </c>
      <c r="E12" s="1037"/>
      <c r="F12" s="590"/>
    </row>
    <row r="13" spans="1:6" ht="14.4">
      <c r="A13" s="591"/>
      <c r="B13" s="585"/>
      <c r="C13" s="585"/>
      <c r="D13" s="585"/>
      <c r="E13" s="585"/>
      <c r="F13" s="580"/>
    </row>
    <row r="14" spans="1:6" ht="13.8">
      <c r="A14" s="1034" t="s">
        <v>482</v>
      </c>
      <c r="B14" s="1034"/>
      <c r="C14" s="592" t="s">
        <v>15</v>
      </c>
      <c r="D14" s="1035" t="s">
        <v>503</v>
      </c>
      <c r="E14" s="1035"/>
      <c r="F14" s="1035"/>
    </row>
    <row r="15" spans="1:6" ht="13.8">
      <c r="A15" s="1026" t="s">
        <v>6</v>
      </c>
      <c r="B15" s="1026"/>
      <c r="C15" s="586" t="s">
        <v>15</v>
      </c>
      <c r="D15" s="1033" t="str">
        <f>LH!E12</f>
        <v>IGD</v>
      </c>
      <c r="E15" s="1033"/>
      <c r="F15" s="1033"/>
    </row>
    <row r="16" spans="1:6" ht="13.8">
      <c r="A16" s="1026" t="s">
        <v>468</v>
      </c>
      <c r="B16" s="1026"/>
      <c r="C16" s="586" t="s">
        <v>15</v>
      </c>
      <c r="D16" s="1032">
        <f>LH!E9</f>
        <v>44624</v>
      </c>
      <c r="E16" s="1032"/>
      <c r="F16" s="1032"/>
    </row>
    <row r="17" spans="1:6" ht="13.8">
      <c r="A17" s="1026" t="str">
        <f>"Tanggal "&amp;B48</f>
        <v>Tanggal Kalibrasi</v>
      </c>
      <c r="B17" s="1026"/>
      <c r="C17" s="586" t="s">
        <v>15</v>
      </c>
      <c r="D17" s="1032">
        <f>LH!E10</f>
        <v>44625</v>
      </c>
      <c r="E17" s="1032"/>
      <c r="F17" s="1032"/>
    </row>
    <row r="18" spans="1:6" ht="13.8">
      <c r="A18" s="1026" t="str">
        <f>"Penanggungjawab "&amp;B48</f>
        <v>Penanggungjawab Kalibrasi</v>
      </c>
      <c r="B18" s="1026"/>
      <c r="C18" s="586" t="s">
        <v>15</v>
      </c>
      <c r="D18" s="1030" t="str">
        <f>LH!B58</f>
        <v>Septia Khairunnisa</v>
      </c>
      <c r="E18" s="1030"/>
      <c r="F18" s="1030"/>
    </row>
    <row r="19" spans="1:6" ht="13.8">
      <c r="A19" s="1026" t="str">
        <f>"Lokasi "&amp;B48</f>
        <v>Lokasi Kalibrasi</v>
      </c>
      <c r="B19" s="1026"/>
      <c r="C19" s="586" t="s">
        <v>15</v>
      </c>
      <c r="D19" s="1033" t="str">
        <f>LH!E11</f>
        <v>IGD</v>
      </c>
      <c r="E19" s="1033"/>
      <c r="F19" s="1033"/>
    </row>
    <row r="20" spans="1:6" ht="36" customHeight="1">
      <c r="A20" s="1028" t="str">
        <f>"Hasil "&amp;B48</f>
        <v>Hasil Kalibrasi</v>
      </c>
      <c r="B20" s="1028"/>
      <c r="C20" s="593" t="s">
        <v>15</v>
      </c>
      <c r="D20" s="1029" t="s">
        <v>505</v>
      </c>
      <c r="E20" s="1029"/>
      <c r="F20" s="1029"/>
    </row>
    <row r="21" spans="1:6" ht="13.8">
      <c r="A21" s="1026" t="s">
        <v>66</v>
      </c>
      <c r="B21" s="1026"/>
      <c r="C21" s="586" t="s">
        <v>15</v>
      </c>
      <c r="D21" s="1030" t="str">
        <f>LH!E13</f>
        <v>MK 024 - 18</v>
      </c>
      <c r="E21" s="1030"/>
      <c r="F21" s="1030"/>
    </row>
    <row r="22" spans="1:6">
      <c r="A22" s="580"/>
      <c r="B22" s="580"/>
      <c r="C22" s="580"/>
      <c r="D22" s="580"/>
      <c r="E22" s="580"/>
      <c r="F22" s="580"/>
    </row>
    <row r="23" spans="1:6">
      <c r="A23" s="580"/>
      <c r="B23" s="580"/>
      <c r="C23" s="580"/>
      <c r="D23" s="580"/>
      <c r="E23" s="580"/>
      <c r="F23" s="580"/>
    </row>
    <row r="24" spans="1:6" ht="13.8">
      <c r="A24" s="580"/>
      <c r="B24" s="580"/>
      <c r="C24" s="580"/>
      <c r="D24" s="594" t="s">
        <v>483</v>
      </c>
      <c r="E24" s="1031">
        <f ca="1">TODAY()</f>
        <v>44664</v>
      </c>
      <c r="F24" s="1031"/>
    </row>
    <row r="25" spans="1:6" ht="13.8">
      <c r="A25" s="580"/>
      <c r="B25" s="580"/>
      <c r="C25" s="580"/>
      <c r="D25" s="1026" t="s">
        <v>484</v>
      </c>
      <c r="E25" s="1026"/>
      <c r="F25" s="1026"/>
    </row>
    <row r="26" spans="1:6" ht="13.8">
      <c r="A26" s="580"/>
      <c r="B26" s="580"/>
      <c r="C26" s="580"/>
      <c r="D26" s="1026" t="s">
        <v>485</v>
      </c>
      <c r="E26" s="1026"/>
      <c r="F26" s="1026"/>
    </row>
    <row r="27" spans="1:6" ht="13.8">
      <c r="A27" s="580"/>
      <c r="B27" s="580"/>
      <c r="C27" s="580"/>
      <c r="D27" s="595"/>
      <c r="E27" s="595"/>
      <c r="F27" s="580"/>
    </row>
    <row r="28" spans="1:6" ht="13.8">
      <c r="A28" s="580"/>
      <c r="B28" s="580"/>
      <c r="C28" s="580"/>
      <c r="D28" s="595"/>
      <c r="E28" s="595"/>
      <c r="F28" s="580"/>
    </row>
    <row r="29" spans="1:6" ht="13.8">
      <c r="A29" s="580"/>
      <c r="B29" s="580"/>
      <c r="C29" s="580"/>
      <c r="D29" s="595"/>
      <c r="E29" s="595"/>
      <c r="F29" s="580"/>
    </row>
    <row r="30" spans="1:6" ht="13.8">
      <c r="A30" s="580"/>
      <c r="B30" s="580"/>
      <c r="C30" s="580"/>
      <c r="D30" s="1026" t="s">
        <v>486</v>
      </c>
      <c r="E30" s="1026"/>
      <c r="F30" s="1026"/>
    </row>
    <row r="31" spans="1:6" ht="13.8">
      <c r="A31" s="580"/>
      <c r="B31" s="580"/>
      <c r="C31" s="580"/>
      <c r="D31" s="1027" t="s">
        <v>487</v>
      </c>
      <c r="E31" s="1027"/>
      <c r="F31" s="1027"/>
    </row>
    <row r="32" spans="1:6">
      <c r="A32" s="581"/>
      <c r="B32" s="581"/>
      <c r="C32" s="581"/>
      <c r="D32" s="581"/>
      <c r="E32" s="581"/>
      <c r="F32" s="581"/>
    </row>
    <row r="33" spans="1:6">
      <c r="A33" s="581"/>
      <c r="B33" s="581"/>
      <c r="C33" s="581"/>
      <c r="D33" s="581"/>
      <c r="E33" s="581"/>
      <c r="F33" s="581"/>
    </row>
    <row r="34" spans="1:6">
      <c r="A34" s="596"/>
      <c r="B34" s="596"/>
      <c r="C34" s="596"/>
      <c r="D34" s="596"/>
      <c r="E34" s="596"/>
      <c r="F34" s="596"/>
    </row>
    <row r="35" spans="1:6">
      <c r="A35" s="581"/>
      <c r="B35" s="581"/>
      <c r="C35" s="581"/>
      <c r="D35" s="581"/>
      <c r="E35" s="581"/>
      <c r="F35" s="581"/>
    </row>
    <row r="36" spans="1:6">
      <c r="A36" s="581"/>
      <c r="B36" s="581"/>
      <c r="C36" s="581"/>
      <c r="D36" s="581"/>
      <c r="E36" s="581"/>
      <c r="F36" s="581"/>
    </row>
    <row r="37" spans="1:6">
      <c r="A37" s="581"/>
      <c r="B37" s="581"/>
      <c r="C37" s="581"/>
      <c r="D37" s="581"/>
      <c r="E37" s="581"/>
      <c r="F37" s="581"/>
    </row>
    <row r="38" spans="1:6">
      <c r="A38" s="581"/>
      <c r="B38" s="581"/>
      <c r="C38" s="581"/>
      <c r="D38" s="581"/>
      <c r="E38" s="581"/>
      <c r="F38" s="581"/>
    </row>
    <row r="39" spans="1:6">
      <c r="A39" s="581"/>
      <c r="B39" s="581"/>
      <c r="C39" s="581"/>
      <c r="D39" s="581"/>
      <c r="E39" s="581"/>
      <c r="F39" s="581"/>
    </row>
    <row r="40" spans="1:6" ht="13.8" thickBot="1">
      <c r="A40" s="581"/>
      <c r="B40" s="581"/>
      <c r="C40" s="581"/>
      <c r="D40" s="581"/>
      <c r="E40" s="581"/>
      <c r="F40" s="581"/>
    </row>
    <row r="41" spans="1:6">
      <c r="A41" s="597" t="s">
        <v>488</v>
      </c>
      <c r="B41" s="598" t="str">
        <f>MID(ID!I2,SEARCH("E - ",ID!I2),LEN(ID!I2))</f>
        <v>E - 03.000 DL</v>
      </c>
      <c r="C41" s="581"/>
      <c r="D41" s="581"/>
      <c r="E41" s="581"/>
      <c r="F41" s="581"/>
    </row>
    <row r="42" spans="1:6">
      <c r="A42" s="599"/>
      <c r="B42" s="600"/>
      <c r="C42" s="581"/>
      <c r="D42" s="581"/>
      <c r="E42" s="581"/>
      <c r="F42" s="581"/>
    </row>
    <row r="43" spans="1:6" ht="26.4">
      <c r="A43" s="605" t="s">
        <v>489</v>
      </c>
      <c r="B43" s="612" t="str">
        <f>ID!A1</f>
        <v>Input Data Kalibrasi Fetal Doppler</v>
      </c>
      <c r="C43" s="581"/>
      <c r="D43" s="581"/>
      <c r="E43" s="581"/>
      <c r="F43" s="581"/>
    </row>
    <row r="44" spans="1:6" ht="26.4">
      <c r="A44" s="605" t="s">
        <v>490</v>
      </c>
      <c r="B44" s="601" t="str">
        <f>IF(B43="INPUT DATA KALIBRASI Fetal Doppler",B45,B46)</f>
        <v>SERTIFIKAT KALIBRASI</v>
      </c>
      <c r="C44" s="581"/>
      <c r="D44" s="581"/>
      <c r="E44" s="581"/>
      <c r="F44" s="581"/>
    </row>
    <row r="45" spans="1:6">
      <c r="A45" s="605" t="s">
        <v>491</v>
      </c>
      <c r="B45" s="600" t="s">
        <v>492</v>
      </c>
      <c r="C45" s="581"/>
      <c r="D45" s="581"/>
      <c r="E45" s="581"/>
      <c r="F45" s="581"/>
    </row>
    <row r="46" spans="1:6">
      <c r="A46" s="599"/>
      <c r="B46" s="600" t="s">
        <v>493</v>
      </c>
      <c r="C46" s="581"/>
      <c r="D46" s="581"/>
      <c r="E46" s="581"/>
      <c r="F46" s="581"/>
    </row>
    <row r="47" spans="1:6">
      <c r="A47" s="599"/>
      <c r="B47" s="600"/>
      <c r="C47" s="581"/>
      <c r="D47" s="581"/>
      <c r="E47" s="581"/>
      <c r="F47" s="581"/>
    </row>
    <row r="48" spans="1:6" ht="39.6">
      <c r="A48" s="605" t="s">
        <v>494</v>
      </c>
      <c r="B48" s="600" t="str">
        <f>IF(RIGHT(A2,10)=" KALIBRASI","Kalibrasi","Pengujian")</f>
        <v>Kalibrasi</v>
      </c>
      <c r="C48" s="581"/>
      <c r="D48" s="581"/>
      <c r="E48" s="581"/>
      <c r="F48" s="581"/>
    </row>
    <row r="49" spans="1:6">
      <c r="A49" s="599"/>
      <c r="B49" s="600"/>
      <c r="C49" s="581"/>
      <c r="D49" s="581"/>
      <c r="E49" s="581"/>
      <c r="F49" s="581"/>
    </row>
    <row r="50" spans="1:6" ht="27.6">
      <c r="A50" s="605" t="s">
        <v>495</v>
      </c>
      <c r="B50" s="606" t="s">
        <v>496</v>
      </c>
      <c r="C50" s="607"/>
      <c r="D50" s="607"/>
      <c r="E50" s="607"/>
      <c r="F50" s="607"/>
    </row>
    <row r="51" spans="1:6">
      <c r="A51" s="599"/>
      <c r="B51" s="600"/>
      <c r="C51" s="581"/>
      <c r="D51" s="581"/>
      <c r="E51" s="581"/>
      <c r="F51" s="581"/>
    </row>
    <row r="52" spans="1:6" ht="41.4">
      <c r="A52" s="608" t="s">
        <v>497</v>
      </c>
      <c r="B52" s="603">
        <f>DATE(YEAR(D17)+1,MONTH(D17),DAY(D17))</f>
        <v>44990</v>
      </c>
      <c r="C52" s="581"/>
      <c r="D52" s="581"/>
      <c r="E52" s="581"/>
      <c r="F52" s="581"/>
    </row>
    <row r="53" spans="1:6" ht="26.4">
      <c r="A53" s="605" t="s">
        <v>498</v>
      </c>
      <c r="B53" s="613" t="str">
        <f>TEXT(B52,"d mmmm yyyy")</f>
        <v>5 March 2023</v>
      </c>
      <c r="C53" s="581"/>
      <c r="D53" s="581"/>
      <c r="E53" s="581"/>
      <c r="F53" s="581"/>
    </row>
    <row r="54" spans="1:6">
      <c r="A54" s="599"/>
      <c r="B54" s="600"/>
      <c r="C54" s="581"/>
      <c r="D54" s="581"/>
      <c r="E54" s="581"/>
      <c r="F54" s="581"/>
    </row>
    <row r="55" spans="1:6" ht="41.4">
      <c r="A55" s="608" t="s">
        <v>499</v>
      </c>
      <c r="B55" s="611" t="str">
        <f>IF(B44=B45,B56,B57)</f>
        <v>Laik Pakai, disarankan untuk dikalibrasi ulang pada tanggal 5 March 2023</v>
      </c>
      <c r="C55" s="581"/>
      <c r="D55" s="581"/>
      <c r="E55" s="581"/>
      <c r="F55" s="581"/>
    </row>
    <row r="56" spans="1:6" ht="41.4">
      <c r="A56" s="599" t="s">
        <v>500</v>
      </c>
      <c r="B56" s="609" t="str">
        <f>CONCATENATE(B58,B53)</f>
        <v>Laik Pakai, disarankan untuk dikalibrasi ulang pada tanggal 5 March 2023</v>
      </c>
      <c r="C56" s="581"/>
      <c r="D56" s="581"/>
      <c r="E56" s="581"/>
      <c r="F56" s="581"/>
    </row>
    <row r="57" spans="1:6" ht="41.4">
      <c r="A57" s="599"/>
      <c r="B57" s="609" t="str">
        <f>CONCATENATE(B59,B53)</f>
        <v>Laik Pakai, disarankan untuk diuji ulang pada tanggal 5 March 2023</v>
      </c>
      <c r="C57" s="581"/>
      <c r="D57" s="581"/>
      <c r="E57" s="581"/>
      <c r="F57" s="581"/>
    </row>
    <row r="58" spans="1:6" ht="27.6">
      <c r="A58" s="602" t="s">
        <v>491</v>
      </c>
      <c r="B58" s="609" t="s">
        <v>501</v>
      </c>
      <c r="C58" s="581"/>
      <c r="D58" s="581"/>
      <c r="E58" s="581"/>
      <c r="F58" s="581"/>
    </row>
    <row r="59" spans="1:6" ht="28.2" thickBot="1">
      <c r="A59" s="604"/>
      <c r="B59" s="610" t="s">
        <v>502</v>
      </c>
      <c r="C59" s="581"/>
      <c r="D59" s="581"/>
      <c r="E59" s="581"/>
      <c r="F59" s="581"/>
    </row>
  </sheetData>
  <mergeCells count="32">
    <mergeCell ref="A2:F2"/>
    <mergeCell ref="A3:F3"/>
    <mergeCell ref="D4:F4"/>
    <mergeCell ref="D6:E6"/>
    <mergeCell ref="A8:B8"/>
    <mergeCell ref="D8:F8"/>
    <mergeCell ref="A9:B9"/>
    <mergeCell ref="D9:F9"/>
    <mergeCell ref="A10:B10"/>
    <mergeCell ref="D10:F10"/>
    <mergeCell ref="D12:E12"/>
    <mergeCell ref="A14:B14"/>
    <mergeCell ref="D14:F14"/>
    <mergeCell ref="A15:B15"/>
    <mergeCell ref="D15:F15"/>
    <mergeCell ref="A16:B16"/>
    <mergeCell ref="D16:F16"/>
    <mergeCell ref="A17:B17"/>
    <mergeCell ref="D17:F17"/>
    <mergeCell ref="A18:B18"/>
    <mergeCell ref="D18:F18"/>
    <mergeCell ref="A19:B19"/>
    <mergeCell ref="D19:F19"/>
    <mergeCell ref="D25:F25"/>
    <mergeCell ref="D26:F26"/>
    <mergeCell ref="D30:F30"/>
    <mergeCell ref="D31:F31"/>
    <mergeCell ref="A20:B20"/>
    <mergeCell ref="D20:F20"/>
    <mergeCell ref="A21:B21"/>
    <mergeCell ref="D21:F21"/>
    <mergeCell ref="E24:F24"/>
  </mergeCells>
  <dataValidations count="1">
    <dataValidation type="list" allowBlank="1" showInputMessage="1" showErrorMessage="1" sqref="A2:F2" xr:uid="{00000000-0002-0000-0600-000000000000}">
      <formula1>"SERTIFIKAT KALIBRASI,SERTIFIKAT PENGUJIAN"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R72"/>
  <sheetViews>
    <sheetView topLeftCell="B36" workbookViewId="0">
      <selection activeCell="D45" sqref="D45"/>
    </sheetView>
  </sheetViews>
  <sheetFormatPr defaultColWidth="9.109375" defaultRowHeight="13.8"/>
  <cols>
    <col min="1" max="1" width="9.109375" style="158"/>
    <col min="2" max="2" width="10.5546875" style="158" customWidth="1"/>
    <col min="3" max="3" width="12.109375" style="158" customWidth="1"/>
    <col min="4" max="4" width="10.33203125" style="158" bestFit="1" customWidth="1"/>
    <col min="5" max="5" width="9.5546875" style="158" bestFit="1" customWidth="1"/>
    <col min="6" max="7" width="11.33203125" style="158" customWidth="1"/>
    <col min="8" max="8" width="10.6640625" style="158" customWidth="1"/>
    <col min="9" max="9" width="11.44140625" style="158" customWidth="1"/>
    <col min="10" max="10" width="11.5546875" style="158" customWidth="1"/>
    <col min="11" max="11" width="10.109375" style="158" customWidth="1"/>
    <col min="12" max="12" width="12.6640625" style="158" customWidth="1"/>
    <col min="13" max="13" width="10.33203125" style="158" customWidth="1"/>
    <col min="14" max="14" width="11.44140625" style="158" bestFit="1" customWidth="1"/>
    <col min="15" max="15" width="7.109375" style="158" bestFit="1" customWidth="1"/>
    <col min="16" max="17" width="9.33203125" style="158" bestFit="1" customWidth="1"/>
    <col min="18" max="16384" width="9.109375" style="158"/>
  </cols>
  <sheetData>
    <row r="5" spans="2:15" ht="14.4" thickBot="1">
      <c r="B5" s="799" t="s">
        <v>421</v>
      </c>
    </row>
    <row r="6" spans="2:15" ht="14.4" thickBot="1">
      <c r="B6" s="800"/>
      <c r="C6" s="801"/>
      <c r="D6" s="801"/>
      <c r="E6" s="801"/>
      <c r="F6" s="801"/>
      <c r="G6" s="801"/>
      <c r="H6" s="801"/>
      <c r="I6" s="801"/>
      <c r="J6" s="801"/>
      <c r="K6" s="801"/>
      <c r="L6" s="801"/>
      <c r="M6" s="801"/>
      <c r="N6" s="802"/>
      <c r="O6" s="803"/>
    </row>
    <row r="7" spans="2:15" ht="39.9" customHeight="1" thickBot="1">
      <c r="B7" s="804">
        <f>'DATA SERTIFIKAT PS320'!A149</f>
        <v>11</v>
      </c>
      <c r="C7" s="1046" t="str">
        <f>'DATA SERTIFIKAT PS320'!B149</f>
        <v>Fetal Simulator, Merek : Fluke Biomedical, Model : PS 320, SN : 4662032</v>
      </c>
      <c r="D7" s="1046"/>
      <c r="E7" s="1046"/>
      <c r="F7" s="803"/>
      <c r="G7" s="803"/>
      <c r="H7" s="803"/>
      <c r="I7" s="1042" t="s">
        <v>430</v>
      </c>
      <c r="J7" s="1043"/>
      <c r="K7" s="1043"/>
      <c r="L7" s="1043"/>
      <c r="M7" s="1044"/>
      <c r="N7" s="805"/>
      <c r="O7" s="803"/>
    </row>
    <row r="8" spans="2:15">
      <c r="B8" s="806"/>
      <c r="C8" s="784" t="s">
        <v>65</v>
      </c>
      <c r="D8" s="291" t="s">
        <v>91</v>
      </c>
      <c r="E8" s="803"/>
      <c r="F8" s="803"/>
      <c r="G8" s="803"/>
      <c r="H8" s="803"/>
      <c r="I8" s="803"/>
      <c r="J8" s="803"/>
      <c r="K8" s="803"/>
      <c r="L8" s="803"/>
      <c r="M8" s="803"/>
      <c r="N8" s="807"/>
      <c r="O8" s="803"/>
    </row>
    <row r="9" spans="2:15">
      <c r="B9" s="806"/>
      <c r="C9" s="808">
        <v>0</v>
      </c>
      <c r="D9" s="704">
        <f>'DATA SERTIFIKAT PS320'!B153</f>
        <v>9.9999999999999995E-7</v>
      </c>
      <c r="E9" s="803"/>
      <c r="F9" s="803"/>
      <c r="G9" s="803"/>
      <c r="H9" s="803"/>
      <c r="I9" s="803"/>
      <c r="J9" s="803"/>
      <c r="K9" s="803"/>
      <c r="L9" s="803"/>
      <c r="M9" s="803"/>
      <c r="N9" s="807"/>
      <c r="O9" s="803"/>
    </row>
    <row r="10" spans="2:15">
      <c r="B10" s="806"/>
      <c r="C10" s="784">
        <v>30</v>
      </c>
      <c r="D10" s="704">
        <f>'DATA SERTIFIKAT PS320'!B154</f>
        <v>9.9999999999999995E-7</v>
      </c>
      <c r="E10" s="803"/>
      <c r="F10" s="803"/>
      <c r="G10" s="803"/>
      <c r="H10" s="809"/>
      <c r="I10" s="810"/>
      <c r="J10" s="811"/>
      <c r="K10" s="811"/>
      <c r="L10" s="809"/>
      <c r="M10" s="803"/>
      <c r="N10" s="807"/>
      <c r="O10" s="803"/>
    </row>
    <row r="11" spans="2:15">
      <c r="B11" s="806"/>
      <c r="C11" s="784">
        <v>60</v>
      </c>
      <c r="D11" s="704">
        <f>'DATA SERTIFIKAT PS320'!B155</f>
        <v>9.9999999999999995E-7</v>
      </c>
      <c r="E11" s="803"/>
      <c r="F11" s="803"/>
      <c r="G11" s="803"/>
      <c r="H11" s="809"/>
      <c r="I11" s="803" t="s">
        <v>420</v>
      </c>
      <c r="J11" s="803"/>
      <c r="K11" s="811"/>
      <c r="L11" s="809"/>
      <c r="M11" s="803"/>
      <c r="N11" s="807"/>
      <c r="O11" s="803"/>
    </row>
    <row r="12" spans="2:15" ht="24.9" customHeight="1">
      <c r="B12" s="806"/>
      <c r="C12" s="291">
        <v>90</v>
      </c>
      <c r="D12" s="704">
        <f>'DATA SERTIFIKAT PS320'!B156</f>
        <v>9.9999999999999995E-7</v>
      </c>
      <c r="E12" s="803"/>
      <c r="F12" s="803"/>
      <c r="G12" s="803"/>
      <c r="H12" s="809"/>
      <c r="I12" s="291" t="s">
        <v>65</v>
      </c>
      <c r="J12" s="772" t="s">
        <v>363</v>
      </c>
      <c r="K12" s="812" t="s">
        <v>91</v>
      </c>
      <c r="L12" s="813" t="s">
        <v>259</v>
      </c>
      <c r="M12" s="291" t="s">
        <v>91</v>
      </c>
      <c r="N12" s="807"/>
      <c r="O12" s="803"/>
    </row>
    <row r="13" spans="2:15">
      <c r="B13" s="806"/>
      <c r="C13" s="784">
        <v>120</v>
      </c>
      <c r="D13" s="704">
        <f>'DATA SERTIFIKAT PS320'!B157</f>
        <v>9.9999999999999995E-7</v>
      </c>
      <c r="E13" s="803"/>
      <c r="F13" s="803"/>
      <c r="G13" s="803"/>
      <c r="H13" s="809"/>
      <c r="I13" s="784">
        <v>30</v>
      </c>
      <c r="J13" s="704">
        <f>ID!D83</f>
        <v>30</v>
      </c>
      <c r="K13" s="814">
        <f>FORECAST(J13,$D$9:$D$17,$C$9:$C$17)</f>
        <v>9.9999999999999995E-7</v>
      </c>
      <c r="L13" s="814">
        <f>J13+K13</f>
        <v>30.000001000000001</v>
      </c>
      <c r="M13" s="815">
        <f>L13-I13</f>
        <v>1.0000000010279564E-6</v>
      </c>
      <c r="N13" s="807"/>
      <c r="O13" s="803"/>
    </row>
    <row r="14" spans="2:15">
      <c r="B14" s="806"/>
      <c r="C14" s="784">
        <v>150</v>
      </c>
      <c r="D14" s="704">
        <f>'DATA SERTIFIKAT PS320'!B158</f>
        <v>9.9999999999999995E-7</v>
      </c>
      <c r="E14" s="803"/>
      <c r="F14" s="803"/>
      <c r="G14" s="803"/>
      <c r="H14" s="809"/>
      <c r="I14" s="784">
        <v>60</v>
      </c>
      <c r="J14" s="704">
        <f>ID!D84</f>
        <v>60</v>
      </c>
      <c r="K14" s="814">
        <f t="shared" ref="K14:K19" si="0">FORECAST(J14,$D$9:$D$17,$C$9:$C$17)</f>
        <v>9.9999999999999995E-7</v>
      </c>
      <c r="L14" s="814">
        <f t="shared" ref="L14:L19" si="1">J14+K14</f>
        <v>60.000000999999997</v>
      </c>
      <c r="M14" s="815">
        <f t="shared" ref="M14:M19" si="2">L14-I14</f>
        <v>9.9999999747524271E-7</v>
      </c>
      <c r="N14" s="807"/>
      <c r="O14" s="803"/>
    </row>
    <row r="15" spans="2:15">
      <c r="B15" s="806"/>
      <c r="C15" s="784">
        <v>180</v>
      </c>
      <c r="D15" s="704">
        <f>'DATA SERTIFIKAT PS320'!B159</f>
        <v>9.9999999999999995E-7</v>
      </c>
      <c r="E15" s="803"/>
      <c r="F15" s="803"/>
      <c r="G15" s="803"/>
      <c r="H15" s="809"/>
      <c r="I15" s="784">
        <v>90</v>
      </c>
      <c r="J15" s="704">
        <f>ID!D85</f>
        <v>90</v>
      </c>
      <c r="K15" s="814">
        <f t="shared" si="0"/>
        <v>9.9999999999999995E-7</v>
      </c>
      <c r="L15" s="814">
        <f t="shared" si="1"/>
        <v>90.000000999999997</v>
      </c>
      <c r="M15" s="815">
        <f t="shared" si="2"/>
        <v>9.9999999747524271E-7</v>
      </c>
      <c r="N15" s="807"/>
      <c r="O15" s="803"/>
    </row>
    <row r="16" spans="2:15">
      <c r="B16" s="806"/>
      <c r="C16" s="784">
        <v>210</v>
      </c>
      <c r="D16" s="704">
        <f>'DATA SERTIFIKAT PS320'!B160</f>
        <v>9.9999999999999995E-7</v>
      </c>
      <c r="E16" s="803"/>
      <c r="F16" s="803"/>
      <c r="G16" s="803"/>
      <c r="H16" s="809"/>
      <c r="I16" s="784">
        <v>120</v>
      </c>
      <c r="J16" s="704">
        <f>ID!D86</f>
        <v>120</v>
      </c>
      <c r="K16" s="814">
        <f t="shared" si="0"/>
        <v>9.9999999999999995E-7</v>
      </c>
      <c r="L16" s="814">
        <f t="shared" si="1"/>
        <v>120.000001</v>
      </c>
      <c r="M16" s="815">
        <f t="shared" si="2"/>
        <v>9.9999999747524271E-7</v>
      </c>
      <c r="N16" s="807"/>
      <c r="O16" s="803"/>
    </row>
    <row r="17" spans="2:18">
      <c r="B17" s="806"/>
      <c r="C17" s="784">
        <v>240</v>
      </c>
      <c r="D17" s="704">
        <f>'DATA SERTIFIKAT PS320'!B161</f>
        <v>9.9999999999999995E-7</v>
      </c>
      <c r="E17" s="803"/>
      <c r="F17" s="803"/>
      <c r="G17" s="803"/>
      <c r="H17" s="809"/>
      <c r="I17" s="784">
        <v>150</v>
      </c>
      <c r="J17" s="704">
        <f>ID!D87</f>
        <v>150</v>
      </c>
      <c r="K17" s="814">
        <f t="shared" si="0"/>
        <v>9.9999999999999995E-7</v>
      </c>
      <c r="L17" s="814">
        <f t="shared" si="1"/>
        <v>150.000001</v>
      </c>
      <c r="M17" s="815">
        <f t="shared" si="2"/>
        <v>9.9999999747524271E-7</v>
      </c>
      <c r="N17" s="807"/>
      <c r="O17" s="803"/>
    </row>
    <row r="18" spans="2:18">
      <c r="B18" s="806"/>
      <c r="C18" s="803"/>
      <c r="D18" s="803"/>
      <c r="E18" s="803"/>
      <c r="F18" s="803"/>
      <c r="G18" s="803"/>
      <c r="H18" s="809"/>
      <c r="I18" s="784">
        <v>180</v>
      </c>
      <c r="J18" s="704">
        <f>ID!D88</f>
        <v>180</v>
      </c>
      <c r="K18" s="814">
        <f t="shared" si="0"/>
        <v>9.9999999999999995E-7</v>
      </c>
      <c r="L18" s="814">
        <f t="shared" si="1"/>
        <v>180.000001</v>
      </c>
      <c r="M18" s="815">
        <f t="shared" si="2"/>
        <v>9.9999999747524271E-7</v>
      </c>
      <c r="N18" s="807"/>
      <c r="O18" s="803"/>
    </row>
    <row r="19" spans="2:18">
      <c r="B19" s="806"/>
      <c r="C19" s="803"/>
      <c r="D19" s="803"/>
      <c r="E19" s="803"/>
      <c r="F19" s="803"/>
      <c r="G19" s="803"/>
      <c r="H19" s="809"/>
      <c r="I19" s="784">
        <v>210</v>
      </c>
      <c r="J19" s="704">
        <f>ID!D89</f>
        <v>210</v>
      </c>
      <c r="K19" s="814">
        <f t="shared" si="0"/>
        <v>9.9999999999999995E-7</v>
      </c>
      <c r="L19" s="814">
        <f t="shared" si="1"/>
        <v>210.000001</v>
      </c>
      <c r="M19" s="815">
        <f t="shared" si="2"/>
        <v>9.9999999747524271E-7</v>
      </c>
      <c r="N19" s="807"/>
      <c r="O19" s="803"/>
    </row>
    <row r="20" spans="2:18">
      <c r="B20" s="806"/>
      <c r="C20" s="803"/>
      <c r="D20" s="803"/>
      <c r="E20" s="803"/>
      <c r="F20" s="803"/>
      <c r="G20" s="803"/>
      <c r="H20" s="809"/>
      <c r="I20" s="809"/>
      <c r="J20" s="816"/>
      <c r="K20" s="809"/>
      <c r="L20" s="809"/>
      <c r="M20" s="803"/>
      <c r="N20" s="807"/>
      <c r="O20" s="803"/>
    </row>
    <row r="21" spans="2:18" ht="14.4" thickBot="1">
      <c r="B21" s="817"/>
      <c r="C21" s="690"/>
      <c r="D21" s="690"/>
      <c r="E21" s="690"/>
      <c r="F21" s="690"/>
      <c r="G21" s="690"/>
      <c r="H21" s="818"/>
      <c r="I21" s="818"/>
      <c r="J21" s="818"/>
      <c r="K21" s="818"/>
      <c r="L21" s="818"/>
      <c r="M21" s="690"/>
      <c r="N21" s="691"/>
      <c r="O21" s="803"/>
    </row>
    <row r="22" spans="2:18">
      <c r="B22" s="803"/>
      <c r="C22" s="803"/>
      <c r="D22" s="803"/>
      <c r="E22" s="803"/>
      <c r="F22" s="803"/>
      <c r="G22" s="803"/>
      <c r="H22" s="803"/>
      <c r="I22" s="803"/>
      <c r="J22" s="803"/>
      <c r="K22" s="803"/>
      <c r="L22" s="803"/>
      <c r="M22" s="803"/>
      <c r="N22" s="803"/>
      <c r="O22" s="803"/>
    </row>
    <row r="23" spans="2:18" ht="14.4" thickBot="1">
      <c r="B23" s="799" t="s">
        <v>423</v>
      </c>
    </row>
    <row r="24" spans="2:18" ht="14.4" thickBot="1">
      <c r="B24" s="800"/>
      <c r="C24" s="801"/>
      <c r="D24" s="801"/>
      <c r="E24" s="801"/>
      <c r="F24" s="801"/>
      <c r="G24" s="801"/>
      <c r="H24" s="801"/>
      <c r="I24" s="801"/>
      <c r="J24" s="801"/>
      <c r="K24" s="801"/>
      <c r="L24" s="801"/>
      <c r="M24" s="801"/>
      <c r="N24" s="801"/>
      <c r="O24" s="801"/>
      <c r="P24" s="801"/>
      <c r="Q24" s="801"/>
      <c r="R24" s="802"/>
    </row>
    <row r="25" spans="2:18" ht="45.9" customHeight="1" thickBot="1">
      <c r="B25" s="819">
        <f>'DB Suhu'!A334</f>
        <v>18</v>
      </c>
      <c r="C25" s="1047" t="str">
        <f>'DB Suhu'!B334</f>
        <v>Digital Thermohygro Barometer : EXTECH, SD700, SN : A.100586</v>
      </c>
      <c r="D25" s="1047"/>
      <c r="E25" s="1047"/>
      <c r="F25" s="803"/>
      <c r="G25" s="803"/>
      <c r="H25" s="803"/>
      <c r="I25" s="1042" t="s">
        <v>430</v>
      </c>
      <c r="J25" s="1043"/>
      <c r="K25" s="1043"/>
      <c r="L25" s="1043"/>
      <c r="M25" s="1043"/>
      <c r="N25" s="1043"/>
      <c r="O25" s="1043"/>
      <c r="P25" s="1043"/>
      <c r="Q25" s="1044"/>
      <c r="R25" s="807"/>
    </row>
    <row r="26" spans="2:18">
      <c r="B26" s="806"/>
      <c r="C26" s="803"/>
      <c r="D26" s="803"/>
      <c r="E26" s="803"/>
      <c r="F26" s="803"/>
      <c r="G26" s="803"/>
      <c r="H26" s="803"/>
      <c r="I26" s="803"/>
      <c r="J26" s="803"/>
      <c r="K26" s="803"/>
      <c r="L26" s="803"/>
      <c r="M26" s="803"/>
      <c r="N26" s="803"/>
      <c r="O26" s="803"/>
      <c r="P26" s="803"/>
      <c r="Q26" s="803"/>
      <c r="R26" s="807"/>
    </row>
    <row r="27" spans="2:18" ht="14.4">
      <c r="B27" s="806"/>
      <c r="C27" s="820" t="s">
        <v>422</v>
      </c>
      <c r="D27" s="803"/>
      <c r="E27" s="803"/>
      <c r="F27" s="820" t="s">
        <v>164</v>
      </c>
      <c r="G27" s="803"/>
      <c r="H27" s="803"/>
      <c r="I27" s="1045" t="s">
        <v>431</v>
      </c>
      <c r="J27" s="1045"/>
      <c r="K27" s="1045"/>
      <c r="L27" s="1045"/>
      <c r="M27" s="1045"/>
      <c r="N27" s="1045"/>
      <c r="O27" s="1045"/>
      <c r="P27" s="1045"/>
      <c r="Q27" s="1045"/>
      <c r="R27" s="807"/>
    </row>
    <row r="28" spans="2:18">
      <c r="B28" s="806"/>
      <c r="C28" s="291" t="s">
        <v>71</v>
      </c>
      <c r="D28" s="291" t="s">
        <v>91</v>
      </c>
      <c r="E28" s="803"/>
      <c r="F28" s="291" t="s">
        <v>73</v>
      </c>
      <c r="G28" s="291" t="s">
        <v>91</v>
      </c>
      <c r="H28" s="803"/>
      <c r="I28" s="291" t="s">
        <v>163</v>
      </c>
      <c r="J28" s="291" t="s">
        <v>424</v>
      </c>
      <c r="K28" s="291" t="s">
        <v>425</v>
      </c>
      <c r="L28" s="291" t="s">
        <v>94</v>
      </c>
      <c r="M28" s="803"/>
      <c r="N28" s="291" t="s">
        <v>164</v>
      </c>
      <c r="O28" s="291" t="s">
        <v>424</v>
      </c>
      <c r="P28" s="291" t="s">
        <v>425</v>
      </c>
      <c r="Q28" s="291" t="s">
        <v>94</v>
      </c>
      <c r="R28" s="807"/>
    </row>
    <row r="29" spans="2:18">
      <c r="B29" s="806"/>
      <c r="C29" s="821">
        <v>15</v>
      </c>
      <c r="D29" s="291">
        <f>'DB Suhu'!B337</f>
        <v>9.9999999999999995E-7</v>
      </c>
      <c r="E29" s="803"/>
      <c r="F29" s="821">
        <v>35</v>
      </c>
      <c r="G29" s="291">
        <f>'DB Suhu'!G337</f>
        <v>-0.4</v>
      </c>
      <c r="H29" s="803"/>
      <c r="I29" s="291">
        <f>'DB Suhu'!L338</f>
        <v>24.5</v>
      </c>
      <c r="J29" s="548">
        <f>FORECAST(I29,D29:D35,C29:C35)</f>
        <v>-7.3098680632630419E-2</v>
      </c>
      <c r="K29" s="548">
        <f>I29+J29</f>
        <v>24.426901319367371</v>
      </c>
      <c r="L29" s="291">
        <f>'DB Suhu'!Q337</f>
        <v>0.3</v>
      </c>
      <c r="M29" s="803"/>
      <c r="N29" s="291">
        <f>'DB Suhu'!L339</f>
        <v>79.5</v>
      </c>
      <c r="O29" s="548">
        <f>FORECAST(N29,G29:G35,F29:F35)</f>
        <v>-0.46878166912181296</v>
      </c>
      <c r="P29" s="548">
        <f>N29+O29</f>
        <v>79.03121833087819</v>
      </c>
      <c r="Q29" s="757">
        <f>'DB Suhu'!Q339</f>
        <v>2</v>
      </c>
      <c r="R29" s="807"/>
    </row>
    <row r="30" spans="2:18">
      <c r="B30" s="806"/>
      <c r="C30" s="821">
        <v>20</v>
      </c>
      <c r="D30" s="291">
        <f>'DB Suhu'!B338</f>
        <v>9.9999999999999995E-7</v>
      </c>
      <c r="E30" s="803"/>
      <c r="F30" s="821">
        <v>40</v>
      </c>
      <c r="G30" s="291">
        <f>'DB Suhu'!G338</f>
        <v>-0.1</v>
      </c>
      <c r="H30" s="803"/>
      <c r="I30" s="822"/>
      <c r="J30" s="803"/>
      <c r="K30" s="803"/>
      <c r="L30" s="803"/>
      <c r="M30" s="803"/>
      <c r="N30" s="803"/>
      <c r="O30" s="803"/>
      <c r="P30" s="803"/>
      <c r="Q30" s="803"/>
      <c r="R30" s="807"/>
    </row>
    <row r="31" spans="2:18">
      <c r="B31" s="806"/>
      <c r="C31" s="821">
        <v>25</v>
      </c>
      <c r="D31" s="291">
        <f>'DB Suhu'!B339</f>
        <v>9.9999999999999995E-7</v>
      </c>
      <c r="E31" s="803"/>
      <c r="F31" s="821">
        <v>50</v>
      </c>
      <c r="G31" s="291">
        <f>'DB Suhu'!G339</f>
        <v>9.9999999999999995E-7</v>
      </c>
      <c r="H31" s="803"/>
      <c r="I31" s="823" t="s">
        <v>426</v>
      </c>
      <c r="J31" s="803"/>
      <c r="K31" s="803"/>
      <c r="L31" s="803"/>
      <c r="M31" s="803"/>
      <c r="N31" s="803"/>
      <c r="O31" s="803"/>
      <c r="P31" s="803"/>
      <c r="Q31" s="803"/>
      <c r="R31" s="807"/>
    </row>
    <row r="32" spans="2:18">
      <c r="B32" s="806"/>
      <c r="C32" s="821">
        <v>30</v>
      </c>
      <c r="D32" s="291">
        <f>'DB Suhu'!B340</f>
        <v>-0.1</v>
      </c>
      <c r="E32" s="803"/>
      <c r="F32" s="824">
        <v>60</v>
      </c>
      <c r="G32" s="291">
        <f>'DB Suhu'!G340</f>
        <v>9.9999999999999995E-7</v>
      </c>
      <c r="H32" s="803"/>
      <c r="I32" s="823" t="s">
        <v>163</v>
      </c>
      <c r="J32" s="803" t="str">
        <f>I37&amp;I35&amp;J37&amp;J35&amp;K37&amp;K35</f>
        <v>( 24.4 ± 0.3 ) °C</v>
      </c>
      <c r="K32" s="803"/>
      <c r="L32" s="803"/>
      <c r="M32" s="803"/>
      <c r="N32" s="803"/>
      <c r="O32" s="803"/>
      <c r="P32" s="803"/>
      <c r="Q32" s="803"/>
      <c r="R32" s="807"/>
    </row>
    <row r="33" spans="2:18">
      <c r="B33" s="806"/>
      <c r="C33" s="821">
        <v>35</v>
      </c>
      <c r="D33" s="291">
        <f>'DB Suhu'!B341</f>
        <v>-0.2</v>
      </c>
      <c r="E33" s="803"/>
      <c r="F33" s="824">
        <v>70</v>
      </c>
      <c r="G33" s="291">
        <f>'DB Suhu'!G341</f>
        <v>-0.1</v>
      </c>
      <c r="H33" s="803"/>
      <c r="I33" s="823" t="s">
        <v>164</v>
      </c>
      <c r="J33" s="803" t="str">
        <f>I37&amp;I36&amp;J37&amp;J36&amp;K37&amp;K36</f>
        <v>( 79.0 ± 2.0 ) %RH</v>
      </c>
      <c r="K33" s="803"/>
      <c r="L33" s="803"/>
      <c r="M33" s="803"/>
      <c r="N33" s="803"/>
      <c r="O33" s="803"/>
      <c r="P33" s="803"/>
      <c r="Q33" s="803"/>
      <c r="R33" s="807"/>
    </row>
    <row r="34" spans="2:18">
      <c r="B34" s="806"/>
      <c r="C34" s="821">
        <v>37</v>
      </c>
      <c r="D34" s="291">
        <f>'DB Suhu'!B342</f>
        <v>-0.3</v>
      </c>
      <c r="E34" s="803"/>
      <c r="F34" s="824">
        <v>80</v>
      </c>
      <c r="G34" s="291">
        <f>'DB Suhu'!G342</f>
        <v>-0.5</v>
      </c>
      <c r="H34" s="803"/>
      <c r="I34" s="822"/>
      <c r="J34" s="803"/>
      <c r="K34" s="803"/>
      <c r="L34" s="803"/>
      <c r="M34" s="803"/>
      <c r="N34" s="803"/>
      <c r="O34" s="803"/>
      <c r="P34" s="803"/>
      <c r="Q34" s="803"/>
      <c r="R34" s="807"/>
    </row>
    <row r="35" spans="2:18">
      <c r="B35" s="806"/>
      <c r="C35" s="821">
        <v>40</v>
      </c>
      <c r="D35" s="291">
        <f>'DB Suhu'!B343</f>
        <v>-0.4</v>
      </c>
      <c r="E35" s="803"/>
      <c r="F35" s="824">
        <v>90</v>
      </c>
      <c r="G35" s="291">
        <f>'DB Suhu'!G343</f>
        <v>-0.9</v>
      </c>
      <c r="H35" s="803"/>
      <c r="I35" s="82" t="str">
        <f>TEXT(K29,"0.0")</f>
        <v>24.4</v>
      </c>
      <c r="J35" s="82" t="str">
        <f>TEXT(L29,"0.0")</f>
        <v>0.3</v>
      </c>
      <c r="K35" s="825" t="s">
        <v>226</v>
      </c>
      <c r="L35" s="803"/>
      <c r="M35" s="826" t="str">
        <f>I35</f>
        <v>24.4</v>
      </c>
      <c r="N35" s="827" t="str">
        <f>J37</f>
        <v xml:space="preserve"> ± </v>
      </c>
      <c r="O35" s="826">
        <f>L29</f>
        <v>0.3</v>
      </c>
      <c r="P35" s="828" t="str">
        <f>K35</f>
        <v xml:space="preserve"> °C</v>
      </c>
      <c r="Q35" s="803"/>
      <c r="R35" s="807"/>
    </row>
    <row r="36" spans="2:18">
      <c r="B36" s="806"/>
      <c r="C36" s="803"/>
      <c r="D36" s="803"/>
      <c r="E36" s="803"/>
      <c r="F36" s="803"/>
      <c r="G36" s="803"/>
      <c r="H36" s="803"/>
      <c r="I36" s="82" t="str">
        <f>TEXT(P29,"0.0")</f>
        <v>79.0</v>
      </c>
      <c r="J36" s="82" t="str">
        <f>TEXT(Q29,"0.0")</f>
        <v>2.0</v>
      </c>
      <c r="K36" s="825" t="s">
        <v>227</v>
      </c>
      <c r="L36" s="803"/>
      <c r="M36" s="698" t="str">
        <f>I36</f>
        <v>79.0</v>
      </c>
      <c r="N36" s="829" t="str">
        <f>J37</f>
        <v xml:space="preserve"> ± </v>
      </c>
      <c r="O36" s="830">
        <f>Q29</f>
        <v>2</v>
      </c>
      <c r="P36" s="828" t="str">
        <f>K36</f>
        <v xml:space="preserve"> %RH</v>
      </c>
      <c r="Q36" s="803"/>
      <c r="R36" s="807"/>
    </row>
    <row r="37" spans="2:18">
      <c r="B37" s="806"/>
      <c r="C37" s="803"/>
      <c r="D37" s="803"/>
      <c r="E37" s="803"/>
      <c r="F37" s="803"/>
      <c r="G37" s="803"/>
      <c r="H37" s="803"/>
      <c r="I37" s="831" t="s">
        <v>228</v>
      </c>
      <c r="J37" s="832" t="s">
        <v>229</v>
      </c>
      <c r="K37" s="832" t="s">
        <v>230</v>
      </c>
      <c r="L37" s="803"/>
      <c r="M37" s="803"/>
      <c r="N37" s="803"/>
      <c r="O37" s="803"/>
      <c r="P37" s="803"/>
      <c r="Q37" s="803"/>
      <c r="R37" s="807"/>
    </row>
    <row r="38" spans="2:18" ht="14.4" thickBot="1">
      <c r="B38" s="817"/>
      <c r="C38" s="690"/>
      <c r="D38" s="690"/>
      <c r="E38" s="690"/>
      <c r="F38" s="690"/>
      <c r="G38" s="690"/>
      <c r="H38" s="690"/>
      <c r="I38" s="690"/>
      <c r="J38" s="690"/>
      <c r="K38" s="690"/>
      <c r="L38" s="690"/>
      <c r="M38" s="690"/>
      <c r="N38" s="690"/>
      <c r="O38" s="690"/>
      <c r="P38" s="690"/>
      <c r="Q38" s="690"/>
      <c r="R38" s="691"/>
    </row>
    <row r="40" spans="2:18" ht="14.4" thickBot="1">
      <c r="B40" s="799" t="s">
        <v>331</v>
      </c>
    </row>
    <row r="41" spans="2:18" ht="14.4" thickBot="1">
      <c r="B41" s="800"/>
      <c r="C41" s="801"/>
      <c r="D41" s="801"/>
      <c r="E41" s="801"/>
      <c r="F41" s="801"/>
      <c r="G41" s="801"/>
      <c r="H41" s="801"/>
      <c r="I41" s="801"/>
      <c r="J41" s="801"/>
      <c r="K41" s="801"/>
      <c r="L41" s="802"/>
    </row>
    <row r="42" spans="2:18" ht="14.4" thickBot="1">
      <c r="B42" s="819">
        <f>'DB ESA'!A195</f>
        <v>7</v>
      </c>
      <c r="C42" s="1041" t="str">
        <f>'DB ESA'!B195</f>
        <v>Electrical Safety Analyzer, Merek : Fluke, Model : ESA 615, SN : 3699030</v>
      </c>
      <c r="D42" s="1041"/>
      <c r="E42" s="1041"/>
      <c r="F42" s="1041"/>
      <c r="G42" s="803"/>
      <c r="H42" s="1042" t="s">
        <v>430</v>
      </c>
      <c r="I42" s="1043"/>
      <c r="J42" s="1043"/>
      <c r="K42" s="1044"/>
      <c r="L42" s="833"/>
      <c r="M42" s="834"/>
      <c r="N42" s="834"/>
      <c r="O42" s="834"/>
      <c r="P42" s="834"/>
    </row>
    <row r="43" spans="2:18">
      <c r="B43" s="806"/>
      <c r="C43" s="803"/>
      <c r="D43" s="803"/>
      <c r="E43" s="803"/>
      <c r="F43" s="803"/>
      <c r="G43" s="803"/>
      <c r="H43" s="803"/>
      <c r="I43" s="803"/>
      <c r="J43" s="803"/>
      <c r="K43" s="803"/>
      <c r="L43" s="807"/>
    </row>
    <row r="44" spans="2:18" ht="26.4" customHeight="1" thickBot="1">
      <c r="B44" s="806"/>
      <c r="C44" s="835" t="s">
        <v>427</v>
      </c>
      <c r="D44" s="291" t="s">
        <v>91</v>
      </c>
      <c r="E44" s="291" t="s">
        <v>94</v>
      </c>
      <c r="F44" s="803"/>
      <c r="G44" s="803"/>
      <c r="H44" s="836" t="s">
        <v>257</v>
      </c>
      <c r="I44" s="291" t="s">
        <v>91</v>
      </c>
      <c r="J44" s="291" t="s">
        <v>429</v>
      </c>
      <c r="K44" s="291" t="s">
        <v>259</v>
      </c>
      <c r="L44" s="807"/>
    </row>
    <row r="45" spans="2:18">
      <c r="B45" s="806"/>
      <c r="C45" s="785">
        <v>150</v>
      </c>
      <c r="D45" s="704">
        <f>'DB ESA'!C199</f>
        <v>0.21</v>
      </c>
      <c r="E45" s="704">
        <f>'DB ESA'!E199</f>
        <v>1.2</v>
      </c>
      <c r="F45" s="803"/>
      <c r="G45" s="803"/>
      <c r="H45" s="757" t="str">
        <f>ID!E18</f>
        <v>-</v>
      </c>
      <c r="I45" s="548" t="e">
        <f>FORECAST(H45,D45:D50,C45:C50)</f>
        <v>#VALUE!</v>
      </c>
      <c r="J45" s="548" t="e">
        <f>H45+I45</f>
        <v>#VALUE!</v>
      </c>
      <c r="K45" s="837" t="str">
        <f>IF(H45="-","-",J45)</f>
        <v>-</v>
      </c>
      <c r="L45" s="807"/>
    </row>
    <row r="46" spans="2:18">
      <c r="B46" s="806"/>
      <c r="C46" s="785">
        <v>180</v>
      </c>
      <c r="D46" s="704">
        <f>'DB ESA'!C200</f>
        <v>0.33</v>
      </c>
      <c r="E46" s="704">
        <f>'DB ESA'!E200</f>
        <v>1.2</v>
      </c>
      <c r="F46" s="803"/>
      <c r="G46" s="803"/>
      <c r="H46" s="291" t="str">
        <f>ID!I27</f>
        <v>-</v>
      </c>
      <c r="I46" s="548" t="e">
        <f>FORECAST(H46,D53:D56,C53:C56)</f>
        <v>#VALUE!</v>
      </c>
      <c r="J46" s="548" t="e">
        <f t="shared" ref="J46:J49" si="3">H46+I46</f>
        <v>#VALUE!</v>
      </c>
      <c r="K46" s="838" t="str">
        <f>IF(H46="OL","OL",IF(H46="NC","NC",IF(H46="OR","OR",IFERROR(J46,"-"))))</f>
        <v>-</v>
      </c>
      <c r="L46" s="807"/>
    </row>
    <row r="47" spans="2:18">
      <c r="B47" s="806"/>
      <c r="C47" s="785">
        <v>200</v>
      </c>
      <c r="D47" s="704">
        <f>'DB ESA'!C201</f>
        <v>0.34</v>
      </c>
      <c r="E47" s="704">
        <f>'DB ESA'!E201</f>
        <v>1.2</v>
      </c>
      <c r="F47" s="803"/>
      <c r="G47" s="803"/>
      <c r="H47" s="291" t="str">
        <f>ID!I28</f>
        <v>-</v>
      </c>
      <c r="I47" s="619" t="e">
        <f>FORECAST(H47,D59:D62,C59:C62)</f>
        <v>#VALUE!</v>
      </c>
      <c r="J47" s="548" t="e">
        <f t="shared" si="3"/>
        <v>#VALUE!</v>
      </c>
      <c r="K47" s="838" t="str">
        <f>IF(H47="OL","OL",IF(H47="NC","NC",IF(H47="OR","OR",IFERROR(J47,"-"))))</f>
        <v>-</v>
      </c>
      <c r="L47" s="807"/>
    </row>
    <row r="48" spans="2:18">
      <c r="B48" s="806"/>
      <c r="C48" s="785">
        <v>220</v>
      </c>
      <c r="D48" s="704">
        <f>'DB ESA'!C202</f>
        <v>0.37</v>
      </c>
      <c r="E48" s="704">
        <f>'DB ESA'!E202</f>
        <v>1.2</v>
      </c>
      <c r="F48" s="803"/>
      <c r="G48" s="839" t="s">
        <v>409</v>
      </c>
      <c r="H48" s="291" t="str">
        <f>ID!I29</f>
        <v>-</v>
      </c>
      <c r="I48" s="291" t="e">
        <f>FORECAST(H48,$D$67:$D$71,$C$67:$C$71)</f>
        <v>#VALUE!</v>
      </c>
      <c r="J48" s="548" t="e">
        <f t="shared" si="3"/>
        <v>#VALUE!</v>
      </c>
      <c r="K48" s="840" t="str">
        <f>IFERROR(J48,"-")</f>
        <v>-</v>
      </c>
      <c r="L48" s="807"/>
    </row>
    <row r="49" spans="2:12" ht="14.4" thickBot="1">
      <c r="B49" s="806"/>
      <c r="C49" s="785">
        <v>230</v>
      </c>
      <c r="D49" s="704">
        <f>'DB ESA'!C203</f>
        <v>0.47</v>
      </c>
      <c r="E49" s="704">
        <f>'DB ESA'!E203</f>
        <v>1.2</v>
      </c>
      <c r="F49" s="803"/>
      <c r="G49" s="839" t="s">
        <v>378</v>
      </c>
      <c r="H49" s="291">
        <f>ID!N29</f>
        <v>12</v>
      </c>
      <c r="I49" s="291">
        <f>FORECAST(H49,$D$67:$D$71,$C$67:$C$71)</f>
        <v>0.72691120966573819</v>
      </c>
      <c r="J49" s="548">
        <f t="shared" si="3"/>
        <v>12.726911209665738</v>
      </c>
      <c r="K49" s="841">
        <f>IFERROR(J49,"-")</f>
        <v>12.726911209665738</v>
      </c>
      <c r="L49" s="807"/>
    </row>
    <row r="50" spans="2:12">
      <c r="B50" s="806"/>
      <c r="C50" s="785">
        <v>250</v>
      </c>
      <c r="D50" s="704">
        <f>'DB ESA'!C204</f>
        <v>9.9999999999999995E-7</v>
      </c>
      <c r="E50" s="704">
        <f>'DB ESA'!E204</f>
        <v>1.2</v>
      </c>
      <c r="F50" s="803"/>
      <c r="G50" s="803"/>
      <c r="H50" s="803"/>
      <c r="I50" s="803"/>
      <c r="J50" s="803"/>
      <c r="K50" s="803"/>
      <c r="L50" s="807"/>
    </row>
    <row r="51" spans="2:12">
      <c r="B51" s="806"/>
      <c r="C51" s="803"/>
      <c r="D51" s="842"/>
      <c r="E51" s="842"/>
      <c r="F51" s="803"/>
      <c r="G51" s="843"/>
      <c r="H51" s="843"/>
      <c r="I51" s="843"/>
      <c r="J51" s="843"/>
      <c r="K51" s="843"/>
      <c r="L51" s="844"/>
    </row>
    <row r="52" spans="2:12" ht="14.4">
      <c r="B52" s="806"/>
      <c r="C52" s="845" t="s">
        <v>428</v>
      </c>
      <c r="D52" s="704" t="s">
        <v>91</v>
      </c>
      <c r="E52" s="704" t="s">
        <v>94</v>
      </c>
      <c r="F52" s="803"/>
      <c r="G52" s="843"/>
      <c r="H52" s="843"/>
      <c r="I52" s="843"/>
      <c r="J52" s="843"/>
      <c r="K52" s="843"/>
      <c r="L52" s="844"/>
    </row>
    <row r="53" spans="2:12">
      <c r="B53" s="806"/>
      <c r="C53" s="785">
        <v>10</v>
      </c>
      <c r="D53" s="704">
        <f>'DB ESA'!C215</f>
        <v>9.9999999999999995E-7</v>
      </c>
      <c r="E53" s="704">
        <f>'DB ESA'!E215</f>
        <v>1.7</v>
      </c>
      <c r="F53" s="803"/>
      <c r="G53" s="843"/>
      <c r="H53" s="843"/>
      <c r="I53" s="843"/>
      <c r="J53" s="843"/>
      <c r="K53" s="843"/>
      <c r="L53" s="844"/>
    </row>
    <row r="54" spans="2:12">
      <c r="B54" s="806"/>
      <c r="C54" s="785">
        <v>20</v>
      </c>
      <c r="D54" s="704">
        <f>'DB ESA'!C216</f>
        <v>0.1</v>
      </c>
      <c r="E54" s="704">
        <f>'DB ESA'!E216</f>
        <v>1.7</v>
      </c>
      <c r="F54" s="803"/>
      <c r="G54" s="843"/>
      <c r="H54" s="843"/>
      <c r="I54" s="843"/>
      <c r="J54" s="843"/>
      <c r="K54" s="843"/>
      <c r="L54" s="844"/>
    </row>
    <row r="55" spans="2:12">
      <c r="B55" s="806"/>
      <c r="C55" s="785">
        <v>50</v>
      </c>
      <c r="D55" s="704">
        <f>'DB ESA'!C217</f>
        <v>0.4</v>
      </c>
      <c r="E55" s="704">
        <f>'DB ESA'!E217</f>
        <v>1.7</v>
      </c>
      <c r="F55" s="803"/>
      <c r="G55" s="843"/>
      <c r="H55" s="843"/>
      <c r="I55" s="843"/>
      <c r="J55" s="843"/>
      <c r="K55" s="843"/>
      <c r="L55" s="844"/>
    </row>
    <row r="56" spans="2:12">
      <c r="B56" s="806"/>
      <c r="C56" s="785">
        <v>100</v>
      </c>
      <c r="D56" s="704">
        <f>'DB ESA'!C218</f>
        <v>1.4</v>
      </c>
      <c r="E56" s="704">
        <f>'DB ESA'!E218</f>
        <v>1.7</v>
      </c>
      <c r="F56" s="803"/>
      <c r="G56" s="843"/>
      <c r="H56" s="843"/>
      <c r="I56" s="843"/>
      <c r="J56" s="843"/>
      <c r="K56" s="843"/>
      <c r="L56" s="844"/>
    </row>
    <row r="57" spans="2:12">
      <c r="B57" s="806"/>
      <c r="C57" s="803"/>
      <c r="D57" s="842"/>
      <c r="E57" s="842"/>
      <c r="F57" s="803"/>
      <c r="G57" s="843"/>
      <c r="H57" s="843"/>
      <c r="I57" s="843"/>
      <c r="J57" s="843"/>
      <c r="K57" s="843"/>
      <c r="L57" s="844"/>
    </row>
    <row r="58" spans="2:12">
      <c r="B58" s="806"/>
      <c r="C58" s="784" t="s">
        <v>249</v>
      </c>
      <c r="D58" s="705" t="s">
        <v>91</v>
      </c>
      <c r="E58" s="705" t="s">
        <v>94</v>
      </c>
      <c r="F58" s="803"/>
      <c r="G58" s="843"/>
      <c r="H58" s="843"/>
      <c r="I58" s="843"/>
      <c r="J58" s="843"/>
      <c r="K58" s="843"/>
      <c r="L58" s="844"/>
    </row>
    <row r="59" spans="2:12">
      <c r="B59" s="806"/>
      <c r="C59" s="846">
        <v>0.01</v>
      </c>
      <c r="D59" s="705">
        <f>'DB ESA'!C221</f>
        <v>9.9999999999999995E-7</v>
      </c>
      <c r="E59" s="705">
        <f>'DB ESA'!E221</f>
        <v>1.2</v>
      </c>
      <c r="F59" s="803"/>
      <c r="G59" s="843"/>
      <c r="H59" s="843"/>
      <c r="I59" s="843"/>
      <c r="J59" s="843"/>
      <c r="K59" s="843"/>
      <c r="L59" s="844"/>
    </row>
    <row r="60" spans="2:12">
      <c r="B60" s="806"/>
      <c r="C60" s="847">
        <v>0.1</v>
      </c>
      <c r="D60" s="705">
        <f>'DB ESA'!C222</f>
        <v>9.9999999999999995E-7</v>
      </c>
      <c r="E60" s="705">
        <f>'DB ESA'!E222</f>
        <v>1.2</v>
      </c>
      <c r="F60" s="803"/>
      <c r="G60" s="843"/>
      <c r="H60" s="843"/>
      <c r="I60" s="843"/>
      <c r="J60" s="843"/>
      <c r="K60" s="843"/>
      <c r="L60" s="844"/>
    </row>
    <row r="61" spans="2:12">
      <c r="B61" s="806"/>
      <c r="C61" s="847">
        <v>1</v>
      </c>
      <c r="D61" s="705">
        <f>'DB ESA'!C223</f>
        <v>-2.3E-3</v>
      </c>
      <c r="E61" s="705">
        <f>'DB ESA'!E223</f>
        <v>1.2</v>
      </c>
      <c r="F61" s="803"/>
      <c r="G61" s="843"/>
      <c r="H61" s="843"/>
      <c r="I61" s="843"/>
      <c r="J61" s="843"/>
      <c r="K61" s="843"/>
      <c r="L61" s="844"/>
    </row>
    <row r="62" spans="2:12">
      <c r="B62" s="806"/>
      <c r="C62" s="847">
        <v>2</v>
      </c>
      <c r="D62" s="705">
        <f>'DB ESA'!C224</f>
        <v>9.9999999999999995E-7</v>
      </c>
      <c r="E62" s="705">
        <f>'DB ESA'!E224</f>
        <v>1.2</v>
      </c>
      <c r="F62" s="803"/>
      <c r="G62" s="843"/>
      <c r="H62" s="843"/>
      <c r="I62" s="843"/>
      <c r="J62" s="843"/>
      <c r="K62" s="843"/>
      <c r="L62" s="844"/>
    </row>
    <row r="63" spans="2:12">
      <c r="B63" s="848"/>
      <c r="C63" s="803"/>
      <c r="D63" s="842"/>
      <c r="E63" s="842"/>
      <c r="F63" s="803"/>
      <c r="G63" s="843"/>
      <c r="H63" s="843"/>
      <c r="I63" s="843"/>
      <c r="J63" s="843"/>
      <c r="K63" s="843"/>
      <c r="L63" s="844"/>
    </row>
    <row r="64" spans="2:12">
      <c r="B64" s="848"/>
      <c r="C64" s="803"/>
      <c r="D64" s="842"/>
      <c r="E64" s="842"/>
      <c r="F64" s="803"/>
      <c r="G64" s="843"/>
      <c r="H64" s="843"/>
      <c r="I64" s="843"/>
      <c r="J64" s="843"/>
      <c r="K64" s="843"/>
      <c r="L64" s="844"/>
    </row>
    <row r="65" spans="2:12">
      <c r="B65" s="806"/>
      <c r="C65" s="803"/>
      <c r="D65" s="842"/>
      <c r="E65" s="842"/>
      <c r="F65" s="803"/>
      <c r="G65" s="843"/>
      <c r="H65" s="843"/>
      <c r="I65" s="843"/>
      <c r="J65" s="843"/>
      <c r="K65" s="843"/>
      <c r="L65" s="844"/>
    </row>
    <row r="66" spans="2:12" ht="28.8">
      <c r="B66" s="806"/>
      <c r="C66" s="845" t="s">
        <v>246</v>
      </c>
      <c r="D66" s="704" t="s">
        <v>91</v>
      </c>
      <c r="E66" s="704" t="s">
        <v>94</v>
      </c>
      <c r="F66" s="803"/>
      <c r="G66" s="843"/>
      <c r="H66" s="843"/>
      <c r="I66" s="843"/>
      <c r="J66" s="843"/>
      <c r="K66" s="843"/>
      <c r="L66" s="844"/>
    </row>
    <row r="67" spans="2:12">
      <c r="B67" s="806"/>
      <c r="C67" s="785">
        <v>0</v>
      </c>
      <c r="D67" s="704">
        <f>'DB ESA'!C207</f>
        <v>9.9999999999999995E-7</v>
      </c>
      <c r="E67" s="704">
        <f>'DB ESA'!E207</f>
        <v>0.59</v>
      </c>
      <c r="F67" s="803"/>
      <c r="G67" s="843"/>
      <c r="H67" s="843"/>
      <c r="I67" s="843"/>
      <c r="J67" s="843"/>
      <c r="K67" s="843"/>
      <c r="L67" s="844"/>
    </row>
    <row r="68" spans="2:12">
      <c r="B68" s="806"/>
      <c r="C68" s="785">
        <v>50</v>
      </c>
      <c r="D68" s="704">
        <f>'DB ESA'!C208</f>
        <v>1.7</v>
      </c>
      <c r="E68" s="704">
        <f>'DB ESA'!E208</f>
        <v>0.59</v>
      </c>
      <c r="F68" s="803"/>
      <c r="G68" s="803"/>
      <c r="H68" s="803"/>
      <c r="I68" s="803"/>
      <c r="J68" s="803"/>
      <c r="K68" s="803"/>
      <c r="L68" s="807"/>
    </row>
    <row r="69" spans="2:12">
      <c r="B69" s="806"/>
      <c r="C69" s="785">
        <v>100</v>
      </c>
      <c r="D69" s="704">
        <f>'DB ESA'!C209</f>
        <v>1.7</v>
      </c>
      <c r="E69" s="704">
        <f>'DB ESA'!E209</f>
        <v>0.59</v>
      </c>
      <c r="F69" s="803"/>
      <c r="G69" s="803"/>
      <c r="H69" s="803"/>
      <c r="I69" s="803"/>
      <c r="J69" s="803"/>
      <c r="K69" s="803"/>
      <c r="L69" s="807"/>
    </row>
    <row r="70" spans="2:12">
      <c r="B70" s="806"/>
      <c r="C70" s="785">
        <v>500</v>
      </c>
      <c r="D70" s="704">
        <f>'DB ESA'!C210</f>
        <v>0.4</v>
      </c>
      <c r="E70" s="704">
        <f>'DB ESA'!E210</f>
        <v>0.59</v>
      </c>
      <c r="F70" s="803"/>
      <c r="G70" s="803"/>
      <c r="H70" s="803"/>
      <c r="I70" s="803"/>
      <c r="J70" s="803"/>
      <c r="K70" s="803"/>
      <c r="L70" s="807"/>
    </row>
    <row r="71" spans="2:12">
      <c r="B71" s="806"/>
      <c r="C71" s="785">
        <v>1000</v>
      </c>
      <c r="D71" s="704">
        <f>'DB ESA'!C212</f>
        <v>4</v>
      </c>
      <c r="E71" s="704">
        <f>'DB ESA'!E212</f>
        <v>0.59</v>
      </c>
      <c r="F71" s="803"/>
      <c r="G71" s="803"/>
      <c r="H71" s="803"/>
      <c r="I71" s="803"/>
      <c r="J71" s="803"/>
      <c r="K71" s="803"/>
      <c r="L71" s="807"/>
    </row>
    <row r="72" spans="2:12" ht="14.4" thickBot="1">
      <c r="B72" s="817"/>
      <c r="C72" s="690"/>
      <c r="D72" s="690"/>
      <c r="E72" s="690"/>
      <c r="F72" s="690"/>
      <c r="G72" s="690"/>
      <c r="H72" s="690"/>
      <c r="I72" s="690"/>
      <c r="J72" s="690"/>
      <c r="K72" s="690"/>
      <c r="L72" s="691"/>
    </row>
  </sheetData>
  <mergeCells count="7">
    <mergeCell ref="C42:F42"/>
    <mergeCell ref="H42:K42"/>
    <mergeCell ref="I27:Q27"/>
    <mergeCell ref="C7:E7"/>
    <mergeCell ref="C25:E25"/>
    <mergeCell ref="I7:M7"/>
    <mergeCell ref="I25:Q2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61"/>
  <sheetViews>
    <sheetView view="pageBreakPreview" topLeftCell="A145" zoomScaleNormal="100" zoomScaleSheetLayoutView="100" workbookViewId="0">
      <selection activeCell="A155" sqref="A155"/>
    </sheetView>
  </sheetViews>
  <sheetFormatPr defaultColWidth="9" defaultRowHeight="13.2"/>
  <cols>
    <col min="1" max="1" width="20.88671875" style="620" bestFit="1" customWidth="1"/>
    <col min="2" max="3" width="12" style="620" bestFit="1" customWidth="1"/>
    <col min="4" max="5" width="12.109375" style="620" bestFit="1" customWidth="1"/>
    <col min="6" max="6" width="10.33203125" style="621" bestFit="1" customWidth="1"/>
    <col min="7" max="7" width="9.88671875" style="620" bestFit="1" customWidth="1"/>
    <col min="8" max="8" width="10.5546875" style="620" bestFit="1" customWidth="1"/>
    <col min="9" max="10" width="11.5546875" style="620" bestFit="1" customWidth="1"/>
    <col min="11" max="12" width="9.44140625" style="620" bestFit="1" customWidth="1"/>
    <col min="13" max="13" width="9" style="620"/>
    <col min="14" max="14" width="10.5546875" style="620" bestFit="1" customWidth="1"/>
    <col min="15" max="16" width="11.5546875" style="620" bestFit="1" customWidth="1"/>
    <col min="17" max="18" width="9.44140625" style="620" bestFit="1" customWidth="1"/>
    <col min="19" max="16384" width="9" style="620"/>
  </cols>
  <sheetData>
    <row r="1" spans="1:26">
      <c r="A1" s="746"/>
      <c r="B1" s="746"/>
      <c r="C1" s="746"/>
      <c r="D1" s="746"/>
      <c r="E1" s="746"/>
      <c r="F1" s="747"/>
      <c r="G1" s="746"/>
      <c r="H1" s="746"/>
      <c r="I1" s="746"/>
      <c r="J1" s="746"/>
      <c r="K1" s="746"/>
      <c r="L1" s="746"/>
      <c r="M1" s="746"/>
      <c r="N1" s="746"/>
      <c r="O1" s="746"/>
      <c r="P1" s="746"/>
      <c r="Q1" s="746"/>
      <c r="R1" s="746"/>
      <c r="S1" s="746"/>
      <c r="T1" s="746"/>
      <c r="U1" s="746"/>
      <c r="V1" s="746"/>
      <c r="W1" s="746"/>
      <c r="X1" s="746"/>
      <c r="Y1" s="746"/>
      <c r="Z1" s="746"/>
    </row>
    <row r="2" spans="1:26">
      <c r="A2" s="746"/>
      <c r="B2" s="746"/>
      <c r="C2" s="746"/>
      <c r="D2" s="746"/>
      <c r="E2" s="746"/>
      <c r="F2" s="747"/>
      <c r="G2" s="746"/>
      <c r="H2" s="746"/>
      <c r="I2" s="746"/>
      <c r="J2" s="746"/>
      <c r="K2" s="746"/>
      <c r="L2" s="746"/>
      <c r="M2" s="746"/>
      <c r="N2" s="746"/>
      <c r="O2" s="746"/>
      <c r="P2" s="746"/>
      <c r="Q2" s="746"/>
      <c r="R2" s="746"/>
      <c r="S2" s="746"/>
      <c r="T2" s="746"/>
      <c r="U2" s="746"/>
      <c r="V2" s="746"/>
      <c r="W2" s="746"/>
      <c r="X2" s="746"/>
      <c r="Y2" s="746"/>
      <c r="Z2" s="746"/>
    </row>
    <row r="3" spans="1:26">
      <c r="A3" s="746"/>
      <c r="B3" s="746"/>
      <c r="C3" s="746"/>
      <c r="D3" s="746"/>
      <c r="E3" s="746"/>
      <c r="F3" s="747"/>
      <c r="G3" s="746"/>
      <c r="H3" s="746"/>
      <c r="I3" s="746"/>
      <c r="J3" s="746"/>
      <c r="K3" s="746"/>
      <c r="L3" s="746"/>
      <c r="M3" s="746"/>
      <c r="N3" s="746"/>
      <c r="O3" s="746"/>
      <c r="P3" s="746"/>
      <c r="Q3" s="746"/>
      <c r="R3" s="746"/>
      <c r="S3" s="746"/>
      <c r="T3" s="746"/>
      <c r="U3" s="746"/>
      <c r="V3" s="746"/>
      <c r="W3" s="746"/>
      <c r="X3" s="746"/>
      <c r="Y3" s="746"/>
      <c r="Z3" s="746"/>
    </row>
    <row r="4" spans="1:26" ht="16.5" customHeight="1">
      <c r="A4" s="746"/>
      <c r="B4" s="1048" t="s">
        <v>305</v>
      </c>
      <c r="C4" s="1049"/>
      <c r="D4" s="1049"/>
      <c r="E4" s="1049"/>
      <c r="F4" s="1050"/>
      <c r="G4" s="746"/>
      <c r="H4" s="1048" t="s">
        <v>306</v>
      </c>
      <c r="I4" s="1049"/>
      <c r="J4" s="1049"/>
      <c r="K4" s="1049"/>
      <c r="L4" s="1050"/>
      <c r="M4" s="746"/>
      <c r="N4" s="1048" t="s">
        <v>307</v>
      </c>
      <c r="O4" s="1049"/>
      <c r="P4" s="1049"/>
      <c r="Q4" s="1049"/>
      <c r="R4" s="1050"/>
      <c r="S4" s="746"/>
      <c r="T4" s="746"/>
      <c r="U4" s="746"/>
      <c r="V4" s="746"/>
      <c r="W4" s="746"/>
      <c r="X4" s="746"/>
      <c r="Y4" s="746"/>
      <c r="Z4" s="746"/>
    </row>
    <row r="5" spans="1:26">
      <c r="A5" s="746"/>
      <c r="B5" s="1051" t="s">
        <v>308</v>
      </c>
      <c r="C5" s="1051"/>
      <c r="D5" s="1051"/>
      <c r="E5" s="1051"/>
      <c r="F5" s="1051"/>
      <c r="G5" s="746"/>
      <c r="H5" s="1051" t="s">
        <v>308</v>
      </c>
      <c r="I5" s="1051"/>
      <c r="J5" s="1051"/>
      <c r="K5" s="1051"/>
      <c r="L5" s="1051"/>
      <c r="M5" s="746"/>
      <c r="N5" s="1051" t="s">
        <v>308</v>
      </c>
      <c r="O5" s="1051"/>
      <c r="P5" s="1051"/>
      <c r="Q5" s="1051"/>
      <c r="R5" s="1051"/>
      <c r="S5" s="746"/>
      <c r="T5" s="746"/>
      <c r="U5" s="746"/>
      <c r="V5" s="746"/>
      <c r="W5" s="746"/>
      <c r="X5" s="746"/>
      <c r="Y5" s="746"/>
      <c r="Z5" s="746"/>
    </row>
    <row r="6" spans="1:26">
      <c r="A6" s="746"/>
      <c r="B6" s="1052" t="s">
        <v>309</v>
      </c>
      <c r="C6" s="1053"/>
      <c r="D6" s="1054"/>
      <c r="E6" s="1055" t="s">
        <v>244</v>
      </c>
      <c r="F6" s="1055" t="s">
        <v>94</v>
      </c>
      <c r="G6" s="746"/>
      <c r="H6" s="1052" t="s">
        <v>309</v>
      </c>
      <c r="I6" s="1053"/>
      <c r="J6" s="1054"/>
      <c r="K6" s="1055" t="s">
        <v>244</v>
      </c>
      <c r="L6" s="1055" t="s">
        <v>94</v>
      </c>
      <c r="M6" s="746"/>
      <c r="N6" s="1052" t="s">
        <v>309</v>
      </c>
      <c r="O6" s="1053"/>
      <c r="P6" s="1054"/>
      <c r="Q6" s="1055" t="s">
        <v>244</v>
      </c>
      <c r="R6" s="1055" t="s">
        <v>94</v>
      </c>
      <c r="S6" s="746"/>
      <c r="T6" s="746"/>
      <c r="U6" s="746"/>
      <c r="V6" s="746"/>
      <c r="W6" s="746"/>
      <c r="X6" s="746"/>
      <c r="Y6" s="746"/>
      <c r="Z6" s="746"/>
    </row>
    <row r="7" spans="1:26">
      <c r="A7" s="746"/>
      <c r="B7" s="721" t="s">
        <v>65</v>
      </c>
      <c r="C7" s="721">
        <v>2016</v>
      </c>
      <c r="D7" s="721">
        <v>2019</v>
      </c>
      <c r="E7" s="1056"/>
      <c r="F7" s="1056"/>
      <c r="G7" s="746"/>
      <c r="H7" s="721" t="s">
        <v>65</v>
      </c>
      <c r="I7" s="721">
        <v>2018</v>
      </c>
      <c r="J7" s="721">
        <v>2019</v>
      </c>
      <c r="K7" s="1056"/>
      <c r="L7" s="1056"/>
      <c r="M7" s="746"/>
      <c r="N7" s="721" t="s">
        <v>65</v>
      </c>
      <c r="O7" s="721">
        <v>2018</v>
      </c>
      <c r="P7" s="721">
        <v>2019</v>
      </c>
      <c r="Q7" s="1056"/>
      <c r="R7" s="1056"/>
      <c r="S7" s="746"/>
      <c r="T7" s="746"/>
      <c r="U7" s="746"/>
      <c r="V7" s="746"/>
      <c r="W7" s="746"/>
      <c r="X7" s="746"/>
      <c r="Y7" s="746"/>
      <c r="Z7" s="746"/>
    </row>
    <row r="8" spans="1:26">
      <c r="A8" s="746"/>
      <c r="B8" s="721">
        <v>0</v>
      </c>
      <c r="C8" s="622">
        <v>9.9999999999999995E-7</v>
      </c>
      <c r="D8" s="622">
        <v>9.9999999999999995E-7</v>
      </c>
      <c r="E8" s="721">
        <f>0.5*(MAX(C8:D8)-MIN(C8:D8))</f>
        <v>0</v>
      </c>
      <c r="F8" s="622">
        <v>0.55000000000000004</v>
      </c>
      <c r="G8" s="746"/>
      <c r="H8" s="721">
        <v>0</v>
      </c>
      <c r="I8" s="622">
        <v>9.9999999999999995E-7</v>
      </c>
      <c r="J8" s="622">
        <v>9.9999999999999995E-7</v>
      </c>
      <c r="K8" s="721">
        <f>0.5*(MAX(I8:J8)-MIN(I8:J8))</f>
        <v>0</v>
      </c>
      <c r="L8" s="622">
        <v>0.12</v>
      </c>
      <c r="M8" s="746"/>
      <c r="N8" s="721">
        <v>0</v>
      </c>
      <c r="O8" s="622">
        <v>9.9999999999999995E-7</v>
      </c>
      <c r="P8" s="622">
        <v>9.9999999999999995E-7</v>
      </c>
      <c r="Q8" s="721">
        <f>0.5*(MAX(O8:P8)-MIN(O8:P8))</f>
        <v>0</v>
      </c>
      <c r="R8" s="622">
        <v>0.12</v>
      </c>
      <c r="S8" s="746"/>
      <c r="T8" s="746"/>
      <c r="U8" s="746"/>
      <c r="V8" s="746"/>
      <c r="W8" s="746"/>
      <c r="X8" s="746"/>
      <c r="Y8" s="746"/>
      <c r="Z8" s="746"/>
    </row>
    <row r="9" spans="1:26">
      <c r="A9" s="746"/>
      <c r="B9" s="721">
        <v>30</v>
      </c>
      <c r="C9" s="622">
        <v>9.9999999999999995E-7</v>
      </c>
      <c r="D9" s="622">
        <v>9.9999999999999995E-7</v>
      </c>
      <c r="E9" s="721">
        <f t="shared" ref="E9:E16" si="0">0.5*(MAX(C9:D9)-MIN(C9:D9))</f>
        <v>0</v>
      </c>
      <c r="F9" s="622">
        <v>0.55000000000000004</v>
      </c>
      <c r="G9" s="746"/>
      <c r="H9" s="721">
        <v>30</v>
      </c>
      <c r="I9" s="622">
        <v>9.9999999999999995E-7</v>
      </c>
      <c r="J9" s="622">
        <v>9.9999999999999995E-7</v>
      </c>
      <c r="K9" s="721">
        <f t="shared" ref="K9:K16" si="1">0.5*(MAX(I9:J9)-MIN(I9:J9))</f>
        <v>0</v>
      </c>
      <c r="L9" s="622">
        <v>0.12</v>
      </c>
      <c r="M9" s="746"/>
      <c r="N9" s="721">
        <v>30</v>
      </c>
      <c r="O9" s="622">
        <v>9.9999999999999995E-7</v>
      </c>
      <c r="P9" s="622">
        <v>9.9999999999999995E-7</v>
      </c>
      <c r="Q9" s="721">
        <f t="shared" ref="Q9:Q16" si="2">0.5*(MAX(O9:P9)-MIN(O9:P9))</f>
        <v>0</v>
      </c>
      <c r="R9" s="622">
        <v>0.12</v>
      </c>
      <c r="S9" s="746"/>
      <c r="T9" s="746"/>
      <c r="U9" s="746"/>
      <c r="V9" s="746"/>
      <c r="W9" s="746"/>
      <c r="X9" s="746"/>
      <c r="Y9" s="746"/>
      <c r="Z9" s="746"/>
    </row>
    <row r="10" spans="1:26">
      <c r="A10" s="746"/>
      <c r="B10" s="721">
        <v>60</v>
      </c>
      <c r="C10" s="622">
        <v>9.9999999999999995E-7</v>
      </c>
      <c r="D10" s="622">
        <v>9.9999999999999995E-7</v>
      </c>
      <c r="E10" s="721">
        <f t="shared" si="0"/>
        <v>0</v>
      </c>
      <c r="F10" s="622">
        <v>0.55000000000000004</v>
      </c>
      <c r="G10" s="746"/>
      <c r="H10" s="721">
        <v>60</v>
      </c>
      <c r="I10" s="622">
        <v>9.9999999999999995E-7</v>
      </c>
      <c r="J10" s="622">
        <v>9.9999999999999995E-7</v>
      </c>
      <c r="K10" s="721">
        <f t="shared" si="1"/>
        <v>0</v>
      </c>
      <c r="L10" s="622">
        <v>0.12</v>
      </c>
      <c r="M10" s="746"/>
      <c r="N10" s="721">
        <v>60</v>
      </c>
      <c r="O10" s="622">
        <v>9.9999999999999995E-7</v>
      </c>
      <c r="P10" s="622">
        <v>9.9999999999999995E-7</v>
      </c>
      <c r="Q10" s="721">
        <f t="shared" si="2"/>
        <v>0</v>
      </c>
      <c r="R10" s="622">
        <v>0.12</v>
      </c>
      <c r="S10" s="746"/>
      <c r="T10" s="746"/>
      <c r="U10" s="746"/>
      <c r="V10" s="746"/>
      <c r="W10" s="746"/>
      <c r="X10" s="746"/>
      <c r="Y10" s="746"/>
      <c r="Z10" s="746"/>
    </row>
    <row r="11" spans="1:26" ht="14.4">
      <c r="A11" s="746"/>
      <c r="B11" s="745">
        <v>90</v>
      </c>
      <c r="C11" s="622">
        <v>9.9999999999999995E-7</v>
      </c>
      <c r="D11" s="622">
        <v>9.9999999999999995E-7</v>
      </c>
      <c r="E11" s="721">
        <f t="shared" si="0"/>
        <v>0</v>
      </c>
      <c r="F11" s="622">
        <v>0.55000000000000004</v>
      </c>
      <c r="G11" s="746"/>
      <c r="H11" s="745">
        <v>90</v>
      </c>
      <c r="I11" s="622">
        <v>9.9999999999999995E-7</v>
      </c>
      <c r="J11" s="622">
        <v>9.9999999999999995E-7</v>
      </c>
      <c r="K11" s="721">
        <f t="shared" si="1"/>
        <v>0</v>
      </c>
      <c r="L11" s="622">
        <v>0.12</v>
      </c>
      <c r="M11" s="746"/>
      <c r="N11" s="745">
        <v>90</v>
      </c>
      <c r="O11" s="622">
        <v>9.9999999999999995E-7</v>
      </c>
      <c r="P11" s="622">
        <v>9.9999999999999995E-7</v>
      </c>
      <c r="Q11" s="721">
        <f t="shared" si="2"/>
        <v>0</v>
      </c>
      <c r="R11" s="622">
        <v>0.12</v>
      </c>
      <c r="S11" s="746"/>
      <c r="T11" s="746"/>
      <c r="U11" s="746"/>
      <c r="V11" s="746"/>
      <c r="W11" s="746"/>
      <c r="X11" s="746"/>
      <c r="Y11" s="746"/>
      <c r="Z11" s="746"/>
    </row>
    <row r="12" spans="1:26" ht="14.4">
      <c r="A12" s="746"/>
      <c r="B12" s="745">
        <v>120</v>
      </c>
      <c r="C12" s="622">
        <v>9.9999999999999995E-7</v>
      </c>
      <c r="D12" s="622">
        <v>9.9999999999999995E-7</v>
      </c>
      <c r="E12" s="721">
        <f t="shared" si="0"/>
        <v>0</v>
      </c>
      <c r="F12" s="622">
        <v>0.55000000000000004</v>
      </c>
      <c r="G12" s="746"/>
      <c r="H12" s="745">
        <v>120</v>
      </c>
      <c r="I12" s="622">
        <v>9.9999999999999995E-7</v>
      </c>
      <c r="J12" s="622">
        <v>9.9999999999999995E-7</v>
      </c>
      <c r="K12" s="721">
        <f t="shared" si="1"/>
        <v>0</v>
      </c>
      <c r="L12" s="622">
        <v>0.12</v>
      </c>
      <c r="M12" s="746"/>
      <c r="N12" s="745">
        <v>120</v>
      </c>
      <c r="O12" s="622">
        <v>9.9999999999999995E-7</v>
      </c>
      <c r="P12" s="622">
        <v>9.9999999999999995E-7</v>
      </c>
      <c r="Q12" s="721">
        <f t="shared" si="2"/>
        <v>0</v>
      </c>
      <c r="R12" s="622">
        <v>0.12</v>
      </c>
      <c r="S12" s="746"/>
      <c r="T12" s="746"/>
      <c r="U12" s="746"/>
      <c r="V12" s="746"/>
      <c r="W12" s="746"/>
      <c r="X12" s="746"/>
      <c r="Y12" s="746"/>
      <c r="Z12" s="746"/>
    </row>
    <row r="13" spans="1:26">
      <c r="A13" s="746"/>
      <c r="B13" s="721">
        <v>150</v>
      </c>
      <c r="C13" s="622">
        <v>9.9999999999999995E-7</v>
      </c>
      <c r="D13" s="622">
        <v>9.9999999999999995E-7</v>
      </c>
      <c r="E13" s="721">
        <f t="shared" si="0"/>
        <v>0</v>
      </c>
      <c r="F13" s="622">
        <v>0.55000000000000004</v>
      </c>
      <c r="G13" s="746"/>
      <c r="H13" s="721">
        <v>150</v>
      </c>
      <c r="I13" s="622">
        <v>9.9999999999999995E-7</v>
      </c>
      <c r="J13" s="622">
        <v>9.9999999999999995E-7</v>
      </c>
      <c r="K13" s="721">
        <f t="shared" si="1"/>
        <v>0</v>
      </c>
      <c r="L13" s="622">
        <v>0.12</v>
      </c>
      <c r="M13" s="746"/>
      <c r="N13" s="721">
        <v>150</v>
      </c>
      <c r="O13" s="622">
        <v>9.9999999999999995E-7</v>
      </c>
      <c r="P13" s="622">
        <v>9.9999999999999995E-7</v>
      </c>
      <c r="Q13" s="721">
        <f t="shared" si="2"/>
        <v>0</v>
      </c>
      <c r="R13" s="622">
        <v>0.12</v>
      </c>
      <c r="S13" s="746"/>
      <c r="T13" s="746"/>
      <c r="U13" s="746"/>
      <c r="V13" s="746"/>
      <c r="W13" s="746"/>
      <c r="X13" s="746"/>
      <c r="Y13" s="746"/>
      <c r="Z13" s="746"/>
    </row>
    <row r="14" spans="1:26">
      <c r="A14" s="746"/>
      <c r="B14" s="721">
        <v>180</v>
      </c>
      <c r="C14" s="622">
        <v>9.9999999999999995E-7</v>
      </c>
      <c r="D14" s="622">
        <v>9.9999999999999995E-7</v>
      </c>
      <c r="E14" s="721">
        <f t="shared" si="0"/>
        <v>0</v>
      </c>
      <c r="F14" s="622">
        <v>0.55000000000000004</v>
      </c>
      <c r="G14" s="746"/>
      <c r="H14" s="721">
        <v>180</v>
      </c>
      <c r="I14" s="622">
        <v>9.9999999999999995E-7</v>
      </c>
      <c r="J14" s="622">
        <v>9.9999999999999995E-7</v>
      </c>
      <c r="K14" s="721">
        <f t="shared" si="1"/>
        <v>0</v>
      </c>
      <c r="L14" s="622">
        <v>0.12</v>
      </c>
      <c r="M14" s="746"/>
      <c r="N14" s="721">
        <v>180</v>
      </c>
      <c r="O14" s="622">
        <v>9.9999999999999995E-7</v>
      </c>
      <c r="P14" s="622">
        <v>9.9999999999999995E-7</v>
      </c>
      <c r="Q14" s="721">
        <f t="shared" si="2"/>
        <v>0</v>
      </c>
      <c r="R14" s="622">
        <v>0.12</v>
      </c>
      <c r="S14" s="746"/>
      <c r="T14" s="746"/>
      <c r="U14" s="746"/>
      <c r="V14" s="746"/>
      <c r="W14" s="746"/>
      <c r="X14" s="746"/>
      <c r="Y14" s="746"/>
      <c r="Z14" s="746"/>
    </row>
    <row r="15" spans="1:26">
      <c r="A15" s="746"/>
      <c r="B15" s="721">
        <v>210</v>
      </c>
      <c r="C15" s="622">
        <v>9.9999999999999995E-7</v>
      </c>
      <c r="D15" s="622">
        <v>9.9999999999999995E-7</v>
      </c>
      <c r="E15" s="721">
        <f t="shared" si="0"/>
        <v>0</v>
      </c>
      <c r="F15" s="622">
        <v>0.55000000000000004</v>
      </c>
      <c r="G15" s="746"/>
      <c r="H15" s="721">
        <v>210</v>
      </c>
      <c r="I15" s="622">
        <v>9.9999999999999995E-7</v>
      </c>
      <c r="J15" s="622">
        <v>9.9999999999999995E-7</v>
      </c>
      <c r="K15" s="721">
        <f t="shared" si="1"/>
        <v>0</v>
      </c>
      <c r="L15" s="622">
        <v>0.12</v>
      </c>
      <c r="M15" s="746"/>
      <c r="N15" s="721">
        <v>210</v>
      </c>
      <c r="O15" s="622">
        <v>9.9999999999999995E-7</v>
      </c>
      <c r="P15" s="622">
        <v>9.9999999999999995E-7</v>
      </c>
      <c r="Q15" s="721">
        <f t="shared" si="2"/>
        <v>0</v>
      </c>
      <c r="R15" s="622">
        <v>0.12</v>
      </c>
      <c r="S15" s="746"/>
      <c r="T15" s="746"/>
      <c r="U15" s="746"/>
      <c r="V15" s="746"/>
      <c r="W15" s="746"/>
      <c r="X15" s="746"/>
      <c r="Y15" s="746"/>
      <c r="Z15" s="746"/>
    </row>
    <row r="16" spans="1:26">
      <c r="A16" s="746"/>
      <c r="B16" s="721">
        <v>240</v>
      </c>
      <c r="C16" s="622">
        <v>9.9999999999999995E-7</v>
      </c>
      <c r="D16" s="622">
        <v>9.9999999999999995E-7</v>
      </c>
      <c r="E16" s="721">
        <f t="shared" si="0"/>
        <v>0</v>
      </c>
      <c r="F16" s="622">
        <v>0.55000000000000004</v>
      </c>
      <c r="G16" s="746"/>
      <c r="H16" s="721">
        <v>240</v>
      </c>
      <c r="I16" s="622">
        <v>9.9999999999999995E-7</v>
      </c>
      <c r="J16" s="622">
        <v>9.9999999999999995E-7</v>
      </c>
      <c r="K16" s="721">
        <f t="shared" si="1"/>
        <v>0</v>
      </c>
      <c r="L16" s="622">
        <v>0.12</v>
      </c>
      <c r="M16" s="746"/>
      <c r="N16" s="721">
        <v>240</v>
      </c>
      <c r="O16" s="622">
        <v>9.9999999999999995E-7</v>
      </c>
      <c r="P16" s="622">
        <v>9.9999999999999995E-7</v>
      </c>
      <c r="Q16" s="721">
        <f t="shared" si="2"/>
        <v>0</v>
      </c>
      <c r="R16" s="622">
        <v>0.12</v>
      </c>
      <c r="S16" s="746"/>
      <c r="T16" s="746"/>
      <c r="U16" s="746"/>
      <c r="V16" s="746"/>
      <c r="W16" s="746"/>
      <c r="X16" s="746"/>
      <c r="Y16" s="746"/>
      <c r="Z16" s="746"/>
    </row>
    <row r="17" spans="1:26">
      <c r="A17" s="746"/>
      <c r="B17" s="746"/>
      <c r="C17" s="746"/>
      <c r="D17" s="746"/>
      <c r="E17" s="746"/>
      <c r="F17" s="746"/>
      <c r="G17" s="746"/>
      <c r="H17" s="746"/>
      <c r="I17" s="746"/>
      <c r="J17" s="746"/>
      <c r="K17" s="746"/>
      <c r="L17" s="746"/>
      <c r="M17" s="746"/>
      <c r="N17" s="746"/>
      <c r="O17" s="746"/>
      <c r="P17" s="746"/>
      <c r="Q17" s="746"/>
      <c r="R17" s="746"/>
      <c r="S17" s="746"/>
      <c r="T17" s="746"/>
      <c r="U17" s="746"/>
      <c r="V17" s="746"/>
      <c r="W17" s="746"/>
      <c r="X17" s="746"/>
      <c r="Y17" s="746"/>
      <c r="Z17" s="746"/>
    </row>
    <row r="18" spans="1:26">
      <c r="A18" s="746"/>
      <c r="B18" s="1048" t="s">
        <v>310</v>
      </c>
      <c r="C18" s="1049"/>
      <c r="D18" s="1049"/>
      <c r="E18" s="1049"/>
      <c r="F18" s="1050"/>
      <c r="G18" s="746"/>
      <c r="H18" s="1048" t="s">
        <v>311</v>
      </c>
      <c r="I18" s="1049"/>
      <c r="J18" s="1049"/>
      <c r="K18" s="1049"/>
      <c r="L18" s="1050"/>
      <c r="M18" s="746"/>
      <c r="N18" s="1048" t="s">
        <v>338</v>
      </c>
      <c r="O18" s="1049"/>
      <c r="P18" s="1049"/>
      <c r="Q18" s="1049"/>
      <c r="R18" s="1050"/>
      <c r="S18" s="746"/>
      <c r="T18" s="746"/>
      <c r="U18" s="746"/>
      <c r="V18" s="746"/>
      <c r="W18" s="746"/>
      <c r="X18" s="746"/>
      <c r="Y18" s="746"/>
      <c r="Z18" s="746"/>
    </row>
    <row r="19" spans="1:26">
      <c r="A19" s="746"/>
      <c r="B19" s="1051" t="s">
        <v>308</v>
      </c>
      <c r="C19" s="1051"/>
      <c r="D19" s="1051"/>
      <c r="E19" s="1051"/>
      <c r="F19" s="1051"/>
      <c r="G19" s="746"/>
      <c r="H19" s="1051" t="s">
        <v>308</v>
      </c>
      <c r="I19" s="1051"/>
      <c r="J19" s="1051"/>
      <c r="K19" s="1051"/>
      <c r="L19" s="1051"/>
      <c r="M19" s="746"/>
      <c r="N19" s="1051" t="s">
        <v>308</v>
      </c>
      <c r="O19" s="1051"/>
      <c r="P19" s="1051"/>
      <c r="Q19" s="1051"/>
      <c r="R19" s="1051"/>
      <c r="S19" s="746"/>
      <c r="T19" s="746"/>
      <c r="U19" s="746"/>
      <c r="V19" s="746"/>
      <c r="W19" s="746"/>
      <c r="X19" s="746"/>
      <c r="Y19" s="746"/>
      <c r="Z19" s="746"/>
    </row>
    <row r="20" spans="1:26">
      <c r="A20" s="746"/>
      <c r="B20" s="1052" t="s">
        <v>309</v>
      </c>
      <c r="C20" s="1053"/>
      <c r="D20" s="1054"/>
      <c r="E20" s="1055" t="s">
        <v>244</v>
      </c>
      <c r="F20" s="1055" t="s">
        <v>94</v>
      </c>
      <c r="G20" s="746"/>
      <c r="H20" s="1052" t="s">
        <v>309</v>
      </c>
      <c r="I20" s="1053"/>
      <c r="J20" s="1054"/>
      <c r="K20" s="1055" t="s">
        <v>244</v>
      </c>
      <c r="L20" s="1055" t="s">
        <v>94</v>
      </c>
      <c r="M20" s="746"/>
      <c r="N20" s="1052" t="s">
        <v>309</v>
      </c>
      <c r="O20" s="1053"/>
      <c r="P20" s="1054"/>
      <c r="Q20" s="1055" t="s">
        <v>244</v>
      </c>
      <c r="R20" s="1055" t="s">
        <v>94</v>
      </c>
      <c r="S20" s="746"/>
      <c r="T20" s="746"/>
      <c r="U20" s="746"/>
      <c r="V20" s="746"/>
      <c r="W20" s="746"/>
      <c r="X20" s="746"/>
      <c r="Y20" s="746"/>
      <c r="Z20" s="746"/>
    </row>
    <row r="21" spans="1:26">
      <c r="A21" s="746"/>
      <c r="B21" s="721" t="s">
        <v>65</v>
      </c>
      <c r="C21" s="721">
        <v>2022</v>
      </c>
      <c r="D21" s="721">
        <v>2019</v>
      </c>
      <c r="E21" s="1056"/>
      <c r="F21" s="1056"/>
      <c r="G21" s="746"/>
      <c r="H21" s="721" t="s">
        <v>65</v>
      </c>
      <c r="I21" s="721">
        <v>2022</v>
      </c>
      <c r="J21" s="721">
        <v>2021</v>
      </c>
      <c r="K21" s="1056"/>
      <c r="L21" s="1056"/>
      <c r="M21" s="746"/>
      <c r="N21" s="721" t="s">
        <v>65</v>
      </c>
      <c r="O21" s="721">
        <v>2017</v>
      </c>
      <c r="P21" s="721">
        <v>2018</v>
      </c>
      <c r="Q21" s="1056"/>
      <c r="R21" s="1056"/>
      <c r="S21" s="746"/>
      <c r="T21" s="746"/>
      <c r="U21" s="746"/>
      <c r="V21" s="746"/>
      <c r="W21" s="746"/>
      <c r="X21" s="746"/>
      <c r="Y21" s="746"/>
      <c r="Z21" s="746"/>
    </row>
    <row r="22" spans="1:26">
      <c r="A22" s="746"/>
      <c r="B22" s="721">
        <v>0</v>
      </c>
      <c r="C22" s="622">
        <v>9.9999999999999995E-7</v>
      </c>
      <c r="D22" s="622">
        <v>9.9999999999999995E-7</v>
      </c>
      <c r="E22" s="721">
        <f>0.5*(MAX(C22:D22)-MIN(C22:D22))</f>
        <v>0</v>
      </c>
      <c r="F22" s="622">
        <v>0.57999999999999996</v>
      </c>
      <c r="G22" s="746"/>
      <c r="H22" s="721">
        <v>0</v>
      </c>
      <c r="I22" s="622">
        <v>9.9999999999999995E-7</v>
      </c>
      <c r="J22" s="622">
        <v>9.9999999999999995E-7</v>
      </c>
      <c r="K22" s="721">
        <f>0.5*(MAX(I22:J22)-MIN(I22:J22))</f>
        <v>0</v>
      </c>
      <c r="L22" s="622">
        <v>1E-3</v>
      </c>
      <c r="M22" s="746"/>
      <c r="N22" s="721">
        <v>0</v>
      </c>
      <c r="O22" s="622">
        <v>9.9999999999999995E-7</v>
      </c>
      <c r="P22" s="622">
        <v>9.9999999999999995E-7</v>
      </c>
      <c r="Q22" s="721">
        <f>0.5*(MAX(O22:P22)-MIN(O22:P22))</f>
        <v>0</v>
      </c>
      <c r="R22" s="622">
        <v>1E-3</v>
      </c>
      <c r="S22" s="746"/>
      <c r="T22" s="746"/>
      <c r="U22" s="746"/>
      <c r="V22" s="746"/>
      <c r="W22" s="746"/>
      <c r="X22" s="746"/>
      <c r="Y22" s="746"/>
      <c r="Z22" s="746"/>
    </row>
    <row r="23" spans="1:26">
      <c r="A23" s="746"/>
      <c r="B23" s="721">
        <v>30</v>
      </c>
      <c r="C23" s="622">
        <v>9.9999999999999995E-7</v>
      </c>
      <c r="D23" s="622">
        <v>9.9999999999999995E-7</v>
      </c>
      <c r="E23" s="721">
        <f t="shared" ref="E23:E30" si="3">0.5*(MAX(C23:D23)-MIN(C23:D23))</f>
        <v>0</v>
      </c>
      <c r="F23" s="622">
        <v>0.57999999999999996</v>
      </c>
      <c r="G23" s="746"/>
      <c r="H23" s="721">
        <v>30</v>
      </c>
      <c r="I23" s="622">
        <v>9.9999999999999995E-7</v>
      </c>
      <c r="J23" s="622">
        <v>9.9999999999999995E-7</v>
      </c>
      <c r="K23" s="721">
        <f t="shared" ref="K23:K30" si="4">0.5*(MAX(I23:J23)-MIN(I23:J23))</f>
        <v>0</v>
      </c>
      <c r="L23" s="622">
        <v>1E-3</v>
      </c>
      <c r="M23" s="746"/>
      <c r="N23" s="721">
        <v>30</v>
      </c>
      <c r="O23" s="622">
        <v>9.9999999999999995E-7</v>
      </c>
      <c r="P23" s="622">
        <v>9.9999999999999995E-7</v>
      </c>
      <c r="Q23" s="721">
        <f t="shared" ref="Q23:Q30" si="5">0.5*(MAX(O23:P23)-MIN(O23:P23))</f>
        <v>0</v>
      </c>
      <c r="R23" s="622">
        <v>1E-3</v>
      </c>
      <c r="S23" s="746"/>
      <c r="T23" s="746"/>
      <c r="U23" s="746"/>
      <c r="V23" s="746"/>
      <c r="W23" s="746"/>
      <c r="X23" s="746"/>
      <c r="Y23" s="746"/>
      <c r="Z23" s="746"/>
    </row>
    <row r="24" spans="1:26">
      <c r="A24" s="746"/>
      <c r="B24" s="721">
        <v>60</v>
      </c>
      <c r="C24" s="622">
        <v>9.9999999999999995E-7</v>
      </c>
      <c r="D24" s="622">
        <v>9.9999999999999995E-7</v>
      </c>
      <c r="E24" s="721">
        <f t="shared" si="3"/>
        <v>0</v>
      </c>
      <c r="F24" s="622">
        <v>0.57999999999999996</v>
      </c>
      <c r="G24" s="746"/>
      <c r="H24" s="721">
        <v>60</v>
      </c>
      <c r="I24" s="622">
        <v>9.9999999999999995E-7</v>
      </c>
      <c r="J24" s="622">
        <v>9.9999999999999995E-7</v>
      </c>
      <c r="K24" s="721">
        <f t="shared" si="4"/>
        <v>0</v>
      </c>
      <c r="L24" s="622">
        <v>1E-3</v>
      </c>
      <c r="M24" s="746"/>
      <c r="N24" s="721">
        <v>60</v>
      </c>
      <c r="O24" s="622">
        <v>9.9999999999999995E-7</v>
      </c>
      <c r="P24" s="622">
        <v>9.9999999999999995E-7</v>
      </c>
      <c r="Q24" s="721">
        <f t="shared" si="5"/>
        <v>0</v>
      </c>
      <c r="R24" s="622">
        <v>1E-3</v>
      </c>
      <c r="S24" s="746"/>
      <c r="T24" s="746"/>
      <c r="U24" s="746"/>
      <c r="V24" s="746"/>
      <c r="W24" s="746"/>
      <c r="X24" s="746"/>
      <c r="Y24" s="746"/>
      <c r="Z24" s="746"/>
    </row>
    <row r="25" spans="1:26" ht="14.4">
      <c r="A25" s="746"/>
      <c r="B25" s="745">
        <v>90</v>
      </c>
      <c r="C25" s="622">
        <v>9.9999999999999995E-7</v>
      </c>
      <c r="D25" s="622">
        <v>9.9999999999999995E-7</v>
      </c>
      <c r="E25" s="721">
        <f t="shared" si="3"/>
        <v>0</v>
      </c>
      <c r="F25" s="622">
        <v>0.57999999999999996</v>
      </c>
      <c r="G25" s="746"/>
      <c r="H25" s="745">
        <v>90</v>
      </c>
      <c r="I25" s="622">
        <v>9.9999999999999995E-7</v>
      </c>
      <c r="J25" s="622">
        <v>9.9999999999999995E-7</v>
      </c>
      <c r="K25" s="721">
        <f t="shared" si="4"/>
        <v>0</v>
      </c>
      <c r="L25" s="622">
        <v>1E-3</v>
      </c>
      <c r="M25" s="746"/>
      <c r="N25" s="745">
        <v>90</v>
      </c>
      <c r="O25" s="622">
        <v>9.9999999999999995E-7</v>
      </c>
      <c r="P25" s="622">
        <v>9.9999999999999995E-7</v>
      </c>
      <c r="Q25" s="721">
        <f t="shared" si="5"/>
        <v>0</v>
      </c>
      <c r="R25" s="622">
        <v>1E-3</v>
      </c>
      <c r="S25" s="746"/>
      <c r="T25" s="746"/>
      <c r="U25" s="746"/>
      <c r="V25" s="746"/>
      <c r="W25" s="746"/>
      <c r="X25" s="746"/>
      <c r="Y25" s="746"/>
      <c r="Z25" s="746"/>
    </row>
    <row r="26" spans="1:26" ht="14.4">
      <c r="A26" s="746"/>
      <c r="B26" s="745">
        <v>120</v>
      </c>
      <c r="C26" s="622">
        <v>9.9999999999999995E-7</v>
      </c>
      <c r="D26" s="622">
        <v>9.9999999999999995E-7</v>
      </c>
      <c r="E26" s="721">
        <f t="shared" si="3"/>
        <v>0</v>
      </c>
      <c r="F26" s="622">
        <v>0.57999999999999996</v>
      </c>
      <c r="G26" s="746"/>
      <c r="H26" s="745">
        <v>120</v>
      </c>
      <c r="I26" s="622">
        <v>9.9999999999999995E-7</v>
      </c>
      <c r="J26" s="622">
        <v>9.9999999999999995E-7</v>
      </c>
      <c r="K26" s="721">
        <f t="shared" si="4"/>
        <v>0</v>
      </c>
      <c r="L26" s="622">
        <v>1E-3</v>
      </c>
      <c r="M26" s="746"/>
      <c r="N26" s="745">
        <v>120</v>
      </c>
      <c r="O26" s="622">
        <v>9.9999999999999995E-7</v>
      </c>
      <c r="P26" s="622">
        <v>9.9999999999999995E-7</v>
      </c>
      <c r="Q26" s="721">
        <f t="shared" si="5"/>
        <v>0</v>
      </c>
      <c r="R26" s="622">
        <v>1E-3</v>
      </c>
      <c r="S26" s="746"/>
      <c r="T26" s="746"/>
      <c r="U26" s="746"/>
      <c r="V26" s="746"/>
      <c r="W26" s="746"/>
      <c r="X26" s="746"/>
      <c r="Y26" s="746"/>
      <c r="Z26" s="746"/>
    </row>
    <row r="27" spans="1:26">
      <c r="A27" s="746"/>
      <c r="B27" s="721">
        <v>150</v>
      </c>
      <c r="C27" s="622">
        <v>9.9999999999999995E-7</v>
      </c>
      <c r="D27" s="622">
        <v>9.9999999999999995E-7</v>
      </c>
      <c r="E27" s="721">
        <f t="shared" si="3"/>
        <v>0</v>
      </c>
      <c r="F27" s="622">
        <v>0.57999999999999996</v>
      </c>
      <c r="G27" s="746"/>
      <c r="H27" s="721">
        <v>150</v>
      </c>
      <c r="I27" s="622">
        <v>9.9999999999999995E-7</v>
      </c>
      <c r="J27" s="622">
        <v>9.9999999999999995E-7</v>
      </c>
      <c r="K27" s="721">
        <f t="shared" si="4"/>
        <v>0</v>
      </c>
      <c r="L27" s="622">
        <v>1E-3</v>
      </c>
      <c r="M27" s="746"/>
      <c r="N27" s="721">
        <v>150</v>
      </c>
      <c r="O27" s="622">
        <v>9.9999999999999995E-7</v>
      </c>
      <c r="P27" s="622">
        <v>9.9999999999999995E-7</v>
      </c>
      <c r="Q27" s="721">
        <f t="shared" si="5"/>
        <v>0</v>
      </c>
      <c r="R27" s="622">
        <v>1E-3</v>
      </c>
      <c r="S27" s="746"/>
      <c r="T27" s="746"/>
      <c r="U27" s="746"/>
      <c r="V27" s="746"/>
      <c r="W27" s="746"/>
      <c r="X27" s="746"/>
      <c r="Y27" s="746"/>
      <c r="Z27" s="746"/>
    </row>
    <row r="28" spans="1:26">
      <c r="A28" s="746"/>
      <c r="B28" s="721">
        <v>180</v>
      </c>
      <c r="C28" s="622">
        <v>9.9999999999999995E-7</v>
      </c>
      <c r="D28" s="622">
        <v>9.9999999999999995E-7</v>
      </c>
      <c r="E28" s="721">
        <f t="shared" si="3"/>
        <v>0</v>
      </c>
      <c r="F28" s="622">
        <v>0.57999999999999996</v>
      </c>
      <c r="G28" s="746"/>
      <c r="H28" s="721">
        <v>180</v>
      </c>
      <c r="I28" s="622">
        <v>9.9999999999999995E-7</v>
      </c>
      <c r="J28" s="622">
        <v>9.9999999999999995E-7</v>
      </c>
      <c r="K28" s="721">
        <f t="shared" si="4"/>
        <v>0</v>
      </c>
      <c r="L28" s="622">
        <v>1E-3</v>
      </c>
      <c r="M28" s="746"/>
      <c r="N28" s="721">
        <v>180</v>
      </c>
      <c r="O28" s="622">
        <v>9.9999999999999995E-7</v>
      </c>
      <c r="P28" s="622">
        <v>9.9999999999999995E-7</v>
      </c>
      <c r="Q28" s="721">
        <f t="shared" si="5"/>
        <v>0</v>
      </c>
      <c r="R28" s="622">
        <v>1E-3</v>
      </c>
      <c r="S28" s="746"/>
      <c r="T28" s="746"/>
      <c r="U28" s="746"/>
      <c r="V28" s="746"/>
      <c r="W28" s="746"/>
      <c r="X28" s="746"/>
      <c r="Y28" s="746"/>
      <c r="Z28" s="746"/>
    </row>
    <row r="29" spans="1:26">
      <c r="A29" s="746"/>
      <c r="B29" s="721">
        <v>210</v>
      </c>
      <c r="C29" s="622">
        <v>9.9999999999999995E-7</v>
      </c>
      <c r="D29" s="622">
        <v>9.9999999999999995E-7</v>
      </c>
      <c r="E29" s="721">
        <f t="shared" si="3"/>
        <v>0</v>
      </c>
      <c r="F29" s="622">
        <v>0.57999999999999996</v>
      </c>
      <c r="G29" s="746"/>
      <c r="H29" s="721">
        <v>210</v>
      </c>
      <c r="I29" s="622">
        <v>9.9999999999999995E-7</v>
      </c>
      <c r="J29" s="622">
        <v>9.9999999999999995E-7</v>
      </c>
      <c r="K29" s="721">
        <f t="shared" si="4"/>
        <v>0</v>
      </c>
      <c r="L29" s="622">
        <v>1E-3</v>
      </c>
      <c r="M29" s="746"/>
      <c r="N29" s="721">
        <v>210</v>
      </c>
      <c r="O29" s="622">
        <v>9.9999999999999995E-7</v>
      </c>
      <c r="P29" s="622">
        <v>9.9999999999999995E-7</v>
      </c>
      <c r="Q29" s="721">
        <f t="shared" si="5"/>
        <v>0</v>
      </c>
      <c r="R29" s="622">
        <v>1E-3</v>
      </c>
      <c r="S29" s="746"/>
      <c r="T29" s="746"/>
      <c r="U29" s="746"/>
      <c r="V29" s="746"/>
      <c r="W29" s="746"/>
      <c r="X29" s="746"/>
      <c r="Y29" s="746"/>
      <c r="Z29" s="746"/>
    </row>
    <row r="30" spans="1:26">
      <c r="A30" s="746"/>
      <c r="B30" s="721">
        <v>240</v>
      </c>
      <c r="C30" s="622">
        <v>9.9999999999999995E-7</v>
      </c>
      <c r="D30" s="622">
        <v>9.9999999999999995E-7</v>
      </c>
      <c r="E30" s="721">
        <f t="shared" si="3"/>
        <v>0</v>
      </c>
      <c r="F30" s="622">
        <v>0.57999999999999996</v>
      </c>
      <c r="G30" s="746"/>
      <c r="H30" s="721">
        <v>240</v>
      </c>
      <c r="I30" s="622">
        <v>9.9999999999999995E-7</v>
      </c>
      <c r="J30" s="622">
        <v>9.9999999999999995E-7</v>
      </c>
      <c r="K30" s="721">
        <f t="shared" si="4"/>
        <v>0</v>
      </c>
      <c r="L30" s="622">
        <v>1E-3</v>
      </c>
      <c r="M30" s="746"/>
      <c r="N30" s="721">
        <v>240</v>
      </c>
      <c r="O30" s="622">
        <v>9.9999999999999995E-7</v>
      </c>
      <c r="P30" s="622">
        <v>9.9999999999999995E-7</v>
      </c>
      <c r="Q30" s="721">
        <f t="shared" si="5"/>
        <v>0</v>
      </c>
      <c r="R30" s="622">
        <v>1E-3</v>
      </c>
      <c r="S30" s="746"/>
      <c r="T30" s="746"/>
      <c r="U30" s="746"/>
      <c r="V30" s="746"/>
      <c r="W30" s="746"/>
      <c r="X30" s="746"/>
      <c r="Y30" s="746"/>
      <c r="Z30" s="746"/>
    </row>
    <row r="31" spans="1:26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6"/>
      <c r="P31" s="746"/>
      <c r="Q31" s="746"/>
      <c r="R31" s="746"/>
      <c r="S31" s="746"/>
      <c r="T31" s="746"/>
      <c r="U31" s="746"/>
      <c r="V31" s="746"/>
      <c r="W31" s="746"/>
      <c r="X31" s="746"/>
      <c r="Y31" s="746"/>
      <c r="Z31" s="746"/>
    </row>
    <row r="32" spans="1:26">
      <c r="A32" s="746"/>
      <c r="B32" s="1048" t="s">
        <v>339</v>
      </c>
      <c r="C32" s="1049"/>
      <c r="D32" s="1049"/>
      <c r="E32" s="1049"/>
      <c r="F32" s="1050"/>
      <c r="G32" s="746"/>
      <c r="H32" s="1048" t="s">
        <v>312</v>
      </c>
      <c r="I32" s="1049"/>
      <c r="J32" s="1049"/>
      <c r="K32" s="1049"/>
      <c r="L32" s="1050"/>
      <c r="M32" s="746"/>
      <c r="N32" s="1048" t="s">
        <v>312</v>
      </c>
      <c r="O32" s="1049"/>
      <c r="P32" s="1049"/>
      <c r="Q32" s="1049"/>
      <c r="R32" s="1050"/>
      <c r="S32" s="746"/>
      <c r="T32" s="746"/>
      <c r="U32" s="746"/>
      <c r="V32" s="746"/>
      <c r="W32" s="746"/>
      <c r="X32" s="746"/>
      <c r="Y32" s="746"/>
      <c r="Z32" s="746"/>
    </row>
    <row r="33" spans="1:26">
      <c r="A33" s="746"/>
      <c r="B33" s="1051" t="s">
        <v>308</v>
      </c>
      <c r="C33" s="1051"/>
      <c r="D33" s="1051"/>
      <c r="E33" s="1051"/>
      <c r="F33" s="1051"/>
      <c r="G33" s="746"/>
      <c r="H33" s="1051" t="s">
        <v>308</v>
      </c>
      <c r="I33" s="1051"/>
      <c r="J33" s="1051"/>
      <c r="K33" s="1051"/>
      <c r="L33" s="1051"/>
      <c r="M33" s="746"/>
      <c r="N33" s="1051" t="s">
        <v>308</v>
      </c>
      <c r="O33" s="1051"/>
      <c r="P33" s="1051"/>
      <c r="Q33" s="1051"/>
      <c r="R33" s="1051"/>
      <c r="S33" s="746"/>
      <c r="T33" s="746"/>
      <c r="U33" s="746"/>
      <c r="V33" s="746"/>
      <c r="W33" s="746"/>
      <c r="X33" s="746"/>
      <c r="Y33" s="746"/>
      <c r="Z33" s="746"/>
    </row>
    <row r="34" spans="1:26">
      <c r="A34" s="746"/>
      <c r="B34" s="1052" t="s">
        <v>309</v>
      </c>
      <c r="C34" s="1053"/>
      <c r="D34" s="1054"/>
      <c r="E34" s="1055" t="s">
        <v>244</v>
      </c>
      <c r="F34" s="1055" t="s">
        <v>94</v>
      </c>
      <c r="G34" s="746"/>
      <c r="H34" s="1052" t="s">
        <v>309</v>
      </c>
      <c r="I34" s="1053"/>
      <c r="J34" s="1054"/>
      <c r="K34" s="1055" t="s">
        <v>244</v>
      </c>
      <c r="L34" s="1055" t="s">
        <v>94</v>
      </c>
      <c r="M34" s="746"/>
      <c r="N34" s="1052" t="s">
        <v>309</v>
      </c>
      <c r="O34" s="1053"/>
      <c r="P34" s="1054"/>
      <c r="Q34" s="1055" t="s">
        <v>244</v>
      </c>
      <c r="R34" s="1055" t="s">
        <v>94</v>
      </c>
      <c r="S34" s="746"/>
      <c r="T34" s="746"/>
      <c r="U34" s="746"/>
      <c r="V34" s="746"/>
      <c r="W34" s="746"/>
      <c r="X34" s="746"/>
      <c r="Y34" s="746"/>
      <c r="Z34" s="746"/>
    </row>
    <row r="35" spans="1:26">
      <c r="A35" s="746"/>
      <c r="B35" s="721" t="s">
        <v>65</v>
      </c>
      <c r="C35" s="721">
        <v>2017</v>
      </c>
      <c r="D35" s="721">
        <v>2018</v>
      </c>
      <c r="E35" s="1056"/>
      <c r="F35" s="1056"/>
      <c r="G35" s="746"/>
      <c r="H35" s="721" t="s">
        <v>65</v>
      </c>
      <c r="I35" s="721">
        <v>2017</v>
      </c>
      <c r="J35" s="721">
        <v>2018</v>
      </c>
      <c r="K35" s="1056"/>
      <c r="L35" s="1056"/>
      <c r="M35" s="746"/>
      <c r="N35" s="721" t="s">
        <v>65</v>
      </c>
      <c r="O35" s="721">
        <v>2017</v>
      </c>
      <c r="P35" s="721">
        <v>2018</v>
      </c>
      <c r="Q35" s="1056"/>
      <c r="R35" s="1056"/>
      <c r="S35" s="746"/>
      <c r="T35" s="746"/>
      <c r="U35" s="746"/>
      <c r="V35" s="746"/>
      <c r="W35" s="746"/>
      <c r="X35" s="746"/>
      <c r="Y35" s="746"/>
      <c r="Z35" s="746"/>
    </row>
    <row r="36" spans="1:26">
      <c r="A36" s="746"/>
      <c r="B36" s="721">
        <v>0</v>
      </c>
      <c r="C36" s="622">
        <v>9.9999999999999995E-7</v>
      </c>
      <c r="D36" s="622">
        <v>9.9999999999999995E-7</v>
      </c>
      <c r="E36" s="721">
        <f>0.5*(MAX(C36:D36)-MIN(C36:D36))</f>
        <v>0</v>
      </c>
      <c r="F36" s="622">
        <v>1E-3</v>
      </c>
      <c r="G36" s="746"/>
      <c r="H36" s="721">
        <v>0</v>
      </c>
      <c r="I36" s="622">
        <v>9.9999999999999995E-7</v>
      </c>
      <c r="J36" s="622">
        <v>9.9999999999999995E-7</v>
      </c>
      <c r="K36" s="721">
        <f>0.5*(MAX(I36:J36)-MIN(I36:J36))</f>
        <v>0</v>
      </c>
      <c r="L36" s="622">
        <v>1E-3</v>
      </c>
      <c r="M36" s="746"/>
      <c r="N36" s="721">
        <v>0</v>
      </c>
      <c r="O36" s="622">
        <v>9.9999999999999995E-7</v>
      </c>
      <c r="P36" s="622">
        <v>9.9999999999999995E-7</v>
      </c>
      <c r="Q36" s="721">
        <f>0.5*(MAX(O36:P36)-MIN(O36:P36))</f>
        <v>0</v>
      </c>
      <c r="R36" s="622">
        <v>1E-3</v>
      </c>
      <c r="S36" s="746"/>
      <c r="T36" s="746"/>
      <c r="U36" s="746"/>
      <c r="V36" s="746"/>
      <c r="W36" s="746"/>
      <c r="X36" s="746"/>
      <c r="Y36" s="746"/>
      <c r="Z36" s="746"/>
    </row>
    <row r="37" spans="1:26">
      <c r="A37" s="746"/>
      <c r="B37" s="721">
        <v>30</v>
      </c>
      <c r="C37" s="622">
        <v>9.9999999999999995E-7</v>
      </c>
      <c r="D37" s="622">
        <v>9.9999999999999995E-7</v>
      </c>
      <c r="E37" s="721">
        <f t="shared" ref="E37:E44" si="6">0.5*(MAX(C37:D37)-MIN(C37:D37))</f>
        <v>0</v>
      </c>
      <c r="F37" s="622">
        <v>1E-3</v>
      </c>
      <c r="G37" s="746"/>
      <c r="H37" s="721">
        <v>30</v>
      </c>
      <c r="I37" s="622">
        <v>9.9999999999999995E-7</v>
      </c>
      <c r="J37" s="622">
        <v>9.9999999999999995E-7</v>
      </c>
      <c r="K37" s="721">
        <f t="shared" ref="K37:K44" si="7">0.5*(MAX(I37:J37)-MIN(I37:J37))</f>
        <v>0</v>
      </c>
      <c r="L37" s="622">
        <v>1E-3</v>
      </c>
      <c r="M37" s="746"/>
      <c r="N37" s="721">
        <v>30</v>
      </c>
      <c r="O37" s="622">
        <v>9.9999999999999995E-7</v>
      </c>
      <c r="P37" s="622">
        <v>9.9999999999999995E-7</v>
      </c>
      <c r="Q37" s="721">
        <f t="shared" ref="Q37:Q44" si="8">0.5*(MAX(O37:P37)-MIN(O37:P37))</f>
        <v>0</v>
      </c>
      <c r="R37" s="622">
        <v>1E-3</v>
      </c>
      <c r="S37" s="746"/>
      <c r="T37" s="746"/>
      <c r="U37" s="746"/>
      <c r="V37" s="746"/>
      <c r="W37" s="746"/>
      <c r="X37" s="746"/>
      <c r="Y37" s="746"/>
      <c r="Z37" s="746"/>
    </row>
    <row r="38" spans="1:26">
      <c r="A38" s="746"/>
      <c r="B38" s="721">
        <v>60</v>
      </c>
      <c r="C38" s="622">
        <v>9.9999999999999995E-7</v>
      </c>
      <c r="D38" s="622">
        <v>9.9999999999999995E-7</v>
      </c>
      <c r="E38" s="721">
        <f t="shared" si="6"/>
        <v>0</v>
      </c>
      <c r="F38" s="622">
        <v>1E-3</v>
      </c>
      <c r="G38" s="746"/>
      <c r="H38" s="721">
        <v>60</v>
      </c>
      <c r="I38" s="622">
        <v>9.9999999999999995E-7</v>
      </c>
      <c r="J38" s="622">
        <v>9.9999999999999995E-7</v>
      </c>
      <c r="K38" s="721">
        <f t="shared" si="7"/>
        <v>0</v>
      </c>
      <c r="L38" s="622">
        <v>1E-3</v>
      </c>
      <c r="M38" s="746"/>
      <c r="N38" s="721">
        <v>60</v>
      </c>
      <c r="O38" s="622">
        <v>9.9999999999999995E-7</v>
      </c>
      <c r="P38" s="622">
        <v>9.9999999999999995E-7</v>
      </c>
      <c r="Q38" s="721">
        <f t="shared" si="8"/>
        <v>0</v>
      </c>
      <c r="R38" s="622">
        <v>1E-3</v>
      </c>
      <c r="S38" s="746"/>
      <c r="T38" s="746"/>
      <c r="U38" s="746"/>
      <c r="V38" s="746"/>
      <c r="W38" s="746"/>
      <c r="X38" s="746"/>
      <c r="Y38" s="746"/>
      <c r="Z38" s="746"/>
    </row>
    <row r="39" spans="1:26" ht="14.4">
      <c r="A39" s="746"/>
      <c r="B39" s="745">
        <v>90</v>
      </c>
      <c r="C39" s="622">
        <v>9.9999999999999995E-7</v>
      </c>
      <c r="D39" s="622">
        <v>9.9999999999999995E-7</v>
      </c>
      <c r="E39" s="721">
        <f t="shared" si="6"/>
        <v>0</v>
      </c>
      <c r="F39" s="622">
        <v>1E-3</v>
      </c>
      <c r="G39" s="746"/>
      <c r="H39" s="745">
        <v>90</v>
      </c>
      <c r="I39" s="622">
        <v>9.9999999999999995E-7</v>
      </c>
      <c r="J39" s="622">
        <v>9.9999999999999995E-7</v>
      </c>
      <c r="K39" s="721">
        <f t="shared" si="7"/>
        <v>0</v>
      </c>
      <c r="L39" s="622">
        <v>1E-3</v>
      </c>
      <c r="M39" s="746"/>
      <c r="N39" s="745">
        <v>90</v>
      </c>
      <c r="O39" s="622">
        <v>9.9999999999999995E-7</v>
      </c>
      <c r="P39" s="622">
        <v>9.9999999999999995E-7</v>
      </c>
      <c r="Q39" s="721">
        <f t="shared" si="8"/>
        <v>0</v>
      </c>
      <c r="R39" s="622">
        <v>1E-3</v>
      </c>
      <c r="S39" s="746"/>
      <c r="T39" s="746"/>
      <c r="U39" s="746"/>
      <c r="V39" s="746"/>
      <c r="W39" s="746"/>
      <c r="X39" s="746"/>
      <c r="Y39" s="746"/>
      <c r="Z39" s="746"/>
    </row>
    <row r="40" spans="1:26" ht="14.4">
      <c r="A40" s="746"/>
      <c r="B40" s="745">
        <v>120</v>
      </c>
      <c r="C40" s="622">
        <v>9.9999999999999995E-7</v>
      </c>
      <c r="D40" s="622">
        <v>9.9999999999999995E-7</v>
      </c>
      <c r="E40" s="721">
        <f t="shared" si="6"/>
        <v>0</v>
      </c>
      <c r="F40" s="622">
        <v>1E-3</v>
      </c>
      <c r="G40" s="746"/>
      <c r="H40" s="745">
        <v>120</v>
      </c>
      <c r="I40" s="622">
        <v>9.9999999999999995E-7</v>
      </c>
      <c r="J40" s="622">
        <v>9.9999999999999995E-7</v>
      </c>
      <c r="K40" s="721">
        <f t="shared" si="7"/>
        <v>0</v>
      </c>
      <c r="L40" s="622">
        <v>1E-3</v>
      </c>
      <c r="M40" s="746"/>
      <c r="N40" s="745">
        <v>120</v>
      </c>
      <c r="O40" s="622">
        <v>9.9999999999999995E-7</v>
      </c>
      <c r="P40" s="622">
        <v>9.9999999999999995E-7</v>
      </c>
      <c r="Q40" s="721">
        <f t="shared" si="8"/>
        <v>0</v>
      </c>
      <c r="R40" s="622">
        <v>1E-3</v>
      </c>
      <c r="S40" s="746"/>
      <c r="T40" s="746"/>
      <c r="U40" s="746"/>
      <c r="V40" s="746"/>
      <c r="W40" s="746"/>
      <c r="X40" s="746"/>
      <c r="Y40" s="746"/>
      <c r="Z40" s="746"/>
    </row>
    <row r="41" spans="1:26">
      <c r="A41" s="746"/>
      <c r="B41" s="721">
        <v>150</v>
      </c>
      <c r="C41" s="622">
        <v>9.9999999999999995E-7</v>
      </c>
      <c r="D41" s="622">
        <v>9.9999999999999995E-7</v>
      </c>
      <c r="E41" s="721">
        <f t="shared" si="6"/>
        <v>0</v>
      </c>
      <c r="F41" s="622">
        <v>1E-3</v>
      </c>
      <c r="G41" s="746"/>
      <c r="H41" s="721">
        <v>150</v>
      </c>
      <c r="I41" s="622">
        <v>9.9999999999999995E-7</v>
      </c>
      <c r="J41" s="622">
        <v>9.9999999999999995E-7</v>
      </c>
      <c r="K41" s="721">
        <f t="shared" si="7"/>
        <v>0</v>
      </c>
      <c r="L41" s="622">
        <v>1E-3</v>
      </c>
      <c r="M41" s="746"/>
      <c r="N41" s="721">
        <v>150</v>
      </c>
      <c r="O41" s="622">
        <v>9.9999999999999995E-7</v>
      </c>
      <c r="P41" s="622">
        <v>9.9999999999999995E-7</v>
      </c>
      <c r="Q41" s="721">
        <f t="shared" si="8"/>
        <v>0</v>
      </c>
      <c r="R41" s="622">
        <v>1E-3</v>
      </c>
      <c r="S41" s="746"/>
      <c r="T41" s="746"/>
      <c r="U41" s="746"/>
      <c r="V41" s="746"/>
      <c r="W41" s="746"/>
      <c r="X41" s="746"/>
      <c r="Y41" s="746"/>
      <c r="Z41" s="746"/>
    </row>
    <row r="42" spans="1:26">
      <c r="A42" s="746"/>
      <c r="B42" s="721">
        <v>180</v>
      </c>
      <c r="C42" s="622">
        <v>9.9999999999999995E-7</v>
      </c>
      <c r="D42" s="622">
        <v>9.9999999999999995E-7</v>
      </c>
      <c r="E42" s="721">
        <f t="shared" si="6"/>
        <v>0</v>
      </c>
      <c r="F42" s="622">
        <v>1E-3</v>
      </c>
      <c r="G42" s="746"/>
      <c r="H42" s="721">
        <v>180</v>
      </c>
      <c r="I42" s="622">
        <v>9.9999999999999995E-7</v>
      </c>
      <c r="J42" s="622">
        <v>9.9999999999999995E-7</v>
      </c>
      <c r="K42" s="721">
        <f t="shared" si="7"/>
        <v>0</v>
      </c>
      <c r="L42" s="622">
        <v>1E-3</v>
      </c>
      <c r="M42" s="746"/>
      <c r="N42" s="721">
        <v>180</v>
      </c>
      <c r="O42" s="622">
        <v>9.9999999999999995E-7</v>
      </c>
      <c r="P42" s="622">
        <v>9.9999999999999995E-7</v>
      </c>
      <c r="Q42" s="721">
        <f t="shared" si="8"/>
        <v>0</v>
      </c>
      <c r="R42" s="622">
        <v>1E-3</v>
      </c>
      <c r="S42" s="746"/>
      <c r="T42" s="746"/>
      <c r="U42" s="746"/>
      <c r="V42" s="746"/>
      <c r="W42" s="746"/>
      <c r="X42" s="746"/>
      <c r="Y42" s="746"/>
      <c r="Z42" s="746"/>
    </row>
    <row r="43" spans="1:26">
      <c r="A43" s="746"/>
      <c r="B43" s="721">
        <v>210</v>
      </c>
      <c r="C43" s="622">
        <v>9.9999999999999995E-7</v>
      </c>
      <c r="D43" s="622">
        <v>9.9999999999999995E-7</v>
      </c>
      <c r="E43" s="721">
        <f t="shared" si="6"/>
        <v>0</v>
      </c>
      <c r="F43" s="622">
        <v>1E-3</v>
      </c>
      <c r="G43" s="746"/>
      <c r="H43" s="721">
        <v>210</v>
      </c>
      <c r="I43" s="622">
        <v>9.9999999999999995E-7</v>
      </c>
      <c r="J43" s="622">
        <v>9.9999999999999995E-7</v>
      </c>
      <c r="K43" s="721">
        <f t="shared" si="7"/>
        <v>0</v>
      </c>
      <c r="L43" s="622">
        <v>1E-3</v>
      </c>
      <c r="M43" s="746"/>
      <c r="N43" s="721">
        <v>210</v>
      </c>
      <c r="O43" s="622">
        <v>9.9999999999999995E-7</v>
      </c>
      <c r="P43" s="622">
        <v>9.9999999999999995E-7</v>
      </c>
      <c r="Q43" s="721">
        <f t="shared" si="8"/>
        <v>0</v>
      </c>
      <c r="R43" s="622">
        <v>1E-3</v>
      </c>
      <c r="S43" s="746"/>
      <c r="T43" s="746"/>
      <c r="U43" s="746"/>
      <c r="V43" s="746"/>
      <c r="W43" s="746"/>
      <c r="X43" s="746"/>
      <c r="Y43" s="746"/>
      <c r="Z43" s="746"/>
    </row>
    <row r="44" spans="1:26">
      <c r="A44" s="746"/>
      <c r="B44" s="721">
        <v>240</v>
      </c>
      <c r="C44" s="622">
        <v>9.9999999999999995E-7</v>
      </c>
      <c r="D44" s="622">
        <v>9.9999999999999995E-7</v>
      </c>
      <c r="E44" s="721">
        <f t="shared" si="6"/>
        <v>0</v>
      </c>
      <c r="F44" s="622">
        <v>1E-3</v>
      </c>
      <c r="G44" s="746"/>
      <c r="H44" s="721">
        <v>240</v>
      </c>
      <c r="I44" s="622">
        <v>9.9999999999999995E-7</v>
      </c>
      <c r="J44" s="622">
        <v>9.9999999999999995E-7</v>
      </c>
      <c r="K44" s="721">
        <f t="shared" si="7"/>
        <v>0</v>
      </c>
      <c r="L44" s="622">
        <v>1E-3</v>
      </c>
      <c r="M44" s="746"/>
      <c r="N44" s="721">
        <v>240</v>
      </c>
      <c r="O44" s="622">
        <v>9.9999999999999995E-7</v>
      </c>
      <c r="P44" s="622">
        <v>9.9999999999999995E-7</v>
      </c>
      <c r="Q44" s="721">
        <f t="shared" si="8"/>
        <v>0</v>
      </c>
      <c r="R44" s="622">
        <v>1E-3</v>
      </c>
      <c r="S44" s="746"/>
      <c r="T44" s="746"/>
      <c r="U44" s="746"/>
      <c r="V44" s="746"/>
      <c r="W44" s="746"/>
      <c r="X44" s="746"/>
      <c r="Y44" s="746"/>
      <c r="Z44" s="746"/>
    </row>
    <row r="47" spans="1:26" ht="13.8">
      <c r="A47" s="1057">
        <v>30</v>
      </c>
      <c r="B47" s="1060" t="s">
        <v>24</v>
      </c>
      <c r="C47" s="1062" t="s">
        <v>313</v>
      </c>
      <c r="D47" s="1062"/>
      <c r="E47" s="1062"/>
      <c r="F47" s="1062"/>
      <c r="G47" s="1063"/>
    </row>
    <row r="48" spans="1:26">
      <c r="A48" s="1058"/>
      <c r="B48" s="1061"/>
      <c r="C48" s="1064" t="str">
        <f>B6</f>
        <v>Setting BPM</v>
      </c>
      <c r="D48" s="1064"/>
      <c r="E48" s="1064"/>
      <c r="F48" s="1065" t="s">
        <v>244</v>
      </c>
      <c r="G48" s="1070" t="s">
        <v>94</v>
      </c>
    </row>
    <row r="49" spans="1:7" ht="13.8">
      <c r="A49" s="1058"/>
      <c r="B49" s="1061"/>
      <c r="C49" s="708" t="s">
        <v>65</v>
      </c>
      <c r="D49" s="709">
        <v>2017</v>
      </c>
      <c r="E49" s="709">
        <v>2018</v>
      </c>
      <c r="F49" s="1066"/>
      <c r="G49" s="1071"/>
    </row>
    <row r="50" spans="1:7" ht="13.8" hidden="1">
      <c r="A50" s="1058"/>
      <c r="B50" s="710">
        <v>1</v>
      </c>
      <c r="C50" s="710">
        <v>30</v>
      </c>
      <c r="D50" s="710">
        <f>$C$9</f>
        <v>9.9999999999999995E-7</v>
      </c>
      <c r="E50" s="710">
        <f>$D$9</f>
        <v>9.9999999999999995E-7</v>
      </c>
      <c r="F50" s="711">
        <f>$E$9</f>
        <v>0</v>
      </c>
      <c r="G50" s="712">
        <f>$F$9</f>
        <v>0.55000000000000004</v>
      </c>
    </row>
    <row r="51" spans="1:7" ht="13.8" hidden="1">
      <c r="A51" s="1058"/>
      <c r="B51" s="710">
        <v>2</v>
      </c>
      <c r="C51" s="713">
        <v>30</v>
      </c>
      <c r="D51" s="713">
        <f>$I$9</f>
        <v>9.9999999999999995E-7</v>
      </c>
      <c r="E51" s="713">
        <f>$J$9</f>
        <v>9.9999999999999995E-7</v>
      </c>
      <c r="F51" s="714">
        <f>$K$9</f>
        <v>0</v>
      </c>
      <c r="G51" s="715">
        <f>$L$9</f>
        <v>0.12</v>
      </c>
    </row>
    <row r="52" spans="1:7" hidden="1">
      <c r="A52" s="1058"/>
      <c r="B52" s="716">
        <v>3</v>
      </c>
      <c r="C52" s="713">
        <v>30</v>
      </c>
      <c r="D52" s="713">
        <f>$O$9</f>
        <v>9.9999999999999995E-7</v>
      </c>
      <c r="E52" s="713">
        <f>$P$9</f>
        <v>9.9999999999999995E-7</v>
      </c>
      <c r="F52" s="714">
        <f>$Q$9</f>
        <v>0</v>
      </c>
      <c r="G52" s="715">
        <f>$R$9</f>
        <v>0.12</v>
      </c>
    </row>
    <row r="53" spans="1:7" hidden="1">
      <c r="A53" s="1058"/>
      <c r="B53" s="716">
        <v>4</v>
      </c>
      <c r="C53" s="713">
        <v>30</v>
      </c>
      <c r="D53" s="713">
        <f>$C$23</f>
        <v>9.9999999999999995E-7</v>
      </c>
      <c r="E53" s="713">
        <f>$D$23</f>
        <v>9.9999999999999995E-7</v>
      </c>
      <c r="F53" s="714">
        <f>$E$23</f>
        <v>0</v>
      </c>
      <c r="G53" s="715">
        <f>$F$23</f>
        <v>0.57999999999999996</v>
      </c>
    </row>
    <row r="54" spans="1:7" hidden="1">
      <c r="A54" s="1058"/>
      <c r="B54" s="716">
        <v>5</v>
      </c>
      <c r="C54" s="713">
        <v>30</v>
      </c>
      <c r="D54" s="713">
        <f>$I$23</f>
        <v>9.9999999999999995E-7</v>
      </c>
      <c r="E54" s="713">
        <f>$J$23</f>
        <v>9.9999999999999995E-7</v>
      </c>
      <c r="F54" s="714">
        <f>$K$23</f>
        <v>0</v>
      </c>
      <c r="G54" s="715">
        <f>$L$23</f>
        <v>1E-3</v>
      </c>
    </row>
    <row r="55" spans="1:7" ht="13.8">
      <c r="A55" s="1058"/>
      <c r="B55" s="716">
        <v>6</v>
      </c>
      <c r="C55" s="713">
        <v>30</v>
      </c>
      <c r="D55" s="713">
        <f>$C$9</f>
        <v>9.9999999999999995E-7</v>
      </c>
      <c r="E55" s="710">
        <f>$D$9</f>
        <v>9.9999999999999995E-7</v>
      </c>
      <c r="F55" s="714">
        <f>$E$9</f>
        <v>0</v>
      </c>
      <c r="G55" s="715">
        <f>$F$9</f>
        <v>0.55000000000000004</v>
      </c>
    </row>
    <row r="56" spans="1:7">
      <c r="A56" s="1058"/>
      <c r="B56" s="716">
        <v>7</v>
      </c>
      <c r="C56" s="713">
        <v>30</v>
      </c>
      <c r="D56" s="713">
        <f>$I$9</f>
        <v>9.9999999999999995E-7</v>
      </c>
      <c r="E56" s="713">
        <f>$J$9</f>
        <v>9.9999999999999995E-7</v>
      </c>
      <c r="F56" s="714">
        <f>$K$9</f>
        <v>0</v>
      </c>
      <c r="G56" s="715">
        <f>$L$9</f>
        <v>0.12</v>
      </c>
    </row>
    <row r="57" spans="1:7">
      <c r="A57" s="1058"/>
      <c r="B57" s="716">
        <v>8</v>
      </c>
      <c r="C57" s="713">
        <v>30</v>
      </c>
      <c r="D57" s="713">
        <f>$O$9</f>
        <v>9.9999999999999995E-7</v>
      </c>
      <c r="E57" s="713">
        <f>$P$9</f>
        <v>9.9999999999999995E-7</v>
      </c>
      <c r="F57" s="714">
        <f>$Q$9</f>
        <v>0</v>
      </c>
      <c r="G57" s="715">
        <f>$R$9</f>
        <v>0.12</v>
      </c>
    </row>
    <row r="58" spans="1:7">
      <c r="A58" s="1058"/>
      <c r="B58" s="716">
        <v>9</v>
      </c>
      <c r="C58" s="713">
        <v>30</v>
      </c>
      <c r="D58" s="713">
        <f>$C$23</f>
        <v>9.9999999999999995E-7</v>
      </c>
      <c r="E58" s="713">
        <f>$D$23</f>
        <v>9.9999999999999995E-7</v>
      </c>
      <c r="F58" s="714">
        <f>$E$23</f>
        <v>0</v>
      </c>
      <c r="G58" s="715">
        <f>$F$23</f>
        <v>0.57999999999999996</v>
      </c>
    </row>
    <row r="59" spans="1:7" ht="13.8">
      <c r="A59" s="1058"/>
      <c r="B59" s="717">
        <v>10</v>
      </c>
      <c r="C59" s="717">
        <v>30</v>
      </c>
      <c r="D59" s="718">
        <f>$I$23</f>
        <v>9.9999999999999995E-7</v>
      </c>
      <c r="E59" s="718">
        <f>$J$23</f>
        <v>9.9999999999999995E-7</v>
      </c>
      <c r="F59" s="719">
        <f>$K$23</f>
        <v>0</v>
      </c>
      <c r="G59" s="720">
        <f>$L$23</f>
        <v>1E-3</v>
      </c>
    </row>
    <row r="60" spans="1:7" ht="13.8">
      <c r="A60" s="1058"/>
      <c r="B60" s="710">
        <v>11</v>
      </c>
      <c r="C60" s="717">
        <v>30</v>
      </c>
      <c r="D60" s="713">
        <f>$O$23</f>
        <v>9.9999999999999995E-7</v>
      </c>
      <c r="E60" s="713">
        <f>$P$23</f>
        <v>9.9999999999999995E-7</v>
      </c>
      <c r="F60" s="714">
        <f>$Q$23</f>
        <v>0</v>
      </c>
      <c r="G60" s="713">
        <f>$R$23</f>
        <v>1E-3</v>
      </c>
    </row>
    <row r="61" spans="1:7" ht="14.4" thickBot="1">
      <c r="A61" s="1059"/>
      <c r="B61" s="721">
        <v>12</v>
      </c>
      <c r="C61" s="717">
        <v>30</v>
      </c>
      <c r="D61" s="722">
        <f>$C$37</f>
        <v>9.9999999999999995E-7</v>
      </c>
      <c r="E61" s="722">
        <f>$D$37</f>
        <v>9.9999999999999995E-7</v>
      </c>
      <c r="F61" s="722">
        <f>$E$37</f>
        <v>0</v>
      </c>
      <c r="G61" s="722">
        <f>$F$37</f>
        <v>1E-3</v>
      </c>
    </row>
    <row r="62" spans="1:7" ht="15" hidden="1" customHeight="1">
      <c r="A62" s="1057">
        <v>60</v>
      </c>
      <c r="B62" s="723">
        <v>1</v>
      </c>
      <c r="C62" s="724">
        <v>60</v>
      </c>
      <c r="D62" s="724">
        <f>$C$10</f>
        <v>9.9999999999999995E-7</v>
      </c>
      <c r="E62" s="725">
        <f>$D$10</f>
        <v>9.9999999999999995E-7</v>
      </c>
      <c r="F62" s="726">
        <f>$E$10</f>
        <v>0</v>
      </c>
      <c r="G62" s="727">
        <f>$F$10</f>
        <v>0.55000000000000004</v>
      </c>
    </row>
    <row r="63" spans="1:7" ht="12.75" hidden="1" customHeight="1">
      <c r="A63" s="1058"/>
      <c r="B63" s="716">
        <v>2</v>
      </c>
      <c r="C63" s="716">
        <v>60</v>
      </c>
      <c r="D63" s="716">
        <f>$I$10</f>
        <v>9.9999999999999995E-7</v>
      </c>
      <c r="E63" s="728">
        <f>$J$10</f>
        <v>9.9999999999999995E-7</v>
      </c>
      <c r="F63" s="729">
        <f>$K$10</f>
        <v>0</v>
      </c>
      <c r="G63" s="730">
        <f>$L$10</f>
        <v>0.12</v>
      </c>
    </row>
    <row r="64" spans="1:7" ht="12.75" hidden="1" customHeight="1">
      <c r="A64" s="1058"/>
      <c r="B64" s="716">
        <v>3</v>
      </c>
      <c r="C64" s="716">
        <v>60</v>
      </c>
      <c r="D64" s="716">
        <f>$O$10</f>
        <v>9.9999999999999995E-7</v>
      </c>
      <c r="E64" s="728">
        <f>$P$10</f>
        <v>9.9999999999999995E-7</v>
      </c>
      <c r="F64" s="729">
        <f>$Q$10</f>
        <v>0</v>
      </c>
      <c r="G64" s="730">
        <f>$R$10</f>
        <v>0.12</v>
      </c>
    </row>
    <row r="65" spans="1:7" ht="12.75" hidden="1" customHeight="1">
      <c r="A65" s="1058"/>
      <c r="B65" s="716">
        <v>4</v>
      </c>
      <c r="C65" s="716">
        <v>60</v>
      </c>
      <c r="D65" s="716">
        <f>$C$24</f>
        <v>9.9999999999999995E-7</v>
      </c>
      <c r="E65" s="728">
        <f>$D$24</f>
        <v>9.9999999999999995E-7</v>
      </c>
      <c r="F65" s="729">
        <f>$E$24</f>
        <v>0</v>
      </c>
      <c r="G65" s="730">
        <f>$F$24</f>
        <v>0.57999999999999996</v>
      </c>
    </row>
    <row r="66" spans="1:7" ht="12.75" hidden="1" customHeight="1">
      <c r="A66" s="1058"/>
      <c r="B66" s="716">
        <v>5</v>
      </c>
      <c r="C66" s="716">
        <v>60</v>
      </c>
      <c r="D66" s="716">
        <f>$I$24</f>
        <v>9.9999999999999995E-7</v>
      </c>
      <c r="E66" s="716">
        <f>$J$24</f>
        <v>9.9999999999999995E-7</v>
      </c>
      <c r="F66" s="729">
        <f>$K$24</f>
        <v>0</v>
      </c>
      <c r="G66" s="730">
        <f>$L$24</f>
        <v>1E-3</v>
      </c>
    </row>
    <row r="67" spans="1:7" ht="12.75" customHeight="1">
      <c r="A67" s="1058"/>
      <c r="B67" s="716">
        <v>6</v>
      </c>
      <c r="C67" s="716">
        <v>60</v>
      </c>
      <c r="D67" s="724">
        <f>$C$10</f>
        <v>9.9999999999999995E-7</v>
      </c>
      <c r="E67" s="725">
        <f>$D$10</f>
        <v>9.9999999999999995E-7</v>
      </c>
      <c r="F67" s="726">
        <f>$E$10</f>
        <v>0</v>
      </c>
      <c r="G67" s="727">
        <f>$F$10</f>
        <v>0.55000000000000004</v>
      </c>
    </row>
    <row r="68" spans="1:7" ht="12.75" customHeight="1">
      <c r="A68" s="1058"/>
      <c r="B68" s="716">
        <v>7</v>
      </c>
      <c r="C68" s="716">
        <v>60</v>
      </c>
      <c r="D68" s="716">
        <f>$I$10</f>
        <v>9.9999999999999995E-7</v>
      </c>
      <c r="E68" s="728">
        <f>$J$10</f>
        <v>9.9999999999999995E-7</v>
      </c>
      <c r="F68" s="729">
        <f>$K$10</f>
        <v>0</v>
      </c>
      <c r="G68" s="730">
        <f>$L$10</f>
        <v>0.12</v>
      </c>
    </row>
    <row r="69" spans="1:7" ht="12.75" customHeight="1">
      <c r="A69" s="1058"/>
      <c r="B69" s="716">
        <v>8</v>
      </c>
      <c r="C69" s="716">
        <v>60</v>
      </c>
      <c r="D69" s="716">
        <f>$O$10</f>
        <v>9.9999999999999995E-7</v>
      </c>
      <c r="E69" s="728">
        <f>$P$10</f>
        <v>9.9999999999999995E-7</v>
      </c>
      <c r="F69" s="729">
        <f>$Q$10</f>
        <v>0</v>
      </c>
      <c r="G69" s="730">
        <f>$R$10</f>
        <v>0.12</v>
      </c>
    </row>
    <row r="70" spans="1:7" ht="15" customHeight="1">
      <c r="A70" s="1058"/>
      <c r="B70" s="710">
        <v>9</v>
      </c>
      <c r="C70" s="710">
        <v>60</v>
      </c>
      <c r="D70" s="716">
        <f>$C$24</f>
        <v>9.9999999999999995E-7</v>
      </c>
      <c r="E70" s="728">
        <f>$D$24</f>
        <v>9.9999999999999995E-7</v>
      </c>
      <c r="F70" s="729">
        <f>$E$24</f>
        <v>0</v>
      </c>
      <c r="G70" s="730">
        <f>$F$24</f>
        <v>0.57999999999999996</v>
      </c>
    </row>
    <row r="71" spans="1:7" ht="15" customHeight="1">
      <c r="A71" s="1058"/>
      <c r="B71" s="717">
        <v>10</v>
      </c>
      <c r="C71" s="717">
        <v>60</v>
      </c>
      <c r="D71" s="731">
        <f>$I$24</f>
        <v>9.9999999999999995E-7</v>
      </c>
      <c r="E71" s="731">
        <f>$J$24</f>
        <v>9.9999999999999995E-7</v>
      </c>
      <c r="F71" s="732">
        <f>$K$24</f>
        <v>0</v>
      </c>
      <c r="G71" s="733">
        <f>$L$24</f>
        <v>1E-3</v>
      </c>
    </row>
    <row r="72" spans="1:7" ht="15" customHeight="1">
      <c r="A72" s="1058"/>
      <c r="B72" s="710">
        <v>11</v>
      </c>
      <c r="C72" s="717">
        <v>60</v>
      </c>
      <c r="D72" s="716">
        <f>$O$24</f>
        <v>9.9999999999999995E-7</v>
      </c>
      <c r="E72" s="716">
        <f>$P$24</f>
        <v>9.9999999999999995E-7</v>
      </c>
      <c r="F72" s="729">
        <f>$Q$24</f>
        <v>0</v>
      </c>
      <c r="G72" s="716">
        <f>$R$24</f>
        <v>1E-3</v>
      </c>
    </row>
    <row r="73" spans="1:7" ht="15" customHeight="1" thickBot="1">
      <c r="A73" s="1059"/>
      <c r="B73" s="721">
        <v>12</v>
      </c>
      <c r="C73" s="717">
        <v>60</v>
      </c>
      <c r="D73" s="721">
        <f>$C$38</f>
        <v>9.9999999999999995E-7</v>
      </c>
      <c r="E73" s="721">
        <f>$D$38</f>
        <v>9.9999999999999995E-7</v>
      </c>
      <c r="F73" s="721">
        <f>$E$38</f>
        <v>0</v>
      </c>
      <c r="G73" s="721">
        <f>$F$38</f>
        <v>1E-3</v>
      </c>
    </row>
    <row r="74" spans="1:7" ht="12.75" hidden="1" customHeight="1">
      <c r="A74" s="1057">
        <v>90</v>
      </c>
      <c r="B74" s="723">
        <v>1</v>
      </c>
      <c r="C74" s="724">
        <v>90</v>
      </c>
      <c r="D74" s="724">
        <f>$C$11</f>
        <v>9.9999999999999995E-7</v>
      </c>
      <c r="E74" s="725">
        <f>$D$11</f>
        <v>9.9999999999999995E-7</v>
      </c>
      <c r="F74" s="726">
        <f>$E$11</f>
        <v>0</v>
      </c>
      <c r="G74" s="727">
        <f>$F$11</f>
        <v>0.55000000000000004</v>
      </c>
    </row>
    <row r="75" spans="1:7" ht="12.75" hidden="1" customHeight="1">
      <c r="A75" s="1058"/>
      <c r="B75" s="716">
        <v>2</v>
      </c>
      <c r="C75" s="716">
        <v>90</v>
      </c>
      <c r="D75" s="716">
        <f>$I$11</f>
        <v>9.9999999999999995E-7</v>
      </c>
      <c r="E75" s="728">
        <f>$J$11</f>
        <v>9.9999999999999995E-7</v>
      </c>
      <c r="F75" s="729">
        <f>$K$11</f>
        <v>0</v>
      </c>
      <c r="G75" s="730">
        <f>$L$11</f>
        <v>0.12</v>
      </c>
    </row>
    <row r="76" spans="1:7" ht="12.75" hidden="1" customHeight="1">
      <c r="A76" s="1058"/>
      <c r="B76" s="716">
        <v>3</v>
      </c>
      <c r="C76" s="716">
        <v>90</v>
      </c>
      <c r="D76" s="716">
        <f>$O$11</f>
        <v>9.9999999999999995E-7</v>
      </c>
      <c r="E76" s="728">
        <f>$P$11</f>
        <v>9.9999999999999995E-7</v>
      </c>
      <c r="F76" s="729">
        <f>$Q$11</f>
        <v>0</v>
      </c>
      <c r="G76" s="730">
        <f>$R$11</f>
        <v>0.12</v>
      </c>
    </row>
    <row r="77" spans="1:7" hidden="1">
      <c r="A77" s="1058"/>
      <c r="B77" s="716">
        <v>4</v>
      </c>
      <c r="C77" s="716">
        <v>90</v>
      </c>
      <c r="D77" s="716">
        <f>$C$25</f>
        <v>9.9999999999999995E-7</v>
      </c>
      <c r="E77" s="728">
        <f>$D$25</f>
        <v>9.9999999999999995E-7</v>
      </c>
      <c r="F77" s="729">
        <f>$E$25</f>
        <v>0</v>
      </c>
      <c r="G77" s="730">
        <f>$F$25</f>
        <v>0.57999999999999996</v>
      </c>
    </row>
    <row r="78" spans="1:7" hidden="1">
      <c r="A78" s="1058"/>
      <c r="B78" s="716">
        <v>5</v>
      </c>
      <c r="C78" s="716">
        <v>90</v>
      </c>
      <c r="D78" s="716">
        <f>$I$25</f>
        <v>9.9999999999999995E-7</v>
      </c>
      <c r="E78" s="716">
        <f>$J$25</f>
        <v>9.9999999999999995E-7</v>
      </c>
      <c r="F78" s="729">
        <f>$K$25</f>
        <v>0</v>
      </c>
      <c r="G78" s="730">
        <f>$L$25</f>
        <v>1E-3</v>
      </c>
    </row>
    <row r="79" spans="1:7">
      <c r="A79" s="1058"/>
      <c r="B79" s="716">
        <v>6</v>
      </c>
      <c r="C79" s="716">
        <v>90</v>
      </c>
      <c r="D79" s="724">
        <f>$C$11</f>
        <v>9.9999999999999995E-7</v>
      </c>
      <c r="E79" s="725">
        <f>$D$11</f>
        <v>9.9999999999999995E-7</v>
      </c>
      <c r="F79" s="726">
        <f>$E$11</f>
        <v>0</v>
      </c>
      <c r="G79" s="727">
        <f>$F$11</f>
        <v>0.55000000000000004</v>
      </c>
    </row>
    <row r="80" spans="1:7">
      <c r="A80" s="1058"/>
      <c r="B80" s="716">
        <v>7</v>
      </c>
      <c r="C80" s="716">
        <v>90</v>
      </c>
      <c r="D80" s="716">
        <f>$I$11</f>
        <v>9.9999999999999995E-7</v>
      </c>
      <c r="E80" s="728">
        <f>$J$11</f>
        <v>9.9999999999999995E-7</v>
      </c>
      <c r="F80" s="729">
        <f>$K$11</f>
        <v>0</v>
      </c>
      <c r="G80" s="730">
        <f>$L$11</f>
        <v>0.12</v>
      </c>
    </row>
    <row r="81" spans="1:7">
      <c r="A81" s="1058"/>
      <c r="B81" s="716">
        <v>8</v>
      </c>
      <c r="C81" s="716">
        <v>90</v>
      </c>
      <c r="D81" s="716">
        <f>$O$11</f>
        <v>9.9999999999999995E-7</v>
      </c>
      <c r="E81" s="728">
        <f>$P$11</f>
        <v>9.9999999999999995E-7</v>
      </c>
      <c r="F81" s="729">
        <f>$Q$11</f>
        <v>0</v>
      </c>
      <c r="G81" s="730">
        <f>$R$11</f>
        <v>0.12</v>
      </c>
    </row>
    <row r="82" spans="1:7" ht="13.8">
      <c r="A82" s="1058"/>
      <c r="B82" s="710">
        <v>9</v>
      </c>
      <c r="C82" s="710">
        <v>90</v>
      </c>
      <c r="D82" s="716">
        <f>$C$25</f>
        <v>9.9999999999999995E-7</v>
      </c>
      <c r="E82" s="728">
        <f>$D$25</f>
        <v>9.9999999999999995E-7</v>
      </c>
      <c r="F82" s="729">
        <f>$E$25</f>
        <v>0</v>
      </c>
      <c r="G82" s="730">
        <f>$F$25</f>
        <v>0.57999999999999996</v>
      </c>
    </row>
    <row r="83" spans="1:7" ht="13.8">
      <c r="A83" s="1058"/>
      <c r="B83" s="717">
        <v>10</v>
      </c>
      <c r="C83" s="717">
        <v>90</v>
      </c>
      <c r="D83" s="731">
        <f>$I$25</f>
        <v>9.9999999999999995E-7</v>
      </c>
      <c r="E83" s="731">
        <f>$J$25</f>
        <v>9.9999999999999995E-7</v>
      </c>
      <c r="F83" s="732">
        <f>$K$25</f>
        <v>0</v>
      </c>
      <c r="G83" s="733">
        <f>$L$25</f>
        <v>1E-3</v>
      </c>
    </row>
    <row r="84" spans="1:7" ht="13.8">
      <c r="A84" s="1058"/>
      <c r="B84" s="710">
        <v>11</v>
      </c>
      <c r="C84" s="717">
        <v>90</v>
      </c>
      <c r="D84" s="716">
        <f>$O$25</f>
        <v>9.9999999999999995E-7</v>
      </c>
      <c r="E84" s="716">
        <f>$P$25</f>
        <v>9.9999999999999995E-7</v>
      </c>
      <c r="F84" s="729">
        <f>$Q$25</f>
        <v>0</v>
      </c>
      <c r="G84" s="716">
        <f>$R$25</f>
        <v>1E-3</v>
      </c>
    </row>
    <row r="85" spans="1:7" ht="13.8">
      <c r="A85" s="1058"/>
      <c r="B85" s="734">
        <v>12</v>
      </c>
      <c r="C85" s="717">
        <v>90</v>
      </c>
      <c r="D85" s="721">
        <f>$C$39</f>
        <v>9.9999999999999995E-7</v>
      </c>
      <c r="E85" s="721">
        <f>$D$39</f>
        <v>9.9999999999999995E-7</v>
      </c>
      <c r="F85" s="721">
        <f>$E$39</f>
        <v>0</v>
      </c>
      <c r="G85" s="721">
        <f>$F$39</f>
        <v>1E-3</v>
      </c>
    </row>
    <row r="86" spans="1:7" ht="13.8" hidden="1">
      <c r="A86" s="1057">
        <v>120</v>
      </c>
      <c r="B86" s="735">
        <v>1</v>
      </c>
      <c r="C86" s="736">
        <v>120</v>
      </c>
      <c r="D86" s="724">
        <f>$C$12</f>
        <v>9.9999999999999995E-7</v>
      </c>
      <c r="E86" s="725">
        <f>$D$12</f>
        <v>9.9999999999999995E-7</v>
      </c>
      <c r="F86" s="726">
        <f>$E$12</f>
        <v>0</v>
      </c>
      <c r="G86" s="727">
        <f>$F$12</f>
        <v>0.55000000000000004</v>
      </c>
    </row>
    <row r="87" spans="1:7" hidden="1">
      <c r="A87" s="1058"/>
      <c r="B87" s="737">
        <v>2</v>
      </c>
      <c r="C87" s="738">
        <v>120</v>
      </c>
      <c r="D87" s="716">
        <f>$I$12</f>
        <v>9.9999999999999995E-7</v>
      </c>
      <c r="E87" s="728">
        <f>$J$12</f>
        <v>9.9999999999999995E-7</v>
      </c>
      <c r="F87" s="729">
        <f>$K$12</f>
        <v>0</v>
      </c>
      <c r="G87" s="730">
        <f>$L$12</f>
        <v>0.12</v>
      </c>
    </row>
    <row r="88" spans="1:7" hidden="1">
      <c r="A88" s="1058"/>
      <c r="B88" s="737">
        <v>3</v>
      </c>
      <c r="C88" s="738">
        <v>120</v>
      </c>
      <c r="D88" s="716">
        <f>$O$12</f>
        <v>9.9999999999999995E-7</v>
      </c>
      <c r="E88" s="728">
        <f>$P$12</f>
        <v>9.9999999999999995E-7</v>
      </c>
      <c r="F88" s="729">
        <f>$Q$12</f>
        <v>0</v>
      </c>
      <c r="G88" s="730">
        <f>$R$12</f>
        <v>0.12</v>
      </c>
    </row>
    <row r="89" spans="1:7" ht="11.25" hidden="1" customHeight="1">
      <c r="A89" s="1058"/>
      <c r="B89" s="737">
        <v>4</v>
      </c>
      <c r="C89" s="738">
        <v>120</v>
      </c>
      <c r="D89" s="731">
        <f>$C$26</f>
        <v>9.9999999999999995E-7</v>
      </c>
      <c r="E89" s="728">
        <f>$D$26</f>
        <v>9.9999999999999995E-7</v>
      </c>
      <c r="F89" s="729">
        <f>$E$26</f>
        <v>0</v>
      </c>
      <c r="G89" s="730">
        <f>$F$26</f>
        <v>0.57999999999999996</v>
      </c>
    </row>
    <row r="90" spans="1:7" ht="11.25" hidden="1" customHeight="1">
      <c r="A90" s="1058"/>
      <c r="B90" s="737">
        <v>5</v>
      </c>
      <c r="C90" s="738">
        <v>120</v>
      </c>
      <c r="D90" s="716">
        <f>$I$26</f>
        <v>9.9999999999999995E-7</v>
      </c>
      <c r="E90" s="716">
        <f>$J$26</f>
        <v>9.9999999999999995E-7</v>
      </c>
      <c r="F90" s="729">
        <f>$K$26</f>
        <v>0</v>
      </c>
      <c r="G90" s="730">
        <f>$L$26</f>
        <v>1E-3</v>
      </c>
    </row>
    <row r="91" spans="1:7">
      <c r="A91" s="1058"/>
      <c r="B91" s="737">
        <v>6</v>
      </c>
      <c r="C91" s="738">
        <v>120</v>
      </c>
      <c r="D91" s="724">
        <f>$C$12</f>
        <v>9.9999999999999995E-7</v>
      </c>
      <c r="E91" s="725">
        <f>$D$12</f>
        <v>9.9999999999999995E-7</v>
      </c>
      <c r="F91" s="726">
        <f>$E$12</f>
        <v>0</v>
      </c>
      <c r="G91" s="730">
        <f>$F$12</f>
        <v>0.55000000000000004</v>
      </c>
    </row>
    <row r="92" spans="1:7">
      <c r="A92" s="1058"/>
      <c r="B92" s="737">
        <v>7</v>
      </c>
      <c r="C92" s="738">
        <v>120</v>
      </c>
      <c r="D92" s="716">
        <f>$I$12</f>
        <v>9.9999999999999995E-7</v>
      </c>
      <c r="E92" s="728">
        <f>$J$12</f>
        <v>9.9999999999999995E-7</v>
      </c>
      <c r="F92" s="729">
        <f>$K$12</f>
        <v>0</v>
      </c>
      <c r="G92" s="730">
        <f>$L$12</f>
        <v>0.12</v>
      </c>
    </row>
    <row r="93" spans="1:7">
      <c r="A93" s="1058"/>
      <c r="B93" s="737">
        <v>8</v>
      </c>
      <c r="C93" s="738">
        <v>120</v>
      </c>
      <c r="D93" s="716">
        <f>$O$12</f>
        <v>9.9999999999999995E-7</v>
      </c>
      <c r="E93" s="728">
        <f>$P$12</f>
        <v>9.9999999999999995E-7</v>
      </c>
      <c r="F93" s="729">
        <f>$Q$12</f>
        <v>0</v>
      </c>
      <c r="G93" s="730">
        <f>$R$12</f>
        <v>0.12</v>
      </c>
    </row>
    <row r="94" spans="1:7" ht="13.8">
      <c r="A94" s="1058"/>
      <c r="B94" s="739">
        <v>9</v>
      </c>
      <c r="C94" s="738">
        <v>120</v>
      </c>
      <c r="D94" s="716">
        <f>$C$26</f>
        <v>9.9999999999999995E-7</v>
      </c>
      <c r="E94" s="728">
        <f>$D$26</f>
        <v>9.9999999999999995E-7</v>
      </c>
      <c r="F94" s="729">
        <f>$E$26</f>
        <v>0</v>
      </c>
      <c r="G94" s="730">
        <f>$F$26</f>
        <v>0.57999999999999996</v>
      </c>
    </row>
    <row r="95" spans="1:7" ht="13.8">
      <c r="A95" s="1058"/>
      <c r="B95" s="740">
        <v>10</v>
      </c>
      <c r="C95" s="741">
        <v>120</v>
      </c>
      <c r="D95" s="731">
        <f>$I$26</f>
        <v>9.9999999999999995E-7</v>
      </c>
      <c r="E95" s="742">
        <f>$J$26</f>
        <v>9.9999999999999995E-7</v>
      </c>
      <c r="F95" s="732">
        <f>$K$26</f>
        <v>0</v>
      </c>
      <c r="G95" s="733">
        <f>$L$26</f>
        <v>1E-3</v>
      </c>
    </row>
    <row r="96" spans="1:7" ht="13.8">
      <c r="A96" s="1058"/>
      <c r="B96" s="710">
        <v>11</v>
      </c>
      <c r="C96" s="741">
        <v>120</v>
      </c>
      <c r="D96" s="716">
        <f>$O$26</f>
        <v>9.9999999999999995E-7</v>
      </c>
      <c r="E96" s="716">
        <f>$P$26</f>
        <v>9.9999999999999995E-7</v>
      </c>
      <c r="F96" s="729">
        <f>$Q$26</f>
        <v>0</v>
      </c>
      <c r="G96" s="716">
        <f>$R$26</f>
        <v>1E-3</v>
      </c>
    </row>
    <row r="97" spans="1:7" ht="13.8" thickBot="1">
      <c r="A97" s="1059"/>
      <c r="B97" s="721">
        <v>12</v>
      </c>
      <c r="C97" s="741">
        <v>120</v>
      </c>
      <c r="D97" s="721">
        <f>$C$40</f>
        <v>9.9999999999999995E-7</v>
      </c>
      <c r="E97" s="721">
        <f>$D$40</f>
        <v>9.9999999999999995E-7</v>
      </c>
      <c r="F97" s="721">
        <f>$E$40</f>
        <v>0</v>
      </c>
      <c r="G97" s="721">
        <f>$F$40</f>
        <v>1E-3</v>
      </c>
    </row>
    <row r="98" spans="1:7" ht="13.8" hidden="1">
      <c r="A98" s="1058">
        <v>150</v>
      </c>
      <c r="B98" s="723">
        <v>1</v>
      </c>
      <c r="C98" s="724">
        <v>150</v>
      </c>
      <c r="D98" s="724">
        <f>$C$13</f>
        <v>9.9999999999999995E-7</v>
      </c>
      <c r="E98" s="725">
        <f>$D$13</f>
        <v>9.9999999999999995E-7</v>
      </c>
      <c r="F98" s="726">
        <f>$E$13</f>
        <v>0</v>
      </c>
      <c r="G98" s="727">
        <f>$F$13</f>
        <v>0.55000000000000004</v>
      </c>
    </row>
    <row r="99" spans="1:7" hidden="1">
      <c r="A99" s="1058"/>
      <c r="B99" s="716">
        <v>2</v>
      </c>
      <c r="C99" s="716">
        <v>150</v>
      </c>
      <c r="D99" s="716">
        <f>$I$13</f>
        <v>9.9999999999999995E-7</v>
      </c>
      <c r="E99" s="728">
        <f>$J$13</f>
        <v>9.9999999999999995E-7</v>
      </c>
      <c r="F99" s="729">
        <f>$K$13</f>
        <v>0</v>
      </c>
      <c r="G99" s="730">
        <f>$L$13</f>
        <v>0.12</v>
      </c>
    </row>
    <row r="100" spans="1:7" hidden="1">
      <c r="A100" s="1058"/>
      <c r="B100" s="716">
        <v>3</v>
      </c>
      <c r="C100" s="716">
        <v>150</v>
      </c>
      <c r="D100" s="716">
        <f>$O$13</f>
        <v>9.9999999999999995E-7</v>
      </c>
      <c r="E100" s="728">
        <f>$P$13</f>
        <v>9.9999999999999995E-7</v>
      </c>
      <c r="F100" s="729">
        <f>$Q$13</f>
        <v>0</v>
      </c>
      <c r="G100" s="730">
        <f>$R$13</f>
        <v>0.12</v>
      </c>
    </row>
    <row r="101" spans="1:7" hidden="1">
      <c r="A101" s="1058"/>
      <c r="B101" s="716">
        <v>4</v>
      </c>
      <c r="C101" s="716">
        <v>150</v>
      </c>
      <c r="D101" s="716">
        <f>$C$27</f>
        <v>9.9999999999999995E-7</v>
      </c>
      <c r="E101" s="728">
        <f>$D$27</f>
        <v>9.9999999999999995E-7</v>
      </c>
      <c r="F101" s="729">
        <f>$E$27</f>
        <v>0</v>
      </c>
      <c r="G101" s="730">
        <f>$F$27</f>
        <v>0.57999999999999996</v>
      </c>
    </row>
    <row r="102" spans="1:7" hidden="1">
      <c r="A102" s="1058"/>
      <c r="B102" s="716">
        <v>5</v>
      </c>
      <c r="C102" s="716">
        <v>150</v>
      </c>
      <c r="D102" s="716">
        <f>$I$27</f>
        <v>9.9999999999999995E-7</v>
      </c>
      <c r="E102" s="716">
        <f>$J$27</f>
        <v>9.9999999999999995E-7</v>
      </c>
      <c r="F102" s="729">
        <f>$K$27</f>
        <v>0</v>
      </c>
      <c r="G102" s="730">
        <f>$L$27</f>
        <v>1E-3</v>
      </c>
    </row>
    <row r="103" spans="1:7">
      <c r="A103" s="1058"/>
      <c r="B103" s="716">
        <v>6</v>
      </c>
      <c r="C103" s="716">
        <v>150</v>
      </c>
      <c r="D103" s="724">
        <f>$C$13</f>
        <v>9.9999999999999995E-7</v>
      </c>
      <c r="E103" s="725">
        <f>$D$13</f>
        <v>9.9999999999999995E-7</v>
      </c>
      <c r="F103" s="726">
        <f>$E$13</f>
        <v>0</v>
      </c>
      <c r="G103" s="727">
        <f>$F$13</f>
        <v>0.55000000000000004</v>
      </c>
    </row>
    <row r="104" spans="1:7">
      <c r="A104" s="1058"/>
      <c r="B104" s="716">
        <v>7</v>
      </c>
      <c r="C104" s="716">
        <v>150</v>
      </c>
      <c r="D104" s="716">
        <f>$I$13</f>
        <v>9.9999999999999995E-7</v>
      </c>
      <c r="E104" s="728">
        <f>$J$13</f>
        <v>9.9999999999999995E-7</v>
      </c>
      <c r="F104" s="729">
        <f>$K$13</f>
        <v>0</v>
      </c>
      <c r="G104" s="730">
        <f>$L$13</f>
        <v>0.12</v>
      </c>
    </row>
    <row r="105" spans="1:7">
      <c r="A105" s="1058"/>
      <c r="B105" s="716">
        <v>8</v>
      </c>
      <c r="C105" s="716">
        <v>150</v>
      </c>
      <c r="D105" s="716">
        <f>$O$13</f>
        <v>9.9999999999999995E-7</v>
      </c>
      <c r="E105" s="728">
        <f>$P$13</f>
        <v>9.9999999999999995E-7</v>
      </c>
      <c r="F105" s="729">
        <f>$Q$13</f>
        <v>0</v>
      </c>
      <c r="G105" s="730">
        <f>$R$13</f>
        <v>0.12</v>
      </c>
    </row>
    <row r="106" spans="1:7" ht="13.8">
      <c r="A106" s="1058"/>
      <c r="B106" s="710">
        <v>9</v>
      </c>
      <c r="C106" s="710">
        <v>150</v>
      </c>
      <c r="D106" s="716">
        <f>$C$27</f>
        <v>9.9999999999999995E-7</v>
      </c>
      <c r="E106" s="728">
        <f>$D$27</f>
        <v>9.9999999999999995E-7</v>
      </c>
      <c r="F106" s="729">
        <f>$E$27</f>
        <v>0</v>
      </c>
      <c r="G106" s="730">
        <f>$F$27</f>
        <v>0.57999999999999996</v>
      </c>
    </row>
    <row r="107" spans="1:7" ht="13.8">
      <c r="A107" s="1058"/>
      <c r="B107" s="717">
        <v>10</v>
      </c>
      <c r="C107" s="717">
        <v>150</v>
      </c>
      <c r="D107" s="731">
        <f>$I$27</f>
        <v>9.9999999999999995E-7</v>
      </c>
      <c r="E107" s="731">
        <f>$J$27</f>
        <v>9.9999999999999995E-7</v>
      </c>
      <c r="F107" s="732">
        <f>$K$27</f>
        <v>0</v>
      </c>
      <c r="G107" s="733">
        <f>$L$27</f>
        <v>1E-3</v>
      </c>
    </row>
    <row r="108" spans="1:7" ht="13.8">
      <c r="A108" s="1058"/>
      <c r="B108" s="710">
        <v>11</v>
      </c>
      <c r="C108" s="717">
        <v>150</v>
      </c>
      <c r="D108" s="716">
        <f>$O$27</f>
        <v>9.9999999999999995E-7</v>
      </c>
      <c r="E108" s="716">
        <f>$P$27</f>
        <v>9.9999999999999995E-7</v>
      </c>
      <c r="F108" s="729">
        <f>$Q$27</f>
        <v>0</v>
      </c>
      <c r="G108" s="716">
        <f>$R$27</f>
        <v>1E-3</v>
      </c>
    </row>
    <row r="109" spans="1:7" ht="14.4" thickBot="1">
      <c r="A109" s="1059"/>
      <c r="B109" s="721">
        <v>12</v>
      </c>
      <c r="C109" s="717">
        <v>150</v>
      </c>
      <c r="D109" s="721">
        <f>$C$41</f>
        <v>9.9999999999999995E-7</v>
      </c>
      <c r="E109" s="721">
        <f>$D$41</f>
        <v>9.9999999999999995E-7</v>
      </c>
      <c r="F109" s="721">
        <f>$E$41</f>
        <v>0</v>
      </c>
      <c r="G109" s="721">
        <f>$F$41</f>
        <v>1E-3</v>
      </c>
    </row>
    <row r="110" spans="1:7" ht="13.8" hidden="1">
      <c r="A110" s="1057">
        <v>180</v>
      </c>
      <c r="B110" s="723">
        <v>1</v>
      </c>
      <c r="C110" s="724">
        <v>180</v>
      </c>
      <c r="D110" s="724">
        <f>$C$14</f>
        <v>9.9999999999999995E-7</v>
      </c>
      <c r="E110" s="725">
        <f>$D$14</f>
        <v>9.9999999999999995E-7</v>
      </c>
      <c r="F110" s="726">
        <f>$E$14</f>
        <v>0</v>
      </c>
      <c r="G110" s="727">
        <f>$F$14</f>
        <v>0.55000000000000004</v>
      </c>
    </row>
    <row r="111" spans="1:7" hidden="1">
      <c r="A111" s="1058"/>
      <c r="B111" s="716">
        <v>2</v>
      </c>
      <c r="C111" s="716">
        <v>180</v>
      </c>
      <c r="D111" s="716">
        <f>$I$14</f>
        <v>9.9999999999999995E-7</v>
      </c>
      <c r="E111" s="728">
        <f>$J$14</f>
        <v>9.9999999999999995E-7</v>
      </c>
      <c r="F111" s="729">
        <f>$K$14</f>
        <v>0</v>
      </c>
      <c r="G111" s="730">
        <f>$L$14</f>
        <v>0.12</v>
      </c>
    </row>
    <row r="112" spans="1:7" hidden="1">
      <c r="A112" s="1058"/>
      <c r="B112" s="716">
        <v>3</v>
      </c>
      <c r="C112" s="716">
        <v>180</v>
      </c>
      <c r="D112" s="716">
        <f>$O$14</f>
        <v>9.9999999999999995E-7</v>
      </c>
      <c r="E112" s="728">
        <f>$P$14</f>
        <v>9.9999999999999995E-7</v>
      </c>
      <c r="F112" s="729">
        <f>$Q$14</f>
        <v>0</v>
      </c>
      <c r="G112" s="730">
        <f>$R$14</f>
        <v>0.12</v>
      </c>
    </row>
    <row r="113" spans="1:7" hidden="1">
      <c r="A113" s="1058"/>
      <c r="B113" s="716">
        <v>4</v>
      </c>
      <c r="C113" s="716">
        <v>180</v>
      </c>
      <c r="D113" s="716">
        <f>$C$28</f>
        <v>9.9999999999999995E-7</v>
      </c>
      <c r="E113" s="728">
        <f>$D$28</f>
        <v>9.9999999999999995E-7</v>
      </c>
      <c r="F113" s="729">
        <f>$E$28</f>
        <v>0</v>
      </c>
      <c r="G113" s="730">
        <f>$F$28</f>
        <v>0.57999999999999996</v>
      </c>
    </row>
    <row r="114" spans="1:7" hidden="1">
      <c r="A114" s="1058"/>
      <c r="B114" s="716">
        <v>5</v>
      </c>
      <c r="C114" s="716">
        <v>180</v>
      </c>
      <c r="D114" s="716">
        <f>$I$28</f>
        <v>9.9999999999999995E-7</v>
      </c>
      <c r="E114" s="716">
        <f>$J$28</f>
        <v>9.9999999999999995E-7</v>
      </c>
      <c r="F114" s="729">
        <f>$K$42</f>
        <v>0</v>
      </c>
      <c r="G114" s="730">
        <f>$L$28</f>
        <v>1E-3</v>
      </c>
    </row>
    <row r="115" spans="1:7">
      <c r="A115" s="1058"/>
      <c r="B115" s="716">
        <v>6</v>
      </c>
      <c r="C115" s="716">
        <v>180</v>
      </c>
      <c r="D115" s="724">
        <f>$C$14</f>
        <v>9.9999999999999995E-7</v>
      </c>
      <c r="E115" s="725">
        <f>$D$14</f>
        <v>9.9999999999999995E-7</v>
      </c>
      <c r="F115" s="726">
        <f>$E$14</f>
        <v>0</v>
      </c>
      <c r="G115" s="727">
        <f>$F$14</f>
        <v>0.55000000000000004</v>
      </c>
    </row>
    <row r="116" spans="1:7">
      <c r="A116" s="1058"/>
      <c r="B116" s="716">
        <v>7</v>
      </c>
      <c r="C116" s="716">
        <v>180</v>
      </c>
      <c r="D116" s="716">
        <f>$I$14</f>
        <v>9.9999999999999995E-7</v>
      </c>
      <c r="E116" s="728">
        <f>$J$14</f>
        <v>9.9999999999999995E-7</v>
      </c>
      <c r="F116" s="729">
        <f>$K$14</f>
        <v>0</v>
      </c>
      <c r="G116" s="730">
        <f>$L$14</f>
        <v>0.12</v>
      </c>
    </row>
    <row r="117" spans="1:7">
      <c r="A117" s="1058"/>
      <c r="B117" s="716">
        <v>8</v>
      </c>
      <c r="C117" s="716">
        <v>180</v>
      </c>
      <c r="D117" s="716">
        <f>$O$14</f>
        <v>9.9999999999999995E-7</v>
      </c>
      <c r="E117" s="728">
        <f>$P$14</f>
        <v>9.9999999999999995E-7</v>
      </c>
      <c r="F117" s="729">
        <f>$Q$14</f>
        <v>0</v>
      </c>
      <c r="G117" s="730">
        <f>$R$14</f>
        <v>0.12</v>
      </c>
    </row>
    <row r="118" spans="1:7" ht="13.8">
      <c r="A118" s="1058"/>
      <c r="B118" s="710">
        <v>9</v>
      </c>
      <c r="C118" s="710">
        <v>180</v>
      </c>
      <c r="D118" s="716">
        <f>$C$28</f>
        <v>9.9999999999999995E-7</v>
      </c>
      <c r="E118" s="728">
        <f>$D$28</f>
        <v>9.9999999999999995E-7</v>
      </c>
      <c r="F118" s="729">
        <f>$E$28</f>
        <v>0</v>
      </c>
      <c r="G118" s="730">
        <f>$F$28</f>
        <v>0.57999999999999996</v>
      </c>
    </row>
    <row r="119" spans="1:7" ht="13.8">
      <c r="A119" s="1058"/>
      <c r="B119" s="717">
        <v>10</v>
      </c>
      <c r="C119" s="717">
        <v>180</v>
      </c>
      <c r="D119" s="731">
        <f>$I$28</f>
        <v>9.9999999999999995E-7</v>
      </c>
      <c r="E119" s="731">
        <f>$J$28</f>
        <v>9.9999999999999995E-7</v>
      </c>
      <c r="F119" s="732">
        <f>$K$42</f>
        <v>0</v>
      </c>
      <c r="G119" s="733">
        <f>$L$28</f>
        <v>1E-3</v>
      </c>
    </row>
    <row r="120" spans="1:7" ht="13.8">
      <c r="A120" s="1058"/>
      <c r="B120" s="710">
        <v>11</v>
      </c>
      <c r="C120" s="717">
        <v>180</v>
      </c>
      <c r="D120" s="716">
        <f>$O$28</f>
        <v>9.9999999999999995E-7</v>
      </c>
      <c r="E120" s="716">
        <f>$P$28</f>
        <v>9.9999999999999995E-7</v>
      </c>
      <c r="F120" s="729">
        <f>$Q$28</f>
        <v>0</v>
      </c>
      <c r="G120" s="716">
        <f>$R$28</f>
        <v>1E-3</v>
      </c>
    </row>
    <row r="121" spans="1:7" ht="14.4" thickBot="1">
      <c r="A121" s="1059"/>
      <c r="B121" s="721">
        <v>12</v>
      </c>
      <c r="C121" s="717">
        <v>180</v>
      </c>
      <c r="D121" s="721">
        <f>$C$42</f>
        <v>9.9999999999999995E-7</v>
      </c>
      <c r="E121" s="721">
        <f>$D$42</f>
        <v>9.9999999999999995E-7</v>
      </c>
      <c r="F121" s="721">
        <f>$E$42</f>
        <v>0</v>
      </c>
      <c r="G121" s="721">
        <f>$F$42</f>
        <v>1E-3</v>
      </c>
    </row>
    <row r="122" spans="1:7" ht="13.8" hidden="1">
      <c r="A122" s="1057">
        <v>210</v>
      </c>
      <c r="B122" s="723">
        <v>1</v>
      </c>
      <c r="C122" s="724">
        <v>210</v>
      </c>
      <c r="D122" s="724">
        <f>$C$15</f>
        <v>9.9999999999999995E-7</v>
      </c>
      <c r="E122" s="725">
        <f>$D$15</f>
        <v>9.9999999999999995E-7</v>
      </c>
      <c r="F122" s="726">
        <f>$E$15</f>
        <v>0</v>
      </c>
      <c r="G122" s="727">
        <f>$F$15</f>
        <v>0.55000000000000004</v>
      </c>
    </row>
    <row r="123" spans="1:7" hidden="1">
      <c r="A123" s="1058"/>
      <c r="B123" s="716">
        <v>2</v>
      </c>
      <c r="C123" s="716">
        <v>210</v>
      </c>
      <c r="D123" s="716">
        <f>$I$15</f>
        <v>9.9999999999999995E-7</v>
      </c>
      <c r="E123" s="728">
        <f>$J$15</f>
        <v>9.9999999999999995E-7</v>
      </c>
      <c r="F123" s="729">
        <f>$K$15</f>
        <v>0</v>
      </c>
      <c r="G123" s="730">
        <f>$L$15</f>
        <v>0.12</v>
      </c>
    </row>
    <row r="124" spans="1:7" hidden="1">
      <c r="A124" s="1058"/>
      <c r="B124" s="716">
        <v>3</v>
      </c>
      <c r="C124" s="716">
        <v>210</v>
      </c>
      <c r="D124" s="716">
        <f>$O$15</f>
        <v>9.9999999999999995E-7</v>
      </c>
      <c r="E124" s="728">
        <f>$P$15</f>
        <v>9.9999999999999995E-7</v>
      </c>
      <c r="F124" s="729">
        <f>$Q$15</f>
        <v>0</v>
      </c>
      <c r="G124" s="730">
        <f>$R$15</f>
        <v>0.12</v>
      </c>
    </row>
    <row r="125" spans="1:7" hidden="1">
      <c r="A125" s="1058"/>
      <c r="B125" s="716">
        <v>4</v>
      </c>
      <c r="C125" s="716">
        <v>210</v>
      </c>
      <c r="D125" s="716">
        <f>$C$29</f>
        <v>9.9999999999999995E-7</v>
      </c>
      <c r="E125" s="728">
        <f>$D$29</f>
        <v>9.9999999999999995E-7</v>
      </c>
      <c r="F125" s="729">
        <f>$E$29</f>
        <v>0</v>
      </c>
      <c r="G125" s="730">
        <f>$F$29</f>
        <v>0.57999999999999996</v>
      </c>
    </row>
    <row r="126" spans="1:7" hidden="1">
      <c r="A126" s="1058"/>
      <c r="B126" s="716">
        <v>5</v>
      </c>
      <c r="C126" s="716">
        <v>210</v>
      </c>
      <c r="D126" s="716">
        <f>$I$29</f>
        <v>9.9999999999999995E-7</v>
      </c>
      <c r="E126" s="716">
        <f>$J$29</f>
        <v>9.9999999999999995E-7</v>
      </c>
      <c r="F126" s="729">
        <f>$K$29</f>
        <v>0</v>
      </c>
      <c r="G126" s="730">
        <f>$L$29</f>
        <v>1E-3</v>
      </c>
    </row>
    <row r="127" spans="1:7">
      <c r="A127" s="1058"/>
      <c r="B127" s="716">
        <v>6</v>
      </c>
      <c r="C127" s="716">
        <v>210</v>
      </c>
      <c r="D127" s="724">
        <f>$C$15</f>
        <v>9.9999999999999995E-7</v>
      </c>
      <c r="E127" s="725">
        <f>$D$15</f>
        <v>9.9999999999999995E-7</v>
      </c>
      <c r="F127" s="726">
        <f>$E$15</f>
        <v>0</v>
      </c>
      <c r="G127" s="727">
        <f>$F$15</f>
        <v>0.55000000000000004</v>
      </c>
    </row>
    <row r="128" spans="1:7">
      <c r="A128" s="1058"/>
      <c r="B128" s="716">
        <v>7</v>
      </c>
      <c r="C128" s="716">
        <v>210</v>
      </c>
      <c r="D128" s="716">
        <f>$I$15</f>
        <v>9.9999999999999995E-7</v>
      </c>
      <c r="E128" s="728">
        <f>$J$15</f>
        <v>9.9999999999999995E-7</v>
      </c>
      <c r="F128" s="729">
        <f>$K$15</f>
        <v>0</v>
      </c>
      <c r="G128" s="730">
        <f>$L$15</f>
        <v>0.12</v>
      </c>
    </row>
    <row r="129" spans="1:7">
      <c r="A129" s="1058"/>
      <c r="B129" s="716">
        <v>8</v>
      </c>
      <c r="C129" s="716">
        <v>210</v>
      </c>
      <c r="D129" s="716">
        <f>$O$15</f>
        <v>9.9999999999999995E-7</v>
      </c>
      <c r="E129" s="728">
        <f>$P$15</f>
        <v>9.9999999999999995E-7</v>
      </c>
      <c r="F129" s="729">
        <f>$Q$15</f>
        <v>0</v>
      </c>
      <c r="G129" s="730">
        <f>$R$15</f>
        <v>0.12</v>
      </c>
    </row>
    <row r="130" spans="1:7" ht="13.8">
      <c r="A130" s="1058"/>
      <c r="B130" s="710">
        <v>9</v>
      </c>
      <c r="C130" s="710">
        <v>210</v>
      </c>
      <c r="D130" s="716">
        <f>$C$29</f>
        <v>9.9999999999999995E-7</v>
      </c>
      <c r="E130" s="728">
        <f>$D$29</f>
        <v>9.9999999999999995E-7</v>
      </c>
      <c r="F130" s="729">
        <f>$E$29</f>
        <v>0</v>
      </c>
      <c r="G130" s="730">
        <f>$F$29</f>
        <v>0.57999999999999996</v>
      </c>
    </row>
    <row r="131" spans="1:7" ht="13.8">
      <c r="A131" s="1058"/>
      <c r="B131" s="717">
        <v>10</v>
      </c>
      <c r="C131" s="717">
        <v>210</v>
      </c>
      <c r="D131" s="731">
        <f>$I$29</f>
        <v>9.9999999999999995E-7</v>
      </c>
      <c r="E131" s="731">
        <f>$J$29</f>
        <v>9.9999999999999995E-7</v>
      </c>
      <c r="F131" s="732">
        <f>$K$29</f>
        <v>0</v>
      </c>
      <c r="G131" s="733">
        <f>$L$29</f>
        <v>1E-3</v>
      </c>
    </row>
    <row r="132" spans="1:7" ht="13.8">
      <c r="A132" s="1058"/>
      <c r="B132" s="710">
        <v>11</v>
      </c>
      <c r="C132" s="717">
        <v>210</v>
      </c>
      <c r="D132" s="716">
        <f>$O$29</f>
        <v>9.9999999999999995E-7</v>
      </c>
      <c r="E132" s="716">
        <f>$P$29</f>
        <v>9.9999999999999995E-7</v>
      </c>
      <c r="F132" s="729">
        <f>$Q$29</f>
        <v>0</v>
      </c>
      <c r="G132" s="716">
        <f>$R$29</f>
        <v>1E-3</v>
      </c>
    </row>
    <row r="133" spans="1:7" ht="14.4" thickBot="1">
      <c r="A133" s="1059"/>
      <c r="B133" s="721">
        <v>12</v>
      </c>
      <c r="C133" s="717">
        <v>210</v>
      </c>
      <c r="D133" s="721">
        <f>$C$43</f>
        <v>9.9999999999999995E-7</v>
      </c>
      <c r="E133" s="721">
        <f>$D$43</f>
        <v>9.9999999999999995E-7</v>
      </c>
      <c r="F133" s="721">
        <f>$E$43</f>
        <v>0</v>
      </c>
      <c r="G133" s="721">
        <f>$F$43</f>
        <v>1E-3</v>
      </c>
    </row>
    <row r="134" spans="1:7" ht="13.8" hidden="1">
      <c r="A134" s="1057">
        <v>240</v>
      </c>
      <c r="B134" s="723">
        <v>1</v>
      </c>
      <c r="C134" s="724">
        <v>240</v>
      </c>
      <c r="D134" s="724">
        <f>$C$16</f>
        <v>9.9999999999999995E-7</v>
      </c>
      <c r="E134" s="725">
        <f>$D$16</f>
        <v>9.9999999999999995E-7</v>
      </c>
      <c r="F134" s="726">
        <f>$E$16</f>
        <v>0</v>
      </c>
      <c r="G134" s="727">
        <f>$F$16</f>
        <v>0.55000000000000004</v>
      </c>
    </row>
    <row r="135" spans="1:7" hidden="1">
      <c r="A135" s="1058"/>
      <c r="B135" s="716">
        <v>2</v>
      </c>
      <c r="C135" s="716">
        <v>240</v>
      </c>
      <c r="D135" s="716">
        <f>$I$16</f>
        <v>9.9999999999999995E-7</v>
      </c>
      <c r="E135" s="728">
        <f>$J$16</f>
        <v>9.9999999999999995E-7</v>
      </c>
      <c r="F135" s="729">
        <f>$K$16</f>
        <v>0</v>
      </c>
      <c r="G135" s="730">
        <f>$L$16</f>
        <v>0.12</v>
      </c>
    </row>
    <row r="136" spans="1:7" hidden="1">
      <c r="A136" s="1058"/>
      <c r="B136" s="716">
        <v>3</v>
      </c>
      <c r="C136" s="716">
        <v>240</v>
      </c>
      <c r="D136" s="716">
        <f>$O$16</f>
        <v>9.9999999999999995E-7</v>
      </c>
      <c r="E136" s="728">
        <f>$P$16</f>
        <v>9.9999999999999995E-7</v>
      </c>
      <c r="F136" s="729">
        <f>$Q$16</f>
        <v>0</v>
      </c>
      <c r="G136" s="730">
        <f>$R$16</f>
        <v>0.12</v>
      </c>
    </row>
    <row r="137" spans="1:7" hidden="1">
      <c r="A137" s="1058"/>
      <c r="B137" s="716">
        <v>4</v>
      </c>
      <c r="C137" s="716">
        <v>240</v>
      </c>
      <c r="D137" s="716">
        <f>$C$30</f>
        <v>9.9999999999999995E-7</v>
      </c>
      <c r="E137" s="728">
        <f>$D$30</f>
        <v>9.9999999999999995E-7</v>
      </c>
      <c r="F137" s="729">
        <f>$E$30</f>
        <v>0</v>
      </c>
      <c r="G137" s="730">
        <f>$F$30</f>
        <v>0.57999999999999996</v>
      </c>
    </row>
    <row r="138" spans="1:7" hidden="1">
      <c r="A138" s="1058"/>
      <c r="B138" s="716">
        <v>5</v>
      </c>
      <c r="C138" s="716">
        <v>240</v>
      </c>
      <c r="D138" s="716">
        <f>$I$30</f>
        <v>9.9999999999999995E-7</v>
      </c>
      <c r="E138" s="716">
        <f>$J$30</f>
        <v>9.9999999999999995E-7</v>
      </c>
      <c r="F138" s="729">
        <f>$K$30</f>
        <v>0</v>
      </c>
      <c r="G138" s="730">
        <f>$L$30</f>
        <v>1E-3</v>
      </c>
    </row>
    <row r="139" spans="1:7">
      <c r="A139" s="1058"/>
      <c r="B139" s="716">
        <v>6</v>
      </c>
      <c r="C139" s="716">
        <v>240</v>
      </c>
      <c r="D139" s="724">
        <f>$C$16</f>
        <v>9.9999999999999995E-7</v>
      </c>
      <c r="E139" s="725">
        <f>$D$16</f>
        <v>9.9999999999999995E-7</v>
      </c>
      <c r="F139" s="726">
        <f>$E$16</f>
        <v>0</v>
      </c>
      <c r="G139" s="727">
        <f>$F$16</f>
        <v>0.55000000000000004</v>
      </c>
    </row>
    <row r="140" spans="1:7">
      <c r="A140" s="1058"/>
      <c r="B140" s="716">
        <v>7</v>
      </c>
      <c r="C140" s="716">
        <v>240</v>
      </c>
      <c r="D140" s="716">
        <f>$I$16</f>
        <v>9.9999999999999995E-7</v>
      </c>
      <c r="E140" s="728">
        <f>$J$16</f>
        <v>9.9999999999999995E-7</v>
      </c>
      <c r="F140" s="729">
        <f>$K$16</f>
        <v>0</v>
      </c>
      <c r="G140" s="730">
        <f>$L$16</f>
        <v>0.12</v>
      </c>
    </row>
    <row r="141" spans="1:7">
      <c r="A141" s="1058"/>
      <c r="B141" s="716">
        <v>8</v>
      </c>
      <c r="C141" s="716">
        <v>240</v>
      </c>
      <c r="D141" s="716">
        <f>$O$16</f>
        <v>9.9999999999999995E-7</v>
      </c>
      <c r="E141" s="728">
        <f>$P$16</f>
        <v>9.9999999999999995E-7</v>
      </c>
      <c r="F141" s="729">
        <f>$Q$16</f>
        <v>0</v>
      </c>
      <c r="G141" s="730">
        <f>$R$16</f>
        <v>0.12</v>
      </c>
    </row>
    <row r="142" spans="1:7" ht="13.8">
      <c r="A142" s="1058"/>
      <c r="B142" s="710">
        <v>9</v>
      </c>
      <c r="C142" s="710">
        <v>240</v>
      </c>
      <c r="D142" s="716">
        <f>$C$30</f>
        <v>9.9999999999999995E-7</v>
      </c>
      <c r="E142" s="728">
        <f>$D$30</f>
        <v>9.9999999999999995E-7</v>
      </c>
      <c r="F142" s="729">
        <f>$E$30</f>
        <v>0</v>
      </c>
      <c r="G142" s="730">
        <f>$F$30</f>
        <v>0.57999999999999996</v>
      </c>
    </row>
    <row r="143" spans="1:7" ht="13.8">
      <c r="A143" s="1058"/>
      <c r="B143" s="717">
        <v>10</v>
      </c>
      <c r="C143" s="717">
        <v>240</v>
      </c>
      <c r="D143" s="731">
        <f>$I$30</f>
        <v>9.9999999999999995E-7</v>
      </c>
      <c r="E143" s="731">
        <f>$J$30</f>
        <v>9.9999999999999995E-7</v>
      </c>
      <c r="F143" s="732">
        <f>$K$30</f>
        <v>0</v>
      </c>
      <c r="G143" s="733">
        <f>$L$30</f>
        <v>1E-3</v>
      </c>
    </row>
    <row r="144" spans="1:7" ht="13.8">
      <c r="A144" s="1058"/>
      <c r="B144" s="710">
        <v>11</v>
      </c>
      <c r="C144" s="717">
        <v>240</v>
      </c>
      <c r="D144" s="716">
        <f>$O$30</f>
        <v>9.9999999999999995E-7</v>
      </c>
      <c r="E144" s="716">
        <f>$P$30</f>
        <v>9.9999999999999995E-7</v>
      </c>
      <c r="F144" s="729">
        <f>$Q$30</f>
        <v>0</v>
      </c>
      <c r="G144" s="716">
        <f>$R$30</f>
        <v>1E-3</v>
      </c>
    </row>
    <row r="145" spans="1:7" ht="14.4" thickBot="1">
      <c r="A145" s="1059"/>
      <c r="B145" s="721">
        <v>12</v>
      </c>
      <c r="C145" s="710">
        <v>240</v>
      </c>
      <c r="D145" s="721">
        <f>$C$44</f>
        <v>9.9999999999999995E-7</v>
      </c>
      <c r="E145" s="721">
        <f>$D$44</f>
        <v>9.9999999999999995E-7</v>
      </c>
      <c r="F145" s="721">
        <f>$E$44</f>
        <v>0</v>
      </c>
      <c r="G145" s="721">
        <f>$F$44</f>
        <v>1E-3</v>
      </c>
    </row>
    <row r="148" spans="1:7">
      <c r="A148" s="743"/>
      <c r="B148" s="743"/>
      <c r="C148" s="743"/>
      <c r="D148" s="743"/>
      <c r="E148" s="743"/>
    </row>
    <row r="149" spans="1:7" s="627" customFormat="1" ht="42" customHeight="1">
      <c r="A149" s="744">
        <f>cetik!C1</f>
        <v>11</v>
      </c>
      <c r="B149" s="1067" t="str">
        <f>cetik!B1</f>
        <v>Fetal Simulator, Merek : Fluke Biomedical, Model : PS 320, SN : 4662032</v>
      </c>
      <c r="C149" s="1068"/>
      <c r="D149" s="1068"/>
      <c r="E149" s="1069"/>
      <c r="F149" s="621"/>
    </row>
    <row r="150" spans="1:7">
      <c r="A150" s="1051" t="s">
        <v>308</v>
      </c>
      <c r="B150" s="1051"/>
      <c r="C150" s="1051"/>
      <c r="D150" s="1051"/>
      <c r="E150" s="1051"/>
    </row>
    <row r="151" spans="1:7">
      <c r="A151" s="1052" t="s">
        <v>309</v>
      </c>
      <c r="B151" s="1053"/>
      <c r="C151" s="1054"/>
      <c r="D151" s="1055" t="s">
        <v>244</v>
      </c>
      <c r="E151" s="1055" t="s">
        <v>94</v>
      </c>
    </row>
    <row r="152" spans="1:7">
      <c r="A152" s="721" t="s">
        <v>65</v>
      </c>
      <c r="B152" s="721">
        <v>2018</v>
      </c>
      <c r="C152" s="721">
        <v>2019</v>
      </c>
      <c r="D152" s="1056"/>
      <c r="E152" s="1056"/>
    </row>
    <row r="153" spans="1:7">
      <c r="A153" s="721">
        <v>0</v>
      </c>
      <c r="B153" s="721">
        <v>9.9999999999999995E-7</v>
      </c>
      <c r="C153" s="721">
        <v>9.9999999999999995E-7</v>
      </c>
      <c r="D153" s="721">
        <v>9.9999999999999995E-7</v>
      </c>
      <c r="E153" s="748">
        <v>9.9999999999999995E-7</v>
      </c>
    </row>
    <row r="154" spans="1:7">
      <c r="A154" s="721">
        <v>30</v>
      </c>
      <c r="B154" s="622">
        <f>VLOOKUP($A$149,$B$50:$G$61,3,FALSE)</f>
        <v>9.9999999999999995E-7</v>
      </c>
      <c r="C154" s="622">
        <f>VLOOKUP($A$149,B50:G61,4,FALSE)</f>
        <v>9.9999999999999995E-7</v>
      </c>
      <c r="D154" s="721">
        <f>1/3*E154</f>
        <v>3.3333333333333332E-4</v>
      </c>
      <c r="E154" s="622">
        <f>VLOOKUP($A$149,B50:G66,6,(FALSE))</f>
        <v>1E-3</v>
      </c>
    </row>
    <row r="155" spans="1:7">
      <c r="A155" s="721">
        <v>60</v>
      </c>
      <c r="B155" s="622">
        <f>VLOOKUP($A$149,B62:G78,3,FALSE)</f>
        <v>9.9999999999999995E-7</v>
      </c>
      <c r="C155" s="702">
        <f>VLOOKUP($A$149,B62:G78,4,FALSE)</f>
        <v>9.9999999999999995E-7</v>
      </c>
      <c r="D155" s="721">
        <f t="shared" ref="D155:D161" si="9">1/3*E155</f>
        <v>3.3333333333333332E-4</v>
      </c>
      <c r="E155" s="622">
        <f>VLOOKUP($A$149,B62:G78,6,(FALSE))</f>
        <v>1E-3</v>
      </c>
    </row>
    <row r="156" spans="1:7" ht="14.4">
      <c r="A156" s="745">
        <v>90</v>
      </c>
      <c r="B156" s="622">
        <f>VLOOKUP($A$149,B74:G85,3,FALSE)</f>
        <v>9.9999999999999995E-7</v>
      </c>
      <c r="C156" s="702">
        <f>VLOOKUP($A$149,B74:G90,4,FALSE)</f>
        <v>9.9999999999999995E-7</v>
      </c>
      <c r="D156" s="721">
        <f t="shared" si="9"/>
        <v>3.3333333333333332E-4</v>
      </c>
      <c r="E156" s="622">
        <f>VLOOKUP($A$149,B74:G90,6,(FALSE))</f>
        <v>1E-3</v>
      </c>
    </row>
    <row r="157" spans="1:7" ht="14.4">
      <c r="A157" s="745">
        <v>120</v>
      </c>
      <c r="B157" s="622">
        <f>VLOOKUP($A$149,B86:G97,3,FALSE)</f>
        <v>9.9999999999999995E-7</v>
      </c>
      <c r="C157" s="702">
        <f>VLOOKUP($A$149,B86:G102,4,FALSE)</f>
        <v>9.9999999999999995E-7</v>
      </c>
      <c r="D157" s="721">
        <f t="shared" si="9"/>
        <v>3.3333333333333332E-4</v>
      </c>
      <c r="E157" s="622">
        <f>VLOOKUP($A$149,B86:G102,6,(FALSE))</f>
        <v>1E-3</v>
      </c>
    </row>
    <row r="158" spans="1:7">
      <c r="A158" s="721">
        <v>150</v>
      </c>
      <c r="B158" s="622">
        <f>VLOOKUP($A$149,B98:G109,3,FALSE)</f>
        <v>9.9999999999999995E-7</v>
      </c>
      <c r="C158" s="702">
        <f>VLOOKUP($A$149,B98:G114,4,FALSE)</f>
        <v>9.9999999999999995E-7</v>
      </c>
      <c r="D158" s="721">
        <f t="shared" si="9"/>
        <v>3.3333333333333332E-4</v>
      </c>
      <c r="E158" s="622">
        <f>VLOOKUP($A$149,B98:G114,6,(FALSE))</f>
        <v>1E-3</v>
      </c>
    </row>
    <row r="159" spans="1:7">
      <c r="A159" s="721">
        <v>180</v>
      </c>
      <c r="B159" s="622">
        <f>VLOOKUP($A$149,B110:G121,3,FALSE)</f>
        <v>9.9999999999999995E-7</v>
      </c>
      <c r="C159" s="702">
        <f>VLOOKUP($A$149,B110:G121,4,FALSE)</f>
        <v>9.9999999999999995E-7</v>
      </c>
      <c r="D159" s="721">
        <f t="shared" si="9"/>
        <v>3.3333333333333332E-4</v>
      </c>
      <c r="E159" s="622">
        <f>VLOOKUP($A$149,B110:G126,6,(FALSE))</f>
        <v>1E-3</v>
      </c>
    </row>
    <row r="160" spans="1:7">
      <c r="A160" s="721">
        <v>210</v>
      </c>
      <c r="B160" s="622">
        <f>VLOOKUP($A$149,B122:G138,3,FALSE)</f>
        <v>9.9999999999999995E-7</v>
      </c>
      <c r="C160" s="702">
        <f>VLOOKUP($A$149,B122:G138,4,FALSE)</f>
        <v>9.9999999999999995E-7</v>
      </c>
      <c r="D160" s="721">
        <f t="shared" si="9"/>
        <v>3.3333333333333332E-4</v>
      </c>
      <c r="E160" s="622">
        <f>VLOOKUP($A$149,B122:G138,6,(FALSE))</f>
        <v>1E-3</v>
      </c>
    </row>
    <row r="161" spans="1:5">
      <c r="A161" s="721">
        <v>240</v>
      </c>
      <c r="B161" s="622">
        <f>VLOOKUP($A$149,B134:G145,3,FALSE)</f>
        <v>9.9999999999999995E-7</v>
      </c>
      <c r="C161" s="702">
        <f>VLOOKUP($A$149,B134:G145,4,FALSE)</f>
        <v>9.9999999999999995E-7</v>
      </c>
      <c r="D161" s="721">
        <f t="shared" si="9"/>
        <v>3.3333333333333332E-4</v>
      </c>
      <c r="E161" s="622">
        <f>VLOOKUP($A$149,B134:G145,6,(FALSE))</f>
        <v>1E-3</v>
      </c>
    </row>
  </sheetData>
  <mergeCells count="63">
    <mergeCell ref="Q34:Q35"/>
    <mergeCell ref="R6:R7"/>
    <mergeCell ref="R20:R21"/>
    <mergeCell ref="R34:R35"/>
    <mergeCell ref="B149:E149"/>
    <mergeCell ref="B34:D34"/>
    <mergeCell ref="H34:J34"/>
    <mergeCell ref="N34:P34"/>
    <mergeCell ref="E34:E35"/>
    <mergeCell ref="F34:F35"/>
    <mergeCell ref="G48:G49"/>
    <mergeCell ref="K34:K35"/>
    <mergeCell ref="L34:L35"/>
    <mergeCell ref="B32:F32"/>
    <mergeCell ref="H32:L32"/>
    <mergeCell ref="N32:R32"/>
    <mergeCell ref="A150:E150"/>
    <mergeCell ref="A151:C151"/>
    <mergeCell ref="A47:A61"/>
    <mergeCell ref="A62:A73"/>
    <mergeCell ref="A74:A85"/>
    <mergeCell ref="A86:A97"/>
    <mergeCell ref="A98:A109"/>
    <mergeCell ref="A110:A121"/>
    <mergeCell ref="A122:A133"/>
    <mergeCell ref="A134:A145"/>
    <mergeCell ref="B47:B49"/>
    <mergeCell ref="D151:D152"/>
    <mergeCell ref="E151:E152"/>
    <mergeCell ref="C47:G47"/>
    <mergeCell ref="C48:E48"/>
    <mergeCell ref="F48:F49"/>
    <mergeCell ref="B33:F33"/>
    <mergeCell ref="H33:L33"/>
    <mergeCell ref="N33:R33"/>
    <mergeCell ref="B19:F19"/>
    <mergeCell ref="H19:L19"/>
    <mergeCell ref="N19:R19"/>
    <mergeCell ref="B20:D20"/>
    <mergeCell ref="H20:J20"/>
    <mergeCell ref="N20:P20"/>
    <mergeCell ref="E20:E21"/>
    <mergeCell ref="F20:F21"/>
    <mergeCell ref="K20:K21"/>
    <mergeCell ref="L20:L21"/>
    <mergeCell ref="Q20:Q21"/>
    <mergeCell ref="B6:D6"/>
    <mergeCell ref="H6:J6"/>
    <mergeCell ref="N6:P6"/>
    <mergeCell ref="B18:F18"/>
    <mergeCell ref="H18:L18"/>
    <mergeCell ref="N18:R18"/>
    <mergeCell ref="E6:E7"/>
    <mergeCell ref="F6:F7"/>
    <mergeCell ref="K6:K7"/>
    <mergeCell ref="L6:L7"/>
    <mergeCell ref="Q6:Q7"/>
    <mergeCell ref="B4:F4"/>
    <mergeCell ref="H4:L4"/>
    <mergeCell ref="N4:R4"/>
    <mergeCell ref="B5:F5"/>
    <mergeCell ref="H5:L5"/>
    <mergeCell ref="N5:R5"/>
  </mergeCell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Lembar Kerja</vt:lpstr>
      <vt:lpstr>Riwayat Revisi</vt:lpstr>
      <vt:lpstr>UB</vt:lpstr>
      <vt:lpstr>ID</vt:lpstr>
      <vt:lpstr>Penyelia</vt:lpstr>
      <vt:lpstr>LH</vt:lpstr>
      <vt:lpstr>Sertifikat</vt:lpstr>
      <vt:lpstr>FORECAST</vt:lpstr>
      <vt:lpstr>DATA SERTIFIKAT PS320</vt:lpstr>
      <vt:lpstr>DB Suhu</vt:lpstr>
      <vt:lpstr>DB ESA</vt:lpstr>
      <vt:lpstr>cetik</vt:lpstr>
      <vt:lpstr>kesimpulan</vt:lpstr>
      <vt:lpstr>'DATA SERTIFIKAT PS320'!Print_Area</vt:lpstr>
      <vt:lpstr>'DB Suhu'!Print_Area</vt:lpstr>
      <vt:lpstr>ID!Print_Area</vt:lpstr>
      <vt:lpstr>'Lembar Kerja'!Print_Area</vt:lpstr>
      <vt:lpstr>LH!Print_Area</vt:lpstr>
      <vt:lpstr>Penyelia!Print_Area</vt:lpstr>
      <vt:lpstr>UB!Print_Area</vt:lpstr>
    </vt:vector>
  </TitlesOfParts>
  <Company>BPFK Surabaya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LPFK Banjarbaru</dc:title>
  <dc:creator>Isra Mahensa</dc:creator>
  <cp:lastModifiedBy>-</cp:lastModifiedBy>
  <cp:lastPrinted>2022-04-05T07:03:12Z</cp:lastPrinted>
  <dcterms:created xsi:type="dcterms:W3CDTF">2004-10-15T07:18:00Z</dcterms:created>
  <dcterms:modified xsi:type="dcterms:W3CDTF">2022-04-13T04:14:52Z</dcterms:modified>
  <cp:category>Doppler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