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L\Downloads\"/>
    </mc:Choice>
  </mc:AlternateContent>
  <xr:revisionPtr revIDLastSave="0" documentId="13_ncr:1_{02BA86C5-52D1-4051-A9D1-2CE672DBD5A8}" xr6:coauthVersionLast="45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Riwayat Revisi" sheetId="24" r:id="rId1"/>
    <sheet name="LK" sheetId="3" r:id="rId2"/>
    <sheet name="bank kata" sheetId="26" state="hidden" r:id="rId3"/>
    <sheet name="ID" sheetId="9" r:id="rId4"/>
    <sheet name="ESA" sheetId="30" r:id="rId5"/>
    <sheet name="PENYELIA" sheetId="1" r:id="rId6"/>
    <sheet name="LH" sheetId="20" r:id="rId7"/>
    <sheet name="SERTIFIKAT" sheetId="29" r:id="rId8"/>
    <sheet name="DB Thermohygro" sheetId="23" state="hidden" r:id="rId9"/>
    <sheet name="DB ECG" sheetId="10" state="hidden" r:id="rId10"/>
    <sheet name="UB" sheetId="8" r:id="rId11"/>
    <sheet name="DB CALIPER" sheetId="15" r:id="rId12"/>
  </sheets>
  <externalReferences>
    <externalReference r:id="rId13"/>
  </externalReferences>
  <definedNames>
    <definedName name="_xlnm.Print_Area" localSheetId="8">'DB Thermohygro'!$A$1:$O$199,'DB Thermohygro'!$A$344:$O$358,'DB Thermohygro'!$Q$1:$AE$11</definedName>
    <definedName name="_xlnm.Print_Area" localSheetId="4">ESA!$AA$184:$AN$219</definedName>
    <definedName name="_xlnm.Print_Area" localSheetId="3">ID!$A$1:$O$85</definedName>
    <definedName name="_xlnm.Print_Area" localSheetId="6">LH!$A$1:$L$67,LH!$A$70:$L$153</definedName>
    <definedName name="_xlnm.Print_Area" localSheetId="1">LK!$B$1:$O$107</definedName>
    <definedName name="_xlnm.Print_Area" localSheetId="5">PENYELIA!$A$1:$M$83</definedName>
    <definedName name="_xlnm.Print_Area" localSheetId="7">SERTIFIKAT!$A$1:$F$33</definedName>
    <definedName name="_xlnm.Print_Area" localSheetId="10">UB!$A$1:$Y$62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20" l="1"/>
  <c r="L53" i="20"/>
  <c r="J40" i="1"/>
  <c r="AE76" i="15" l="1"/>
  <c r="AE72" i="15"/>
  <c r="AE68" i="15"/>
  <c r="AH77" i="15"/>
  <c r="P72" i="15"/>
  <c r="Q71" i="15" s="1"/>
  <c r="AH69" i="15"/>
  <c r="Z76" i="15"/>
  <c r="Z72" i="15"/>
  <c r="AA71" i="15" s="1"/>
  <c r="Z68" i="15"/>
  <c r="AC69" i="15" s="1"/>
  <c r="AC77" i="15"/>
  <c r="U76" i="15"/>
  <c r="U72" i="15"/>
  <c r="U68" i="15"/>
  <c r="AH73" i="15" l="1"/>
  <c r="AF75" i="15"/>
  <c r="AG76" i="15" s="1"/>
  <c r="AF77" i="15"/>
  <c r="AH75" i="15"/>
  <c r="AF71" i="15"/>
  <c r="AF73" i="15"/>
  <c r="AH71" i="15"/>
  <c r="S71" i="15"/>
  <c r="Q73" i="15"/>
  <c r="R71" i="15" s="1"/>
  <c r="R72" i="15" s="1"/>
  <c r="S73" i="15"/>
  <c r="AF67" i="15"/>
  <c r="AG68" i="15" s="1"/>
  <c r="AF69" i="15"/>
  <c r="AH67" i="15"/>
  <c r="AC73" i="15"/>
  <c r="AA73" i="15"/>
  <c r="AB71" i="15" s="1"/>
  <c r="AB72" i="15" s="1"/>
  <c r="AC71" i="15"/>
  <c r="AA75" i="15"/>
  <c r="AB76" i="15" s="1"/>
  <c r="AA77" i="15"/>
  <c r="AC75" i="15"/>
  <c r="AA67" i="15"/>
  <c r="AA69" i="15"/>
  <c r="AC67" i="15"/>
  <c r="AG71" i="15" l="1"/>
  <c r="AG72" i="15" s="1"/>
  <c r="AB68" i="15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V71" i="15" l="1"/>
  <c r="V67" i="15"/>
  <c r="X75" i="15"/>
  <c r="V75" i="15"/>
  <c r="X67" i="15"/>
  <c r="X77" i="15"/>
  <c r="V77" i="15"/>
  <c r="X69" i="15"/>
  <c r="V69" i="15"/>
  <c r="V73" i="15"/>
  <c r="H16" i="20"/>
  <c r="A165" i="30"/>
  <c r="D159" i="30" s="1"/>
  <c r="N142" i="30"/>
  <c r="N141" i="30"/>
  <c r="N140" i="30"/>
  <c r="N139" i="30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D161" i="30"/>
  <c r="B160" i="30"/>
  <c r="E159" i="30"/>
  <c r="E155" i="30"/>
  <c r="C154" i="30"/>
  <c r="E153" i="30"/>
  <c r="E149" i="30"/>
  <c r="E148" i="30"/>
  <c r="C148" i="30"/>
  <c r="E145" i="30"/>
  <c r="E144" i="30"/>
  <c r="D144" i="30"/>
  <c r="I143" i="30"/>
  <c r="B142" i="30"/>
  <c r="C141" i="30"/>
  <c r="B141" i="30"/>
  <c r="I139" i="30"/>
  <c r="D139" i="30"/>
  <c r="P138" i="30"/>
  <c r="I25" i="1" s="1"/>
  <c r="B137" i="30"/>
  <c r="C136" i="30"/>
  <c r="B136" i="30"/>
  <c r="I135" i="30"/>
  <c r="B134" i="30"/>
  <c r="A132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O90" i="30"/>
  <c r="G158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147" i="30" s="1"/>
  <c r="F79" i="30"/>
  <c r="V78" i="30"/>
  <c r="N78" i="30"/>
  <c r="G78" i="30"/>
  <c r="F78" i="30"/>
  <c r="V77" i="30"/>
  <c r="N77" i="30"/>
  <c r="F77" i="30"/>
  <c r="X76" i="30"/>
  <c r="W81" i="30" s="1"/>
  <c r="V76" i="30"/>
  <c r="P76" i="30"/>
  <c r="O80" i="30" s="1"/>
  <c r="N76" i="30"/>
  <c r="F144" i="30" s="1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G72" i="30"/>
  <c r="F72" i="30"/>
  <c r="V71" i="30"/>
  <c r="N71" i="30"/>
  <c r="F139" i="30" s="1"/>
  <c r="F71" i="30"/>
  <c r="V70" i="30"/>
  <c r="F138" i="30" s="1"/>
  <c r="N70" i="30"/>
  <c r="F70" i="30"/>
  <c r="V69" i="30"/>
  <c r="N69" i="30"/>
  <c r="F69" i="30"/>
  <c r="X68" i="30"/>
  <c r="W68" i="30" s="1"/>
  <c r="V68" i="30"/>
  <c r="P68" i="30"/>
  <c r="O73" i="30" s="1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O59" i="30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G53" i="30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O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O37" i="30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O28" i="30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W19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W15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W76" i="15" l="1"/>
  <c r="W68" i="15"/>
  <c r="O14" i="30"/>
  <c r="W31" i="30"/>
  <c r="O60" i="30"/>
  <c r="O61" i="30"/>
  <c r="O68" i="30"/>
  <c r="G80" i="30"/>
  <c r="O85" i="30"/>
  <c r="O15" i="30"/>
  <c r="W23" i="30"/>
  <c r="O69" i="30"/>
  <c r="O70" i="30"/>
  <c r="O71" i="30"/>
  <c r="O87" i="30"/>
  <c r="G155" i="30" s="1"/>
  <c r="G92" i="30"/>
  <c r="W11" i="30"/>
  <c r="O16" i="30"/>
  <c r="O17" i="30"/>
  <c r="O18" i="30"/>
  <c r="O47" i="30"/>
  <c r="O48" i="30"/>
  <c r="O72" i="30"/>
  <c r="G76" i="30"/>
  <c r="O6" i="30"/>
  <c r="O11" i="30"/>
  <c r="O31" i="30"/>
  <c r="O40" i="30"/>
  <c r="G55" i="30"/>
  <c r="W62" i="30"/>
  <c r="F137" i="30"/>
  <c r="C143" i="30"/>
  <c r="W76" i="30"/>
  <c r="G153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2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2" i="30"/>
  <c r="C158" i="30"/>
  <c r="O49" i="30"/>
  <c r="G136" i="30"/>
  <c r="G141" i="30"/>
  <c r="F146" i="30"/>
  <c r="G154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W70" i="30"/>
  <c r="G138" i="30" s="1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W69" i="30"/>
  <c r="G137" i="30" s="1"/>
  <c r="G71" i="30"/>
  <c r="W71" i="30"/>
  <c r="G139" i="30" s="1"/>
  <c r="G73" i="30"/>
  <c r="G91" i="30"/>
  <c r="W91" i="30"/>
  <c r="G93" i="30"/>
  <c r="W93" i="30"/>
  <c r="G161" i="30" s="1"/>
  <c r="G31" i="30"/>
  <c r="W47" i="30"/>
  <c r="W49" i="30"/>
  <c r="W72" i="30"/>
  <c r="G140" i="30" s="1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K137" i="30" s="1"/>
  <c r="O138" i="30" s="1"/>
  <c r="I141" i="30"/>
  <c r="I145" i="30"/>
  <c r="A178" i="30"/>
  <c r="N165" i="30" s="1"/>
  <c r="O178" i="30" s="1"/>
  <c r="B62" i="1" s="1"/>
  <c r="B72" i="20" s="1"/>
  <c r="G15" i="30"/>
  <c r="G17" i="30"/>
  <c r="G54" i="30"/>
  <c r="W54" i="30"/>
  <c r="G77" i="30"/>
  <c r="W77" i="30"/>
  <c r="O78" i="30"/>
  <c r="G146" i="30" s="1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K139" i="30" s="1"/>
  <c r="O139" i="30" s="1"/>
  <c r="P139" i="30" s="1"/>
  <c r="I26" i="1" s="1"/>
  <c r="C159" i="30"/>
  <c r="G159" i="30"/>
  <c r="E160" i="30"/>
  <c r="C161" i="30"/>
  <c r="K135" i="30" l="1"/>
  <c r="O137" i="30" s="1"/>
  <c r="P137" i="30" s="1"/>
  <c r="N143" i="30" s="1"/>
  <c r="O143" i="30" s="1"/>
  <c r="G16" i="20" s="1"/>
  <c r="G147" i="30"/>
  <c r="K143" i="30"/>
  <c r="O141" i="30" s="1"/>
  <c r="P141" i="30" s="1"/>
  <c r="I28" i="1" s="1"/>
  <c r="G160" i="30"/>
  <c r="K141" i="30"/>
  <c r="O140" i="30" s="1"/>
  <c r="P140" i="30" s="1"/>
  <c r="I27" i="1" s="1"/>
  <c r="G145" i="30"/>
  <c r="K145" i="30"/>
  <c r="O142" i="30" s="1"/>
  <c r="P142" i="30" s="1"/>
  <c r="U27" i="1" s="1"/>
  <c r="G144" i="30"/>
  <c r="E16" i="20" l="1"/>
  <c r="N144" i="30"/>
  <c r="N147" i="30" s="1"/>
  <c r="P147" i="30" s="1"/>
  <c r="O147" i="30"/>
  <c r="D16" i="1" l="1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s="1"/>
  <c r="D4" i="1"/>
  <c r="A2" i="29" l="1"/>
  <c r="B50" i="29" s="1"/>
  <c r="B59" i="29"/>
  <c r="B58" i="29"/>
  <c r="B57" i="29" s="1"/>
  <c r="D11" i="1"/>
  <c r="A21" i="29" l="1"/>
  <c r="A22" i="29"/>
  <c r="A19" i="29"/>
  <c r="A20" i="29"/>
  <c r="D6" i="1"/>
  <c r="J26" i="9" l="1"/>
  <c r="J26" i="1" s="1"/>
  <c r="J37" i="23" l="1"/>
  <c r="F16" i="20" l="1"/>
  <c r="H15" i="20" l="1"/>
  <c r="F15" i="20"/>
  <c r="H14" i="20"/>
  <c r="F14" i="20"/>
  <c r="P28" i="1" l="1"/>
  <c r="K27" i="9"/>
  <c r="K27" i="1" s="1"/>
  <c r="T27" i="1" l="1"/>
  <c r="I47" i="9" l="1"/>
  <c r="V47" i="9" s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D7" i="20" s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N69" i="15" l="1"/>
  <c r="D69" i="15"/>
  <c r="B69" i="15"/>
  <c r="N67" i="15"/>
  <c r="L69" i="15"/>
  <c r="L67" i="15"/>
  <c r="G67" i="15"/>
  <c r="B67" i="15"/>
  <c r="G69" i="15"/>
  <c r="D67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E14" i="20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N42" i="9" l="1"/>
  <c r="N41" i="9"/>
  <c r="N40" i="9"/>
  <c r="O61" i="9" l="1"/>
  <c r="O56" i="9"/>
  <c r="K51" i="9"/>
  <c r="K47" i="9"/>
  <c r="B87" i="20" l="1"/>
  <c r="F56" i="20"/>
  <c r="E56" i="1" s="1"/>
  <c r="F53" i="20"/>
  <c r="E53" i="20"/>
  <c r="F48" i="20"/>
  <c r="F47" i="20"/>
  <c r="F45" i="20"/>
  <c r="F42" i="20"/>
  <c r="E42" i="20"/>
  <c r="F41" i="20"/>
  <c r="E41" i="20"/>
  <c r="F40" i="20"/>
  <c r="E40" i="20"/>
  <c r="C28" i="20"/>
  <c r="C27" i="20"/>
  <c r="C26" i="20"/>
  <c r="C25" i="20"/>
  <c r="B77" i="1" l="1"/>
  <c r="I51" i="9" l="1"/>
  <c r="V51" i="9" s="1"/>
  <c r="D50" i="8"/>
  <c r="G51" i="1" l="1"/>
  <c r="G56" i="1" s="1"/>
  <c r="P76" i="15" l="1"/>
  <c r="P68" i="15"/>
  <c r="M61" i="9"/>
  <c r="M56" i="9"/>
  <c r="L42" i="9"/>
  <c r="A74" i="15" s="1"/>
  <c r="L41" i="9"/>
  <c r="A71" i="15" s="1"/>
  <c r="Q67" i="15" l="1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E55" i="15" s="1"/>
  <c r="I69" i="15" s="1"/>
  <c r="S22" i="15"/>
  <c r="E56" i="15" s="1"/>
  <c r="S23" i="15"/>
  <c r="E57" i="15" s="1"/>
  <c r="S24" i="15"/>
  <c r="E58" i="15" s="1"/>
  <c r="X71" i="15" s="1"/>
  <c r="S25" i="15"/>
  <c r="E59" i="15" s="1"/>
  <c r="X73" i="15" s="1"/>
  <c r="W71" i="15" s="1"/>
  <c r="W72" i="15" s="1"/>
  <c r="S26" i="15"/>
  <c r="E60" i="15" s="1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R76" i="15" l="1"/>
  <c r="R68" i="15"/>
  <c r="I67" i="15"/>
  <c r="H68" i="15" s="1"/>
  <c r="C71" i="15"/>
  <c r="C74" i="15"/>
  <c r="M74" i="15"/>
  <c r="M71" i="15"/>
  <c r="I70" i="15"/>
  <c r="I75" i="15"/>
  <c r="I72" i="15"/>
  <c r="H71" i="15" s="1"/>
  <c r="I73" i="15"/>
  <c r="W47" i="9"/>
  <c r="H74" i="15" l="1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11" i="15"/>
  <c r="E14" i="15"/>
  <c r="E15" i="15"/>
  <c r="E9" i="10"/>
  <c r="E10" i="10"/>
  <c r="E11" i="10"/>
  <c r="E12" i="10"/>
  <c r="E15" i="10"/>
  <c r="E16" i="10"/>
  <c r="E17" i="10"/>
  <c r="E20" i="10"/>
  <c r="E21" i="10"/>
  <c r="E24" i="10"/>
  <c r="J27" i="1" l="1"/>
  <c r="H27" i="20" s="1"/>
  <c r="G27" i="20"/>
  <c r="P21" i="1"/>
  <c r="P20" i="1"/>
  <c r="P22" i="1" l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K26" i="1" s="1"/>
  <c r="P26" i="1" s="1"/>
  <c r="C27" i="1"/>
  <c r="C28" i="1"/>
  <c r="C25" i="1"/>
  <c r="D11" i="20"/>
  <c r="Y20" i="1" l="1"/>
  <c r="B68" i="9" s="1"/>
  <c r="S22" i="1"/>
  <c r="R22" i="1"/>
  <c r="I28" i="20"/>
  <c r="O34" i="1"/>
  <c r="F34" i="20"/>
  <c r="I25" i="20"/>
  <c r="P34" i="1"/>
  <c r="Q34" i="1" s="1"/>
  <c r="P27" i="1" l="1"/>
  <c r="B65" i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E114" i="10" s="1"/>
  <c r="L87" i="10"/>
  <c r="E111" i="10" s="1"/>
  <c r="L86" i="10"/>
  <c r="E110" i="10" s="1"/>
  <c r="L83" i="10"/>
  <c r="E107" i="10" s="1"/>
  <c r="L82" i="10"/>
  <c r="E106" i="10" s="1"/>
  <c r="L81" i="10"/>
  <c r="E105" i="10" s="1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E102" i="10" s="1"/>
  <c r="L77" i="10"/>
  <c r="E101" i="10" s="1"/>
  <c r="L76" i="10"/>
  <c r="E100" i="10" s="1"/>
  <c r="L75" i="10"/>
  <c r="E99" i="10" s="1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I26" i="20" l="1"/>
  <c r="I27" i="20"/>
  <c r="W22" i="8"/>
  <c r="W8" i="8"/>
  <c r="W23" i="8"/>
  <c r="W7" i="8"/>
  <c r="D8" i="20"/>
  <c r="Y7" i="8" l="1"/>
  <c r="X7" i="8"/>
  <c r="X22" i="8"/>
  <c r="Y22" i="8"/>
  <c r="Y23" i="8"/>
  <c r="X23" i="8"/>
  <c r="Y8" i="8"/>
  <c r="X8" i="8"/>
  <c r="E56" i="10"/>
  <c r="E55" i="10"/>
  <c r="E54" i="10"/>
  <c r="E53" i="10"/>
  <c r="L12" i="10"/>
  <c r="L11" i="10"/>
  <c r="L10" i="10"/>
  <c r="L9" i="10"/>
  <c r="B75" i="20" l="1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AJ58" i="1" s="1"/>
  <c r="X24" i="8"/>
  <c r="I58" i="20" l="1"/>
  <c r="G58" i="20"/>
  <c r="J58" i="20" s="1"/>
  <c r="Y29" i="8"/>
  <c r="X29" i="8"/>
  <c r="X30" i="8" s="1"/>
  <c r="H58" i="20" l="1"/>
  <c r="G58" i="1"/>
  <c r="X31" i="8"/>
  <c r="X32" i="8" s="1"/>
  <c r="X33" i="8" s="1"/>
  <c r="AL58" i="1" l="1"/>
  <c r="L58" i="1" s="1"/>
  <c r="O58" i="1" s="1"/>
  <c r="L58" i="20" l="1"/>
  <c r="J58" i="1"/>
  <c r="I58" i="1" s="1"/>
  <c r="K58" i="20" s="1"/>
  <c r="P58" i="1"/>
  <c r="Q58" i="1" s="1"/>
  <c r="B64" i="1" l="1"/>
  <c r="B74" i="20" s="1"/>
  <c r="D81" i="1" l="1"/>
  <c r="B63" i="1"/>
  <c r="B73" i="20" s="1"/>
  <c r="D20" i="1"/>
  <c r="D20" i="20" s="1"/>
  <c r="D19" i="1"/>
  <c r="D19" i="20" s="1"/>
  <c r="D9" i="20"/>
  <c r="D10" i="20"/>
  <c r="D6" i="20"/>
  <c r="D5" i="20"/>
  <c r="D4" i="20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80" i="20" s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U41" i="9"/>
  <c r="M41" i="9" s="1"/>
  <c r="G9" i="8"/>
  <c r="J9" i="8" s="1"/>
  <c r="K9" i="8" s="1"/>
  <c r="L24" i="8"/>
  <c r="L10" i="8"/>
  <c r="Q9" i="8"/>
  <c r="K38" i="8"/>
  <c r="F41" i="1" l="1"/>
  <c r="AJ41" i="1" s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1" i="20"/>
  <c r="H41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I40" i="20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2" i="1" l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s="1"/>
  <c r="J53" i="1" l="1"/>
  <c r="I53" i="1" s="1"/>
  <c r="K53" i="20" s="1"/>
  <c r="O53" i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F47" i="1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G48" i="1" s="1"/>
  <c r="G47" i="20"/>
  <c r="H47" i="20" s="1"/>
  <c r="AJ47" i="1"/>
  <c r="G47" i="1" s="1"/>
  <c r="L57" i="8"/>
  <c r="K59" i="8" s="1"/>
  <c r="K60" i="8" s="1"/>
  <c r="K61" i="8" s="1"/>
  <c r="AL47" i="1" s="1"/>
  <c r="I48" i="20" l="1"/>
  <c r="I47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<sst xmlns="http://schemas.openxmlformats.org/spreadsheetml/2006/main" count="2465" uniqueCount="625">
  <si>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</si>
  <si>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</si>
  <si>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</si>
  <si>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</si>
  <si>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</si>
  <si>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</si>
  <si>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</si>
  <si>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</si>
  <si>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</si>
  <si>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</si>
  <si>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</si>
  <si>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</si>
  <si>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</si>
  <si>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</si>
  <si>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</si>
  <si>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</si>
  <si>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</si>
  <si>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</si>
  <si>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</si>
  <si>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</si>
  <si>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</si>
  <si>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</si>
  <si>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</si>
  <si>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</si>
  <si>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</si>
  <si>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</si>
  <si>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</si>
  <si>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</si>
  <si>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</si>
  <si>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</si>
  <si>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</si>
  <si>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</si>
  <si>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</si>
  <si>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</si>
  <si>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</si>
  <si>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</si>
  <si>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</si>
  <si>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</si>
  <si>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</si>
  <si>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</si>
  <si>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</si>
  <si>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</si>
  <si>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</si>
  <si>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</si>
  <si>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</si>
  <si>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</si>
  <si>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</si>
  <si>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</si>
  <si>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</si>
  <si>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</si>
  <si>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</si>
  <si>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</si>
  <si>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</si>
  <si>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</si>
  <si>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</si>
  <si>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</si>
  <si>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</si>
  <si>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</si>
  <si>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</si>
  <si>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</si>
  <si>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</si>
  <si>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</si>
  <si>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</si>
  <si>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</si>
  <si>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</si>
  <si>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</si>
  <si>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</si>
  <si>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</si>
  <si>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</si>
  <si>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</si>
  <si>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</si>
  <si>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</si>
  <si>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</si>
  <si>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</si>
  <si>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</si>
  <si>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</si>
  <si>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</si>
  <si>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</si>
  <si>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</si>
  <si>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</si>
  <si>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</si>
  <si>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</si>
  <si>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</si>
  <si>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</si>
  <si>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</si>
  <si>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</si>
  <si>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</si>
  <si>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</si>
  <si>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</si>
  <si>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</si>
  <si>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</si>
  <si>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</si>
  <si>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</si>
  <si>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</si>
  <si>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</si>
  <si>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</si>
  <si>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</si>
  <si>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</si>
  <si>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</si>
  <si>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</si>
  <si>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</si>
  <si>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</si>
  <si>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</si>
  <si>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</si>
  <si>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</si>
  <si>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</si>
  <si>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</si>
  <si>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</si>
  <si>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</si>
  <si>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</si>
  <si>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</si>
  <si>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</si>
  <si>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</si>
  <si>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</si>
  <si>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</si>
  <si>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</si>
  <si>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</si>
  <si>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</si>
  <si>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</si>
  <si>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</si>
  <si>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</si>
  <si>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</si>
  <si>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</si>
  <si>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</si>
  <si>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</si>
  <si>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</si>
  <si>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</si>
  <si>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</si>
  <si>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</si>
  <si>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</si>
  <si>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</si>
  <si>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</si>
  <si>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</si>
  <si>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</si>
  <si>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</si>
  <si>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</si>
  <si>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</si>
  <si>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</si>
  <si>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</si>
  <si>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</si>
  <si>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</si>
  <si>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</si>
  <si>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</si>
  <si>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</si>
  <si>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</si>
  <si>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</si>
  <si>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</si>
  <si>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</si>
  <si>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</si>
  <si>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</si>
  <si>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</si>
  <si>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</si>
  <si>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</si>
  <si>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</si>
  <si>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</si>
  <si>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</si>
  <si>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</si>
  <si>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</si>
  <si>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</si>
  <si>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</si>
  <si>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</si>
  <si>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</si>
  <si>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</si>
  <si>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</si>
  <si>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</si>
  <si>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</si>
  <si>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</si>
  <si>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</si>
  <si>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</si>
  <si>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</si>
  <si>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</si>
  <si>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19 /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</si>
  <si>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</si>
  <si>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</si>
  <si>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</si>
  <si>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</si>
  <si>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</si>
  <si>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</si>
  <si>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</si>
  <si>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</si>
  <si>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</si>
  <si>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</si>
  <si>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</si>
  <si>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</si>
  <si>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</si>
  <si>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</si>
  <si>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</si>
  <si>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</si>
  <si>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</si>
  <si>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</si>
  <si>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</si>
  <si>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</si>
  <si>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</si>
  <si>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</si>
  <si>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</si>
  <si>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</si>
  <si>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</si>
  <si>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</si>
  <si>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</si>
  <si>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</si>
  <si>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</si>
  <si>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</si>
  <si>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</si>
  <si>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</si>
  <si>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</si>
  <si>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</si>
  <si>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</si>
  <si>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</si>
  <si>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</si>
  <si>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</si>
  <si>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</si>
  <si>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</si>
  <si>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</si>
  <si>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</si>
  <si>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</si>
  <si>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</si>
  <si>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</si>
  <si>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</si>
  <si>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</si>
  <si>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</si>
  <si>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</si>
  <si>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</si>
  <si>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</si>
  <si>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</si>
  <si>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</si>
  <si>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</si>
  <si>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</si>
  <si>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</si>
  <si>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</si>
  <si>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</si>
  <si>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</si>
  <si>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</si>
  <si>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</si>
  <si>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</si>
  <si>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</si>
  <si>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</si>
  <si>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</si>
  <si>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</si>
  <si>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</si>
  <si>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</si>
  <si>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</si>
  <si>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</si>
  <si>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</si>
  <si>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</si>
  <si>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</si>
  <si>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</si>
  <si>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</si>
  <si>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</si>
  <si>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</si>
  <si>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</si>
  <si>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</si>
  <si>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</si>
  <si>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</si>
  <si>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</si>
  <si>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</si>
  <si>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</si>
  <si>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</si>
  <si>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</si>
  <si>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</si>
  <si>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</si>
  <si>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</si>
  <si>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</si>
  <si>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</si>
  <si>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</si>
  <si>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</si>
  <si>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</si>
  <si>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</si>
  <si>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</si>
  <si>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</si>
  <si>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</si>
  <si>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</si>
  <si>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</si>
  <si>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</si>
  <si>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</si>
  <si>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</si>
  <si>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</si>
  <si>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</si>
  <si>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</si>
  <si>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</si>
  <si>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</si>
  <si>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</si>
  <si>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</si>
  <si>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</si>
  <si>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</si>
  <si>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</si>
  <si>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</si>
  <si>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</si>
  <si>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</si>
  <si>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</si>
  <si>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</si>
  <si>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</si>
  <si>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</si>
  <si>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</si>
  <si>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</si>
  <si>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</si>
  <si>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</si>
  <si>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</si>
  <si>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</si>
  <si>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</si>
  <si>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</si>
  <si>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</si>
  <si>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</si>
  <si>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</si>
  <si>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</si>
  <si>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</si>
  <si>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</si>
  <si>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</si>
  <si>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</si>
  <si>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</si>
  <si>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</si>
  <si>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</si>
  <si>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</si>
  <si>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</si>
  <si>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</si>
  <si>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</si>
  <si>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</si>
  <si>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</si>
  <si>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</si>
  <si>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</si>
  <si>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</si>
  <si>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</si>
  <si>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</si>
  <si>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</si>
  <si>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</si>
  <si>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</si>
  <si>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</si>
  <si>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</si>
  <si>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</si>
  <si>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</si>
  <si>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</si>
  <si>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</si>
  <si>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</si>
  <si>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</si>
  <si>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</si>
  <si>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</si>
  <si>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</si>
  <si>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</si>
  <si>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</si>
  <si>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</si>
  <si>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</si>
  <si>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</si>
  <si>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</si>
  <si>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</si>
  <si>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</si>
  <si>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</si>
  <si>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</si>
  <si>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</si>
  <si>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</si>
  <si>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</si>
  <si>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</si>
  <si>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</si>
  <si>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</si>
  <si>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</si>
  <si>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</si>
  <si>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</si>
  <si>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</si>
  <si>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</si>
  <si>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</si>
  <si>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</si>
  <si>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</si>
  <si>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</si>
  <si>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</si>
  <si>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</si>
  <si>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</si>
  <si>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</si>
  <si>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</si>
  <si>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</si>
  <si>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</si>
  <si>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</si>
  <si>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</si>
  <si>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</si>
  <si>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</si>
  <si>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</si>
  <si>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</si>
  <si>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</si>
  <si>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</si>
  <si>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</si>
  <si>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</si>
  <si>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</si>
  <si>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</si>
  <si>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</si>
  <si>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</si>
  <si>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</si>
  <si>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</si>
  <si>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</si>
  <si>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</si>
  <si>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</si>
  <si>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</si>
  <si>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</si>
  <si>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</si>
  <si>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</si>
  <si>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</si>
  <si>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</si>
  <si>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</si>
  <si>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</si>
  <si>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</si>
  <si>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</si>
  <si>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</si>
  <si>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</si>
  <si>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</si>
  <si>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</si>
  <si>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</si>
  <si>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</si>
  <si>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</si>
  <si>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</si>
  <si>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</si>
  <si>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</si>
  <si>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</si>
  <si>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</si>
  <si>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</si>
  <si>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</si>
  <si>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</si>
  <si>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</si>
  <si>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</si>
  <si>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</si>
  <si>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</si>
  <si>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</si>
  <si>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</si>
  <si>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</si>
  <si>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</si>
  <si>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</si>
  <si>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</si>
  <si>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</si>
  <si>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</si>
  <si>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</si>
  <si>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</si>
  <si>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</si>
  <si>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</si>
  <si>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</si>
  <si>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</si>
  <si>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</si>
  <si>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</si>
  <si>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</si>
  <si>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</si>
  <si>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</si>
  <si>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</si>
  <si>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</si>
  <si>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</si>
  <si>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</si>
  <si>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</si>
  <si>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</si>
  <si>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</si>
  <si>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</si>
  <si>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</si>
  <si>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</si>
  <si>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</si>
  <si>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</si>
  <si>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</si>
  <si>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</si>
  <si>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</si>
  <si>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</si>
  <si>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</si>
  <si>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</si>
  <si>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</si>
  <si>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</si>
  <si>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</si>
  <si>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</si>
  <si>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</si>
  <si>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</si>
  <si>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</si>
  <si>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</si>
  <si>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</si>
  <si>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</si>
  <si>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</si>
  <si>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</si>
  <si>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</si>
  <si>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</si>
  <si>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</si>
  <si>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</si>
  <si>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</si>
  <si>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</si>
  <si>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</si>
  <si>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</si>
  <si>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</si>
  <si>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</si>
  <si>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</si>
  <si>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</si>
  <si>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</si>
  <si>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</si>
  <si>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</si>
  <si>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</si>
  <si>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</si>
  <si>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</si>
  <si>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</si>
  <si>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</si>
  <si>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</si>
  <si>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</si>
  <si>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</si>
  <si>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</si>
  <si>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</si>
  <si>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</si>
  <si>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</si>
  <si>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</si>
  <si>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OL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</si>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</sst>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0.0\ &quot;Ω&quot;"/>
    <numFmt numFmtId="173" formatCode="\&gt;\ 0.0\ &quot;MΩ&quot;"/>
    <numFmt numFmtId="174" formatCode="0\ &quot;µA&quot;"/>
    <numFmt numFmtId="175" formatCode="[$-421]dd\ mmmm\ yyyy;@"/>
    <numFmt numFmtId="176" formatCode="\≤\ 0\ \µ\A"/>
    <numFmt numFmtId="177" formatCode="\≤\ 0"/>
    <numFmt numFmtId="178" formatCode="0.0;[Red]0.0"/>
    <numFmt numFmtId="179" formatCode="0.000;[Red]0.000"/>
    <numFmt numFmtId="180" formatCode="\≤\ 0.0"/>
    <numFmt numFmtId="181" formatCode="[$-C09]d\ mmmm\ yyyy;@"/>
    <numFmt numFmtId="182" formatCode="0\ &quot;BPM&quot;"/>
  </numFmts>
  <fonts count="11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</cellStyleXfs>
  <cellXfs count="1624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4" xfId="0" applyFont="1" applyBorder="1" applyAlignment="1" applyProtection="1">
      <alignment horizontal="right" vertical="center"/>
    </xf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6" fontId="45" fillId="3" borderId="4" xfId="0" applyNumberFormat="1" applyFont="1" applyFill="1" applyBorder="1" applyAlignment="1" applyProtection="1">
      <alignment horizontal="right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2" fontId="34" fillId="0" borderId="4" xfId="0" applyNumberFormat="1" applyFont="1" applyBorder="1" applyAlignment="1" applyProtection="1">
      <alignment horizontal="right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3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5" fontId="4" fillId="0" borderId="6" xfId="0" applyNumberFormat="1" applyFont="1" applyBorder="1" applyAlignment="1">
      <alignment horizontal="center" vertical="center"/>
    </xf>
    <xf numFmtId="175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4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6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7" fontId="90" fillId="0" borderId="5" xfId="1" applyNumberFormat="1" applyFont="1" applyBorder="1" applyAlignment="1" applyProtection="1">
      <alignment horizontal="right"/>
    </xf>
    <xf numFmtId="177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78" fontId="34" fillId="0" borderId="4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5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52" fillId="0" borderId="4" xfId="0" applyFont="1" applyBorder="1" applyAlignment="1">
      <alignment vertical="center"/>
    </xf>
    <xf numFmtId="0" fontId="44" fillId="0" borderId="5" xfId="0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80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9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Alignment="1" applyProtection="1">
      <alignment wrapText="1"/>
      <protection hidden="1"/>
    </xf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2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5" fontId="107" fillId="0" borderId="22" xfId="8" applyNumberFormat="1" applyFont="1" applyBorder="1" applyAlignment="1">
      <alignment horizontal="left"/>
    </xf>
    <xf numFmtId="175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0" fontId="55" fillId="13" borderId="70" xfId="3" applyFont="1" applyFill="1" applyBorder="1" applyAlignment="1">
      <alignment horizontal="center"/>
    </xf>
    <xf numFmtId="166" fontId="80" fillId="3" borderId="54" xfId="3" applyNumberFormat="1" applyFont="1" applyFill="1" applyBorder="1" applyAlignment="1">
      <alignment horizontal="center" vertical="center" wrapText="1"/>
    </xf>
    <xf numFmtId="2" fontId="111" fillId="13" borderId="36" xfId="3" applyNumberFormat="1" applyFont="1" applyFill="1" applyBorder="1" applyAlignment="1">
      <alignment horizontal="center" vertical="center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112" fillId="13" borderId="4" xfId="3" applyNumberFormat="1" applyFont="1" applyFill="1" applyBorder="1" applyAlignment="1">
      <alignment horizontal="center" vertical="center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5" fillId="0" borderId="7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center" wrapText="1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2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 wrapText="1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13" fillId="14" borderId="54" xfId="9" quotePrefix="1" applyFont="1" applyFill="1" applyBorder="1" applyAlignment="1">
      <alignment horizontal="center" vertical="center"/>
    </xf>
    <xf numFmtId="0" fontId="13" fillId="14" borderId="55" xfId="9" quotePrefix="1" applyFont="1" applyFill="1" applyBorder="1" applyAlignment="1">
      <alignment horizontal="center" vertical="center"/>
    </xf>
    <xf numFmtId="0" fontId="13" fillId="14" borderId="56" xfId="9" quotePrefix="1" applyFont="1" applyFill="1" applyBorder="1" applyAlignment="1">
      <alignment horizontal="center" vertical="center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top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Border="1" applyAlignment="1" applyProtection="1">
      <alignment horizontal="center" vertical="top"/>
    </xf>
    <xf numFmtId="0" fontId="35" fillId="0" borderId="10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0" fillId="0" borderId="0" xfId="0" applyFont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 wrapText="1"/>
    </xf>
    <xf numFmtId="0" fontId="44" fillId="0" borderId="6" xfId="0" applyFont="1" applyBorder="1" applyAlignment="1">
      <alignment vertical="center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top"/>
    </xf>
    <xf numFmtId="0" fontId="9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175" fontId="13" fillId="0" borderId="0" xfId="8" applyNumberFormat="1" applyFont="1" applyAlignment="1">
      <alignment horizontal="left" vertical="top" wrapText="1"/>
    </xf>
    <xf numFmtId="0" fontId="13" fillId="0" borderId="0" xfId="8" applyFont="1" applyAlignment="1">
      <alignment horizontal="left" vertical="top" wrapText="1"/>
    </xf>
    <xf numFmtId="0" fontId="13" fillId="5" borderId="0" xfId="8" applyFont="1" applyFill="1" applyAlignment="1">
      <alignment horizontal="justify" vertical="center" wrapText="1"/>
    </xf>
    <xf numFmtId="175" fontId="13" fillId="0" borderId="0" xfId="8" applyNumberFormat="1" applyFont="1" applyAlignment="1">
      <alignment horizontal="left" vertical="center" wrapText="1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2" fillId="0" borderId="0" xfId="8" applyFont="1" applyAlignment="1" applyProtection="1">
      <alignment horizontal="left"/>
      <protection locked="0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1" fontId="102" fillId="0" borderId="0" xfId="8" quotePrefix="1" applyNumberFormat="1" applyFont="1" applyAlignment="1" applyProtection="1">
      <alignment horizontal="left" vertical="center"/>
      <protection locked="0"/>
    </xf>
    <xf numFmtId="181" fontId="102" fillId="0" borderId="0" xfId="8" applyNumberFormat="1" applyFont="1" applyAlignment="1" applyProtection="1">
      <alignment horizontal="left" vertical="center"/>
      <protection locked="0"/>
    </xf>
    <xf numFmtId="0" fontId="99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0" fontId="100" fillId="0" borderId="0" xfId="8" applyFont="1" applyAlignment="1" applyProtection="1">
      <alignment horizontal="center" vertical="center"/>
      <protection locked="0"/>
    </xf>
    <xf numFmtId="175" fontId="102" fillId="0" borderId="0" xfId="8" quotePrefix="1" applyNumberFormat="1" applyFont="1" applyAlignment="1" applyProtection="1">
      <alignment horizontal="center" vertical="center"/>
      <protection locked="0"/>
    </xf>
    <xf numFmtId="175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9" fillId="8" borderId="55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17" fillId="8" borderId="6" xfId="4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</cellXfs>
  <cellStyles count="10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35" sqref="D35"/>
    </sheetView>
  </sheetViews>
  <sheetFormatPr defaultRowHeight="12.5" x14ac:dyDescent="0.25"/>
  <cols>
    <col min="2" max="2" width="17.6328125" customWidth="1"/>
    <col min="3" max="3" width="42.36328125" bestFit="1" customWidth="1"/>
    <col min="4" max="4" width="67.54296875" customWidth="1"/>
  </cols>
  <sheetData>
    <row r="2" spans="1:5" x14ac:dyDescent="0.25">
      <c r="A2" s="1161" t="s">
        <v>133</v>
      </c>
      <c r="B2" s="1161" t="s">
        <v>349</v>
      </c>
      <c r="C2" s="1161" t="s">
        <v>476</v>
      </c>
      <c r="D2" s="1161"/>
      <c r="E2" s="1162" t="s">
        <v>477</v>
      </c>
    </row>
    <row r="3" spans="1:5" x14ac:dyDescent="0.25">
      <c r="A3" s="1161"/>
      <c r="B3" s="1161"/>
      <c r="C3" s="621" t="s">
        <v>128</v>
      </c>
      <c r="D3" s="621" t="s">
        <v>129</v>
      </c>
      <c r="E3" s="1162"/>
    </row>
    <row r="4" spans="1:5" x14ac:dyDescent="0.25">
      <c r="A4" s="621">
        <v>1</v>
      </c>
      <c r="B4" s="622">
        <v>44400</v>
      </c>
      <c r="C4" s="629" t="s">
        <v>480</v>
      </c>
      <c r="D4" s="621" t="s">
        <v>478</v>
      </c>
      <c r="E4" s="628" t="s">
        <v>479</v>
      </c>
    </row>
    <row r="5" spans="1:5" x14ac:dyDescent="0.25">
      <c r="A5" s="621">
        <v>2</v>
      </c>
      <c r="B5" s="623">
        <v>44412</v>
      </c>
      <c r="C5" s="626" t="s">
        <v>481</v>
      </c>
      <c r="D5" s="630" t="s">
        <v>478</v>
      </c>
      <c r="E5" s="628" t="s">
        <v>482</v>
      </c>
    </row>
    <row r="6" spans="1:5" x14ac:dyDescent="0.25">
      <c r="A6" s="621">
        <v>3</v>
      </c>
      <c r="B6" s="623" t="s">
        <v>483</v>
      </c>
      <c r="C6" s="626" t="s">
        <v>484</v>
      </c>
      <c r="D6" s="630" t="s">
        <v>478</v>
      </c>
      <c r="E6" s="628" t="s">
        <v>479</v>
      </c>
    </row>
    <row r="7" spans="1:5" x14ac:dyDescent="0.25">
      <c r="A7" s="621">
        <v>4</v>
      </c>
      <c r="B7" s="623" t="s">
        <v>485</v>
      </c>
      <c r="C7" s="626" t="s">
        <v>486</v>
      </c>
      <c r="D7" s="630" t="s">
        <v>478</v>
      </c>
      <c r="E7" s="628" t="s">
        <v>479</v>
      </c>
    </row>
    <row r="8" spans="1:5" x14ac:dyDescent="0.25">
      <c r="A8" s="621">
        <v>5</v>
      </c>
      <c r="B8" s="623">
        <v>44603</v>
      </c>
      <c r="C8" s="626" t="s">
        <v>492</v>
      </c>
      <c r="D8" s="630" t="s">
        <v>478</v>
      </c>
      <c r="E8" s="628" t="s">
        <v>479</v>
      </c>
    </row>
    <row r="9" spans="1:5" x14ac:dyDescent="0.25">
      <c r="A9" s="621">
        <v>6</v>
      </c>
      <c r="B9" s="623">
        <v>44609</v>
      </c>
      <c r="C9" s="624" t="s">
        <v>494</v>
      </c>
      <c r="D9" s="630" t="s">
        <v>478</v>
      </c>
      <c r="E9" s="628" t="s">
        <v>495</v>
      </c>
    </row>
    <row r="10" spans="1:5" x14ac:dyDescent="0.25">
      <c r="A10" s="621">
        <v>7</v>
      </c>
      <c r="B10" s="623" t="s">
        <v>554</v>
      </c>
      <c r="C10" s="624" t="s">
        <v>555</v>
      </c>
      <c r="D10" s="630" t="s">
        <v>478</v>
      </c>
      <c r="E10" s="628" t="s">
        <v>556</v>
      </c>
    </row>
    <row r="11" spans="1:5" x14ac:dyDescent="0.25">
      <c r="A11" s="621">
        <v>8</v>
      </c>
      <c r="B11" s="623" t="s">
        <v>554</v>
      </c>
      <c r="C11" s="624" t="s">
        <v>565</v>
      </c>
      <c r="D11" s="630" t="s">
        <v>478</v>
      </c>
      <c r="E11" s="628" t="s">
        <v>479</v>
      </c>
    </row>
    <row r="12" spans="1:5" x14ac:dyDescent="0.25">
      <c r="A12" s="621">
        <v>9</v>
      </c>
      <c r="B12" s="942" t="s">
        <v>569</v>
      </c>
      <c r="C12" s="624" t="s">
        <v>568</v>
      </c>
      <c r="D12" s="630" t="s">
        <v>478</v>
      </c>
      <c r="E12" s="628" t="s">
        <v>479</v>
      </c>
    </row>
    <row r="13" spans="1:5" x14ac:dyDescent="0.25">
      <c r="A13" s="621"/>
      <c r="B13" s="623"/>
      <c r="C13" s="624"/>
      <c r="D13" s="621"/>
      <c r="E13" s="628"/>
    </row>
    <row r="14" spans="1:5" x14ac:dyDescent="0.25">
      <c r="A14" s="621"/>
      <c r="B14" s="623"/>
      <c r="C14" s="625"/>
      <c r="D14" s="626"/>
      <c r="E14" s="628"/>
    </row>
    <row r="15" spans="1:5" x14ac:dyDescent="0.25">
      <c r="A15" s="621"/>
      <c r="B15" s="623"/>
      <c r="C15" s="621"/>
      <c r="D15" s="621"/>
      <c r="E15" s="628"/>
    </row>
    <row r="16" spans="1:5" x14ac:dyDescent="0.25">
      <c r="A16" s="621"/>
      <c r="B16" s="623"/>
      <c r="C16" s="625"/>
      <c r="D16" s="621"/>
      <c r="E16" s="628"/>
    </row>
    <row r="17" spans="1:5" x14ac:dyDescent="0.25">
      <c r="A17" s="621"/>
      <c r="B17" s="623"/>
      <c r="C17" s="621"/>
      <c r="D17" s="621"/>
      <c r="E17" s="628"/>
    </row>
    <row r="18" spans="1:5" x14ac:dyDescent="0.25">
      <c r="A18" s="621"/>
      <c r="B18" s="623"/>
      <c r="C18" s="621"/>
      <c r="D18" s="621"/>
      <c r="E18" s="628"/>
    </row>
    <row r="19" spans="1:5" x14ac:dyDescent="0.25">
      <c r="A19" s="621"/>
      <c r="B19" s="623"/>
      <c r="C19" s="621"/>
      <c r="D19" s="621"/>
      <c r="E19" s="628"/>
    </row>
    <row r="20" spans="1:5" x14ac:dyDescent="0.25">
      <c r="A20" s="621"/>
      <c r="B20" s="623"/>
      <c r="C20" s="626"/>
      <c r="D20" s="626"/>
      <c r="E20" s="628"/>
    </row>
    <row r="21" spans="1:5" x14ac:dyDescent="0.25">
      <c r="A21" s="621"/>
      <c r="B21" s="623"/>
      <c r="C21" s="621"/>
      <c r="D21" s="621"/>
      <c r="E21" s="628"/>
    </row>
    <row r="22" spans="1:5" x14ac:dyDescent="0.25">
      <c r="A22" s="621"/>
      <c r="B22" s="623"/>
      <c r="C22" s="621"/>
      <c r="D22" s="621"/>
      <c r="E22" s="628"/>
    </row>
    <row r="23" spans="1:5" x14ac:dyDescent="0.25">
      <c r="A23" s="621"/>
      <c r="B23" s="623"/>
      <c r="C23" s="621"/>
      <c r="D23" s="621"/>
      <c r="E23" s="628"/>
    </row>
    <row r="24" spans="1:5" x14ac:dyDescent="0.25">
      <c r="A24" s="621"/>
      <c r="B24" s="623"/>
      <c r="C24" s="621"/>
      <c r="D24" s="621"/>
      <c r="E24" s="628"/>
    </row>
    <row r="25" spans="1:5" x14ac:dyDescent="0.25">
      <c r="A25" s="621"/>
      <c r="B25" s="623"/>
      <c r="C25" s="621"/>
      <c r="D25" s="621"/>
      <c r="E25" s="628"/>
    </row>
    <row r="26" spans="1:5" x14ac:dyDescent="0.25">
      <c r="A26" s="621"/>
      <c r="B26" s="623"/>
      <c r="C26" s="621"/>
      <c r="D26" s="621"/>
      <c r="E26" s="628"/>
    </row>
    <row r="27" spans="1:5" x14ac:dyDescent="0.25">
      <c r="A27" s="621"/>
      <c r="B27" s="623"/>
      <c r="C27" s="621"/>
      <c r="D27" s="621"/>
      <c r="E27" s="628"/>
    </row>
    <row r="28" spans="1:5" x14ac:dyDescent="0.25">
      <c r="A28" s="621"/>
      <c r="B28" s="623"/>
      <c r="C28" s="621"/>
      <c r="D28" s="621"/>
      <c r="E28" s="628"/>
    </row>
    <row r="29" spans="1:5" x14ac:dyDescent="0.25">
      <c r="A29" s="621"/>
      <c r="B29" s="623"/>
      <c r="C29" s="621"/>
      <c r="D29" s="621"/>
      <c r="E29" s="628"/>
    </row>
    <row r="30" spans="1:5" x14ac:dyDescent="0.25">
      <c r="A30" s="621"/>
      <c r="B30" s="623"/>
      <c r="C30" s="621"/>
      <c r="D30" s="621"/>
      <c r="E30" s="628"/>
    </row>
    <row r="100" spans="1:1" x14ac:dyDescent="0.25">
      <c r="A100" s="627" t="s">
        <v>496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94" zoomScale="93" zoomScaleNormal="93" workbookViewId="0">
      <selection activeCell="K105" sqref="K105"/>
    </sheetView>
  </sheetViews>
  <sheetFormatPr defaultRowHeight="12.5" x14ac:dyDescent="0.25"/>
  <cols>
    <col min="1" max="1" width="17.6328125" customWidth="1"/>
    <col min="2" max="2" width="13" customWidth="1"/>
    <col min="4" max="4" width="7" customWidth="1"/>
    <col min="6" max="6" width="13.36328125" customWidth="1"/>
    <col min="8" max="8" width="18.54296875" customWidth="1"/>
    <col min="13" max="13" width="11.6328125" customWidth="1"/>
    <col min="15" max="15" width="21.54296875" customWidth="1"/>
    <col min="20" max="20" width="14.453125" customWidth="1"/>
  </cols>
  <sheetData>
    <row r="1" spans="1:32" ht="12.75" customHeight="1" x14ac:dyDescent="0.25">
      <c r="A1" s="812" t="s">
        <v>430</v>
      </c>
      <c r="B1" s="812"/>
      <c r="D1" s="812"/>
      <c r="E1" s="812"/>
      <c r="F1" s="812"/>
    </row>
    <row r="2" spans="1:32" ht="12.75" customHeight="1" x14ac:dyDescent="0.25">
      <c r="A2" s="812"/>
      <c r="B2" s="812"/>
      <c r="D2" s="812"/>
      <c r="E2" s="812"/>
      <c r="F2" s="812"/>
    </row>
    <row r="3" spans="1:32" ht="12.75" customHeight="1" x14ac:dyDescent="0.25">
      <c r="A3" s="812"/>
      <c r="B3" s="812"/>
      <c r="D3" s="812"/>
      <c r="E3" s="812"/>
      <c r="F3" s="812"/>
    </row>
    <row r="4" spans="1:32" ht="15.75" customHeight="1" x14ac:dyDescent="0.25">
      <c r="A4" s="812"/>
      <c r="B4" s="812"/>
      <c r="D4" s="812"/>
      <c r="E4" s="812"/>
      <c r="F4" s="812"/>
    </row>
    <row r="5" spans="1:32" ht="35.5" thickBot="1" x14ac:dyDescent="0.75">
      <c r="A5" s="290" t="s">
        <v>431</v>
      </c>
      <c r="H5" s="290" t="s">
        <v>441</v>
      </c>
      <c r="L5" s="69"/>
      <c r="O5" s="290" t="s">
        <v>442</v>
      </c>
      <c r="U5" s="290"/>
    </row>
    <row r="6" spans="1:32" ht="15.75" customHeight="1" thickBot="1" x14ac:dyDescent="0.35">
      <c r="A6" s="203" t="s">
        <v>239</v>
      </c>
      <c r="B6" s="848"/>
      <c r="C6" s="89"/>
      <c r="D6" s="849"/>
      <c r="E6" s="830" t="s">
        <v>231</v>
      </c>
      <c r="F6" s="807" t="s">
        <v>584</v>
      </c>
      <c r="G6" s="368" t="s">
        <v>432</v>
      </c>
      <c r="H6" s="203" t="s">
        <v>239</v>
      </c>
      <c r="I6" s="848"/>
      <c r="J6" s="366"/>
      <c r="K6" s="849"/>
      <c r="L6" s="816" t="s">
        <v>231</v>
      </c>
      <c r="M6" s="198" t="s">
        <v>584</v>
      </c>
      <c r="N6" s="368" t="s">
        <v>432</v>
      </c>
      <c r="O6" s="203" t="s">
        <v>239</v>
      </c>
      <c r="P6" s="848"/>
      <c r="Q6" s="366"/>
      <c r="R6" s="849"/>
      <c r="S6" s="816" t="s">
        <v>231</v>
      </c>
      <c r="T6" s="198" t="s">
        <v>584</v>
      </c>
      <c r="U6" s="368" t="s">
        <v>432</v>
      </c>
      <c r="Y6">
        <f>30/60</f>
        <v>0.5</v>
      </c>
      <c r="AE6">
        <v>0.5</v>
      </c>
      <c r="AF6">
        <f>((-0.0002*0.5)+(0.001))</f>
        <v>8.9999999999999998E-4</v>
      </c>
    </row>
    <row r="7" spans="1:32" ht="13" x14ac:dyDescent="0.25">
      <c r="A7" s="831" t="s">
        <v>246</v>
      </c>
      <c r="B7" s="288" t="s">
        <v>237</v>
      </c>
      <c r="C7" s="837"/>
      <c r="D7" s="289"/>
      <c r="E7" s="196"/>
      <c r="F7" s="199"/>
      <c r="H7" s="134" t="s">
        <v>246</v>
      </c>
      <c r="I7" s="810" t="s">
        <v>237</v>
      </c>
      <c r="K7" s="811"/>
      <c r="L7" s="803"/>
      <c r="M7" s="808"/>
      <c r="O7" s="134" t="s">
        <v>246</v>
      </c>
      <c r="P7" s="810" t="s">
        <v>237</v>
      </c>
      <c r="R7" s="811"/>
      <c r="S7" s="803"/>
      <c r="T7" s="808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4.5" thickBot="1" x14ac:dyDescent="0.3">
      <c r="A8" s="194" t="s">
        <v>248</v>
      </c>
      <c r="B8" s="833">
        <v>2016</v>
      </c>
      <c r="C8" s="833">
        <v>2016</v>
      </c>
      <c r="D8" s="833">
        <v>2018</v>
      </c>
      <c r="E8" s="197"/>
      <c r="F8" s="200"/>
      <c r="H8" s="194" t="s">
        <v>248</v>
      </c>
      <c r="I8" s="805">
        <v>2017</v>
      </c>
      <c r="J8" s="805">
        <v>2017</v>
      </c>
      <c r="K8" s="805">
        <v>2018</v>
      </c>
      <c r="L8" s="804"/>
      <c r="M8" s="809"/>
      <c r="O8" s="194" t="s">
        <v>248</v>
      </c>
      <c r="P8" s="802">
        <v>2015</v>
      </c>
      <c r="Q8" s="802">
        <v>2015</v>
      </c>
      <c r="R8" s="805">
        <v>2016</v>
      </c>
      <c r="S8" s="804"/>
      <c r="T8" s="808"/>
      <c r="AC8">
        <v>3</v>
      </c>
      <c r="AE8" s="78">
        <v>2</v>
      </c>
      <c r="AF8">
        <f>((-0.0002*2)+(0.001))</f>
        <v>6.0000000000000006E-4</v>
      </c>
    </row>
    <row r="9" spans="1:32" ht="13" thickBot="1" x14ac:dyDescent="0.3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3">
        <v>2.5</v>
      </c>
      <c r="AF9" s="372">
        <v>0</v>
      </c>
    </row>
    <row r="10" spans="1:32" ht="13" thickBot="1" x14ac:dyDescent="0.3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433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433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433</v>
      </c>
      <c r="AC10">
        <f>AC9-AC8</f>
        <v>1.6666666666664831E-3</v>
      </c>
      <c r="AE10" s="373">
        <v>5</v>
      </c>
      <c r="AF10" s="371">
        <v>1E-3</v>
      </c>
    </row>
    <row r="11" spans="1:32" ht="13" thickBot="1" x14ac:dyDescent="0.3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434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434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434</v>
      </c>
      <c r="AE11" s="373">
        <v>10</v>
      </c>
      <c r="AF11" s="371">
        <v>-1E-3</v>
      </c>
    </row>
    <row r="12" spans="1:32" ht="13" thickBot="1" x14ac:dyDescent="0.3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191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191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191</v>
      </c>
      <c r="AE12" s="78" t="s">
        <v>443</v>
      </c>
      <c r="AF12" s="78" t="s">
        <v>444</v>
      </c>
    </row>
    <row r="13" spans="1:32" ht="13" x14ac:dyDescent="0.25">
      <c r="A13" s="216" t="s">
        <v>435</v>
      </c>
      <c r="B13" s="201" t="s">
        <v>237</v>
      </c>
      <c r="C13" s="201" t="s">
        <v>237</v>
      </c>
      <c r="D13" s="207"/>
      <c r="E13" s="195" t="s">
        <v>231</v>
      </c>
      <c r="F13" s="198" t="s">
        <v>584</v>
      </c>
      <c r="H13" s="216" t="s">
        <v>435</v>
      </c>
      <c r="I13" s="201" t="s">
        <v>237</v>
      </c>
      <c r="J13" s="201" t="s">
        <v>237</v>
      </c>
      <c r="K13" s="207"/>
      <c r="L13" s="195" t="s">
        <v>231</v>
      </c>
      <c r="M13" s="198" t="s">
        <v>584</v>
      </c>
      <c r="O13" s="216" t="s">
        <v>435</v>
      </c>
      <c r="P13" s="201" t="s">
        <v>237</v>
      </c>
      <c r="Q13" s="201" t="s">
        <v>237</v>
      </c>
      <c r="R13" s="207"/>
      <c r="S13" s="195" t="s">
        <v>231</v>
      </c>
      <c r="T13" s="198" t="s">
        <v>584</v>
      </c>
    </row>
    <row r="14" spans="1:32" ht="13" x14ac:dyDescent="0.3">
      <c r="A14" s="217" t="s">
        <v>436</v>
      </c>
      <c r="B14" s="805">
        <v>2016</v>
      </c>
      <c r="C14" s="805">
        <v>2016</v>
      </c>
      <c r="D14" s="805">
        <v>2018</v>
      </c>
      <c r="E14" s="208"/>
      <c r="F14" s="199"/>
      <c r="H14" s="217" t="s">
        <v>436</v>
      </c>
      <c r="I14" s="805">
        <v>2017</v>
      </c>
      <c r="J14" s="805">
        <v>2017</v>
      </c>
      <c r="K14" s="805">
        <v>2018</v>
      </c>
      <c r="L14" s="208"/>
      <c r="M14" s="199"/>
      <c r="O14" s="217" t="s">
        <v>436</v>
      </c>
      <c r="P14" s="802">
        <v>2015</v>
      </c>
      <c r="Q14" s="802">
        <v>2015</v>
      </c>
      <c r="R14" s="805">
        <v>2016</v>
      </c>
      <c r="S14" s="208"/>
      <c r="T14" s="199"/>
    </row>
    <row r="15" spans="1:32" x14ac:dyDescent="0.25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191</v>
      </c>
      <c r="Q15" s="79" t="s">
        <v>191</v>
      </c>
      <c r="R15" s="294">
        <v>8.9999999999999998E-4</v>
      </c>
      <c r="S15" s="374">
        <f>1/3*T15</f>
        <v>3.3333333333333332E-4</v>
      </c>
      <c r="T15" s="213">
        <v>1E-3</v>
      </c>
    </row>
    <row r="16" spans="1:32" x14ac:dyDescent="0.25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191</v>
      </c>
      <c r="Q16" s="79" t="s">
        <v>191</v>
      </c>
      <c r="R16" s="294">
        <v>8.0000000000000004E-4</v>
      </c>
      <c r="S16" s="374">
        <f t="shared" ref="S16:S17" si="0">1/3*T16</f>
        <v>3.3333333333333332E-4</v>
      </c>
      <c r="T16" s="213">
        <v>1E-3</v>
      </c>
    </row>
    <row r="17" spans="1:21" ht="13" thickBot="1" x14ac:dyDescent="0.3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191</v>
      </c>
      <c r="Q17" s="79" t="s">
        <v>191</v>
      </c>
      <c r="R17" s="294">
        <v>5.9999999999999995E-4</v>
      </c>
      <c r="S17" s="374">
        <f t="shared" si="0"/>
        <v>3.3333333333333332E-4</v>
      </c>
      <c r="T17" s="213">
        <v>1E-3</v>
      </c>
    </row>
    <row r="18" spans="1:21" ht="13" x14ac:dyDescent="0.25">
      <c r="A18" s="216" t="s">
        <v>437</v>
      </c>
      <c r="B18" s="201" t="s">
        <v>237</v>
      </c>
      <c r="C18" s="201" t="s">
        <v>237</v>
      </c>
      <c r="D18" s="207"/>
      <c r="E18" s="195" t="s">
        <v>231</v>
      </c>
      <c r="F18" s="198" t="s">
        <v>584</v>
      </c>
      <c r="H18" s="216" t="s">
        <v>437</v>
      </c>
      <c r="I18" s="201" t="s">
        <v>237</v>
      </c>
      <c r="J18" s="201" t="s">
        <v>237</v>
      </c>
      <c r="K18" s="207"/>
      <c r="L18" s="195" t="s">
        <v>231</v>
      </c>
      <c r="M18" s="198" t="s">
        <v>584</v>
      </c>
      <c r="O18" s="216" t="s">
        <v>437</v>
      </c>
      <c r="P18" s="201" t="s">
        <v>237</v>
      </c>
      <c r="Q18" s="201" t="s">
        <v>237</v>
      </c>
      <c r="R18" s="207"/>
      <c r="S18" s="195" t="s">
        <v>231</v>
      </c>
      <c r="T18" s="198" t="s">
        <v>584</v>
      </c>
    </row>
    <row r="19" spans="1:21" ht="13" x14ac:dyDescent="0.25">
      <c r="A19" s="216" t="s">
        <v>438</v>
      </c>
      <c r="B19" s="805">
        <v>2016</v>
      </c>
      <c r="C19" s="805">
        <v>2016</v>
      </c>
      <c r="D19" s="805">
        <v>2018</v>
      </c>
      <c r="E19" s="208"/>
      <c r="F19" s="199"/>
      <c r="H19" s="216" t="s">
        <v>438</v>
      </c>
      <c r="I19" s="805">
        <v>2017</v>
      </c>
      <c r="J19" s="805">
        <v>2017</v>
      </c>
      <c r="K19" s="805">
        <v>2018</v>
      </c>
      <c r="L19" s="208"/>
      <c r="M19" s="199"/>
      <c r="O19" s="216" t="s">
        <v>438</v>
      </c>
      <c r="P19" s="802">
        <v>2015</v>
      </c>
      <c r="Q19" s="802">
        <v>2015</v>
      </c>
      <c r="R19" s="805">
        <v>2016</v>
      </c>
      <c r="S19" s="208"/>
      <c r="T19" s="199"/>
    </row>
    <row r="20" spans="1:21" x14ac:dyDescent="0.25">
      <c r="A20" s="212">
        <v>0.125</v>
      </c>
      <c r="B20" s="79" t="s">
        <v>191</v>
      </c>
      <c r="C20" s="79" t="s">
        <v>191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439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439</v>
      </c>
      <c r="O20" s="212">
        <v>0.125</v>
      </c>
      <c r="P20" s="79" t="s">
        <v>191</v>
      </c>
      <c r="Q20" s="79" t="s">
        <v>191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439</v>
      </c>
    </row>
    <row r="21" spans="1:21" ht="13" thickBot="1" x14ac:dyDescent="0.3">
      <c r="A21" s="212">
        <v>2</v>
      </c>
      <c r="B21" s="79" t="s">
        <v>191</v>
      </c>
      <c r="C21" s="79" t="s">
        <v>191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439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439</v>
      </c>
      <c r="O21" s="212">
        <v>2</v>
      </c>
      <c r="P21" s="79" t="s">
        <v>191</v>
      </c>
      <c r="Q21" s="79" t="s">
        <v>191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439</v>
      </c>
    </row>
    <row r="22" spans="1:21" ht="13" x14ac:dyDescent="0.25">
      <c r="A22" s="216" t="s">
        <v>440</v>
      </c>
      <c r="B22" s="201" t="s">
        <v>237</v>
      </c>
      <c r="C22" s="201" t="s">
        <v>237</v>
      </c>
      <c r="D22" s="207"/>
      <c r="E22" s="195" t="s">
        <v>231</v>
      </c>
      <c r="F22" s="198" t="s">
        <v>584</v>
      </c>
      <c r="H22" s="216" t="s">
        <v>440</v>
      </c>
      <c r="I22" s="201" t="s">
        <v>237</v>
      </c>
      <c r="J22" s="201" t="s">
        <v>237</v>
      </c>
      <c r="K22" s="207"/>
      <c r="L22" s="195" t="s">
        <v>231</v>
      </c>
      <c r="M22" s="198" t="s">
        <v>584</v>
      </c>
      <c r="O22" s="216" t="s">
        <v>440</v>
      </c>
      <c r="P22" s="201" t="s">
        <v>237</v>
      </c>
      <c r="Q22" s="201" t="s">
        <v>237</v>
      </c>
      <c r="R22" s="207"/>
      <c r="S22" s="195" t="s">
        <v>231</v>
      </c>
      <c r="T22" s="198" t="s">
        <v>584</v>
      </c>
    </row>
    <row r="23" spans="1:21" ht="13" x14ac:dyDescent="0.25">
      <c r="A23" s="216" t="s">
        <v>438</v>
      </c>
      <c r="B23" s="805">
        <v>2016</v>
      </c>
      <c r="C23" s="805">
        <v>2016</v>
      </c>
      <c r="D23" s="805">
        <v>2018</v>
      </c>
      <c r="E23" s="208"/>
      <c r="F23" s="199"/>
      <c r="H23" s="216" t="s">
        <v>438</v>
      </c>
      <c r="I23" s="805">
        <v>2017</v>
      </c>
      <c r="J23" s="805">
        <v>2017</v>
      </c>
      <c r="K23" s="805">
        <v>2018</v>
      </c>
      <c r="L23" s="208"/>
      <c r="M23" s="199"/>
      <c r="O23" s="216" t="s">
        <v>438</v>
      </c>
      <c r="P23" s="802">
        <v>2015</v>
      </c>
      <c r="Q23" s="802">
        <v>2015</v>
      </c>
      <c r="R23" s="805">
        <v>2016</v>
      </c>
      <c r="S23" s="208"/>
      <c r="T23" s="199"/>
    </row>
    <row r="24" spans="1:21" ht="13" thickBot="1" x14ac:dyDescent="0.3">
      <c r="A24" s="214">
        <v>10</v>
      </c>
      <c r="B24" s="80" t="s">
        <v>191</v>
      </c>
      <c r="C24" s="80" t="s">
        <v>191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439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439</v>
      </c>
      <c r="O24" s="214">
        <v>10</v>
      </c>
      <c r="P24" s="80" t="s">
        <v>191</v>
      </c>
      <c r="Q24" s="80" t="s">
        <v>191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439</v>
      </c>
    </row>
    <row r="26" spans="1:21" ht="15.75" customHeight="1" x14ac:dyDescent="0.25"/>
    <row r="27" spans="1:21" ht="35.5" thickBot="1" x14ac:dyDescent="0.75">
      <c r="A27" s="290" t="s">
        <v>445</v>
      </c>
      <c r="H27" s="290" t="s">
        <v>446</v>
      </c>
      <c r="O27" s="290" t="s">
        <v>447</v>
      </c>
    </row>
    <row r="28" spans="1:21" ht="14.5" thickBot="1" x14ac:dyDescent="0.35">
      <c r="A28" s="813" t="s">
        <v>239</v>
      </c>
      <c r="B28" s="814"/>
      <c r="C28" s="366"/>
      <c r="D28" s="815"/>
      <c r="E28" s="816" t="s">
        <v>231</v>
      </c>
      <c r="F28" s="807" t="s">
        <v>584</v>
      </c>
      <c r="H28" s="192" t="s">
        <v>239</v>
      </c>
      <c r="I28" s="814"/>
      <c r="J28" s="366"/>
      <c r="K28" s="815"/>
      <c r="L28" s="816" t="s">
        <v>231</v>
      </c>
      <c r="M28" s="807" t="s">
        <v>584</v>
      </c>
      <c r="O28" s="192" t="s">
        <v>239</v>
      </c>
      <c r="P28" s="814"/>
      <c r="Q28" s="366"/>
      <c r="R28" s="815"/>
      <c r="S28" s="816" t="s">
        <v>231</v>
      </c>
      <c r="T28" s="807" t="s">
        <v>584</v>
      </c>
    </row>
    <row r="29" spans="1:21" ht="13" x14ac:dyDescent="0.25">
      <c r="A29" s="134" t="s">
        <v>246</v>
      </c>
      <c r="B29" s="810" t="s">
        <v>237</v>
      </c>
      <c r="C29" s="810" t="s">
        <v>237</v>
      </c>
      <c r="D29" s="811"/>
      <c r="E29" s="803"/>
      <c r="F29" s="808"/>
      <c r="H29" s="134" t="s">
        <v>246</v>
      </c>
      <c r="I29" s="810" t="s">
        <v>237</v>
      </c>
      <c r="J29" s="810" t="s">
        <v>237</v>
      </c>
      <c r="K29" s="811"/>
      <c r="L29" s="803"/>
      <c r="M29" s="808"/>
      <c r="O29" s="134" t="s">
        <v>246</v>
      </c>
      <c r="P29" s="810" t="s">
        <v>237</v>
      </c>
      <c r="R29" s="811"/>
      <c r="S29" s="803"/>
      <c r="T29" s="808"/>
    </row>
    <row r="30" spans="1:21" ht="14" x14ac:dyDescent="0.25">
      <c r="A30" s="194" t="s">
        <v>248</v>
      </c>
      <c r="B30" s="802">
        <v>2014</v>
      </c>
      <c r="C30" s="802">
        <v>2014</v>
      </c>
      <c r="D30" s="805">
        <v>2017</v>
      </c>
      <c r="E30" s="804"/>
      <c r="F30" s="809"/>
      <c r="H30" s="194" t="s">
        <v>248</v>
      </c>
      <c r="I30" s="802">
        <v>2016</v>
      </c>
      <c r="J30" s="802">
        <v>2016</v>
      </c>
      <c r="K30" s="805">
        <v>2017</v>
      </c>
      <c r="L30" s="804"/>
      <c r="M30" s="809"/>
      <c r="O30" s="194" t="s">
        <v>248</v>
      </c>
      <c r="P30" s="802">
        <v>2015</v>
      </c>
      <c r="Q30" s="802">
        <v>2015</v>
      </c>
      <c r="R30" s="805">
        <v>2017</v>
      </c>
      <c r="S30" s="804"/>
      <c r="T30" s="809"/>
    </row>
    <row r="31" spans="1:21" x14ac:dyDescent="0.25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191</v>
      </c>
      <c r="Q31" s="101" t="s">
        <v>191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5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433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433</v>
      </c>
      <c r="O32" s="135">
        <v>1</v>
      </c>
      <c r="P32" s="101" t="s">
        <v>191</v>
      </c>
      <c r="Q32" s="101" t="s">
        <v>191</v>
      </c>
      <c r="R32" s="94">
        <v>0</v>
      </c>
      <c r="S32" s="69">
        <f>0.5*(MAX(P32:R32)-MIN(P32:R32))</f>
        <v>0</v>
      </c>
      <c r="T32" s="70" t="s">
        <v>433</v>
      </c>
    </row>
    <row r="33" spans="1:21" x14ac:dyDescent="0.25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434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434</v>
      </c>
      <c r="O33" s="135">
        <v>2</v>
      </c>
      <c r="P33" s="101" t="s">
        <v>191</v>
      </c>
      <c r="Q33" s="101" t="s">
        <v>191</v>
      </c>
      <c r="R33" s="94">
        <v>0</v>
      </c>
      <c r="S33" s="69">
        <f>0.5*(MAX(P33:R33)-MIN(P33:R33))</f>
        <v>0</v>
      </c>
      <c r="T33" s="70" t="s">
        <v>434</v>
      </c>
    </row>
    <row r="34" spans="1:21" ht="13" thickBot="1" x14ac:dyDescent="0.3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191</v>
      </c>
      <c r="Q34" s="102" t="s">
        <v>191</v>
      </c>
      <c r="R34" s="95">
        <v>0</v>
      </c>
      <c r="S34" s="72">
        <f>0.5*(MAX(P34:R34)-MIN(P34:R34))</f>
        <v>0</v>
      </c>
      <c r="T34" s="70"/>
    </row>
    <row r="35" spans="1:21" ht="13" x14ac:dyDescent="0.25">
      <c r="A35" s="216" t="s">
        <v>435</v>
      </c>
      <c r="B35" s="201" t="s">
        <v>237</v>
      </c>
      <c r="C35" s="201" t="s">
        <v>237</v>
      </c>
      <c r="D35" s="207"/>
      <c r="E35" s="195" t="s">
        <v>231</v>
      </c>
      <c r="F35" s="807" t="s">
        <v>584</v>
      </c>
      <c r="H35" s="216" t="s">
        <v>435</v>
      </c>
      <c r="I35" s="201" t="s">
        <v>237</v>
      </c>
      <c r="J35" s="201" t="s">
        <v>237</v>
      </c>
      <c r="K35" s="207"/>
      <c r="L35" s="195" t="s">
        <v>231</v>
      </c>
      <c r="M35" s="807" t="s">
        <v>584</v>
      </c>
      <c r="O35" s="216" t="s">
        <v>435</v>
      </c>
      <c r="P35" s="201" t="s">
        <v>237</v>
      </c>
      <c r="Q35" s="201" t="s">
        <v>237</v>
      </c>
      <c r="R35" s="207"/>
      <c r="S35" s="195" t="s">
        <v>231</v>
      </c>
      <c r="T35" s="807" t="s">
        <v>584</v>
      </c>
    </row>
    <row r="36" spans="1:21" ht="13" x14ac:dyDescent="0.3">
      <c r="A36" s="217" t="s">
        <v>436</v>
      </c>
      <c r="B36" s="802">
        <v>2014</v>
      </c>
      <c r="C36" s="802">
        <v>2014</v>
      </c>
      <c r="D36" s="805">
        <v>2017</v>
      </c>
      <c r="E36" s="208"/>
      <c r="F36" s="199"/>
      <c r="H36" s="217" t="s">
        <v>436</v>
      </c>
      <c r="I36" s="802">
        <v>2016</v>
      </c>
      <c r="J36" s="802">
        <v>2016</v>
      </c>
      <c r="K36" s="805">
        <v>2017</v>
      </c>
      <c r="L36" s="208"/>
      <c r="M36" s="199"/>
      <c r="O36" s="217" t="s">
        <v>436</v>
      </c>
      <c r="P36" s="802">
        <v>2015</v>
      </c>
      <c r="Q36" s="802">
        <v>2015</v>
      </c>
      <c r="R36" s="805">
        <v>2017</v>
      </c>
      <c r="S36" s="208"/>
      <c r="T36" s="199"/>
    </row>
    <row r="37" spans="1:21" x14ac:dyDescent="0.25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191</v>
      </c>
      <c r="J37" s="79" t="s">
        <v>191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191</v>
      </c>
      <c r="Q37" s="79" t="s">
        <v>191</v>
      </c>
      <c r="R37" s="79">
        <v>0</v>
      </c>
      <c r="S37" s="69">
        <f>0.5*(MAX(P37:R37)-MIN(P37:R37))</f>
        <v>0</v>
      </c>
      <c r="T37" s="213">
        <v>1E-4</v>
      </c>
      <c r="U37" s="78" t="s">
        <v>448</v>
      </c>
    </row>
    <row r="38" spans="1:21" x14ac:dyDescent="0.25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191</v>
      </c>
      <c r="J38" s="79" t="s">
        <v>191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191</v>
      </c>
      <c r="Q38" s="79" t="s">
        <v>191</v>
      </c>
      <c r="R38" s="79">
        <v>0</v>
      </c>
      <c r="S38" s="69">
        <f>0.5*(MAX(P38:R38)-MIN(P38:R38))</f>
        <v>0</v>
      </c>
      <c r="T38" s="213">
        <v>1E-4</v>
      </c>
      <c r="U38" s="78" t="s">
        <v>448</v>
      </c>
    </row>
    <row r="39" spans="1:21" ht="13" thickBot="1" x14ac:dyDescent="0.3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191</v>
      </c>
      <c r="J39" s="79" t="s">
        <v>191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191</v>
      </c>
      <c r="Q39" s="79" t="s">
        <v>191</v>
      </c>
      <c r="R39" s="79">
        <v>0</v>
      </c>
      <c r="S39" s="69">
        <f>0.5*(MAX(P39:R39)-MIN(P39:R39))</f>
        <v>0</v>
      </c>
      <c r="T39" s="213">
        <v>1E-4</v>
      </c>
      <c r="U39" s="78" t="s">
        <v>448</v>
      </c>
    </row>
    <row r="40" spans="1:21" ht="13" x14ac:dyDescent="0.25">
      <c r="A40" s="216" t="s">
        <v>437</v>
      </c>
      <c r="B40" s="201" t="s">
        <v>237</v>
      </c>
      <c r="C40" s="201" t="s">
        <v>237</v>
      </c>
      <c r="D40" s="207"/>
      <c r="E40" s="195" t="s">
        <v>231</v>
      </c>
      <c r="F40" s="807" t="s">
        <v>584</v>
      </c>
      <c r="H40" s="216" t="s">
        <v>437</v>
      </c>
      <c r="I40" s="201" t="s">
        <v>237</v>
      </c>
      <c r="J40" s="201" t="s">
        <v>237</v>
      </c>
      <c r="K40" s="207"/>
      <c r="L40" s="195" t="s">
        <v>231</v>
      </c>
      <c r="M40" s="807" t="s">
        <v>584</v>
      </c>
      <c r="O40" s="216" t="s">
        <v>437</v>
      </c>
      <c r="P40" s="201" t="s">
        <v>237</v>
      </c>
      <c r="Q40" s="201" t="s">
        <v>237</v>
      </c>
      <c r="R40" s="207"/>
      <c r="S40" s="195" t="s">
        <v>231</v>
      </c>
      <c r="T40" s="807" t="s">
        <v>584</v>
      </c>
    </row>
    <row r="41" spans="1:21" ht="13" x14ac:dyDescent="0.25">
      <c r="A41" s="216" t="s">
        <v>438</v>
      </c>
      <c r="B41" s="802">
        <v>2014</v>
      </c>
      <c r="C41" s="802">
        <v>2014</v>
      </c>
      <c r="D41" s="805">
        <v>2017</v>
      </c>
      <c r="E41" s="208"/>
      <c r="F41" s="199"/>
      <c r="H41" s="216" t="s">
        <v>438</v>
      </c>
      <c r="I41" s="802">
        <v>2016</v>
      </c>
      <c r="J41" s="802">
        <v>2016</v>
      </c>
      <c r="K41" s="805">
        <v>2017</v>
      </c>
      <c r="L41" s="208"/>
      <c r="M41" s="199"/>
      <c r="O41" s="216" t="s">
        <v>438</v>
      </c>
      <c r="P41" s="802">
        <v>2015</v>
      </c>
      <c r="Q41" s="802">
        <v>2015</v>
      </c>
      <c r="R41" s="805">
        <v>2017</v>
      </c>
      <c r="S41" s="208"/>
      <c r="T41" s="199"/>
    </row>
    <row r="42" spans="1:21" x14ac:dyDescent="0.25">
      <c r="A42" s="212">
        <v>0.125</v>
      </c>
      <c r="B42" s="79" t="s">
        <v>191</v>
      </c>
      <c r="C42" s="79" t="s">
        <v>191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439</v>
      </c>
      <c r="H42" s="212">
        <v>0.125</v>
      </c>
      <c r="I42" s="79" t="s">
        <v>191</v>
      </c>
      <c r="J42" s="79" t="s">
        <v>191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439</v>
      </c>
      <c r="O42" s="212">
        <v>0.125</v>
      </c>
      <c r="P42" s="79" t="s">
        <v>191</v>
      </c>
      <c r="Q42" s="79" t="s">
        <v>191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448</v>
      </c>
    </row>
    <row r="43" spans="1:21" ht="13" thickBot="1" x14ac:dyDescent="0.3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439</v>
      </c>
      <c r="H43" s="212">
        <v>2</v>
      </c>
      <c r="I43" s="79" t="s">
        <v>191</v>
      </c>
      <c r="J43" s="79" t="s">
        <v>191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439</v>
      </c>
      <c r="O43" s="212">
        <v>2</v>
      </c>
      <c r="P43" s="79" t="s">
        <v>191</v>
      </c>
      <c r="Q43" s="79" t="s">
        <v>191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448</v>
      </c>
    </row>
    <row r="44" spans="1:21" ht="13" x14ac:dyDescent="0.25">
      <c r="A44" s="216" t="s">
        <v>440</v>
      </c>
      <c r="B44" s="201" t="s">
        <v>237</v>
      </c>
      <c r="C44" s="201" t="s">
        <v>237</v>
      </c>
      <c r="D44" s="207"/>
      <c r="E44" s="195" t="s">
        <v>231</v>
      </c>
      <c r="F44" s="807" t="s">
        <v>584</v>
      </c>
      <c r="H44" s="216" t="s">
        <v>440</v>
      </c>
      <c r="I44" s="201" t="s">
        <v>237</v>
      </c>
      <c r="J44" s="201" t="s">
        <v>237</v>
      </c>
      <c r="K44" s="207"/>
      <c r="L44" s="195" t="s">
        <v>231</v>
      </c>
      <c r="M44" s="807" t="s">
        <v>584</v>
      </c>
      <c r="O44" s="216" t="s">
        <v>440</v>
      </c>
      <c r="P44" s="201" t="s">
        <v>237</v>
      </c>
      <c r="Q44" s="201" t="s">
        <v>237</v>
      </c>
      <c r="R44" s="207"/>
      <c r="S44" s="195" t="s">
        <v>231</v>
      </c>
      <c r="T44" s="807" t="s">
        <v>584</v>
      </c>
    </row>
    <row r="45" spans="1:21" ht="13" x14ac:dyDescent="0.25">
      <c r="A45" s="216" t="s">
        <v>438</v>
      </c>
      <c r="B45" s="802">
        <v>2014</v>
      </c>
      <c r="C45" s="802">
        <v>2014</v>
      </c>
      <c r="D45" s="805">
        <v>2017</v>
      </c>
      <c r="E45" s="208"/>
      <c r="F45" s="199"/>
      <c r="H45" s="216" t="s">
        <v>438</v>
      </c>
      <c r="I45" s="802">
        <v>2016</v>
      </c>
      <c r="J45" s="802">
        <v>2016</v>
      </c>
      <c r="K45" s="805">
        <v>2017</v>
      </c>
      <c r="L45" s="208"/>
      <c r="M45" s="199"/>
      <c r="O45" s="216" t="s">
        <v>438</v>
      </c>
      <c r="P45" s="802">
        <v>2015</v>
      </c>
      <c r="Q45" s="802">
        <v>2015</v>
      </c>
      <c r="R45" s="805">
        <v>2017</v>
      </c>
      <c r="S45" s="208"/>
      <c r="T45" s="199"/>
    </row>
    <row r="46" spans="1:21" ht="13" thickBot="1" x14ac:dyDescent="0.3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439</v>
      </c>
      <c r="H46" s="214">
        <v>10</v>
      </c>
      <c r="I46" s="80" t="s">
        <v>191</v>
      </c>
      <c r="J46" s="80" t="s">
        <v>191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439</v>
      </c>
      <c r="O46" s="214">
        <v>10</v>
      </c>
      <c r="P46" s="80" t="s">
        <v>191</v>
      </c>
      <c r="Q46" s="80" t="s">
        <v>191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448</v>
      </c>
    </row>
    <row r="49" spans="1:20" ht="35.5" thickBot="1" x14ac:dyDescent="0.75">
      <c r="A49" s="290" t="s">
        <v>449</v>
      </c>
      <c r="H49" s="370" t="s">
        <v>450</v>
      </c>
      <c r="O49" s="369" t="s">
        <v>451</v>
      </c>
    </row>
    <row r="50" spans="1:20" ht="14.5" thickBot="1" x14ac:dyDescent="0.35">
      <c r="A50" s="813" t="s">
        <v>239</v>
      </c>
      <c r="B50" s="814"/>
      <c r="C50" s="366"/>
      <c r="D50" s="815"/>
      <c r="E50" s="816" t="s">
        <v>231</v>
      </c>
      <c r="F50" s="807" t="s">
        <v>584</v>
      </c>
      <c r="H50" s="192" t="s">
        <v>239</v>
      </c>
      <c r="I50" s="814"/>
      <c r="J50" s="366"/>
      <c r="K50" s="815"/>
      <c r="L50" s="816" t="s">
        <v>231</v>
      </c>
      <c r="M50" s="807" t="s">
        <v>584</v>
      </c>
      <c r="O50" s="192" t="s">
        <v>239</v>
      </c>
      <c r="P50" s="814"/>
      <c r="Q50" s="366"/>
      <c r="R50" s="815"/>
      <c r="S50" s="816" t="s">
        <v>231</v>
      </c>
      <c r="T50" s="807" t="s">
        <v>584</v>
      </c>
    </row>
    <row r="51" spans="1:20" ht="13" x14ac:dyDescent="0.25">
      <c r="A51" s="134" t="s">
        <v>246</v>
      </c>
      <c r="B51" s="810" t="s">
        <v>237</v>
      </c>
      <c r="C51" s="810" t="s">
        <v>237</v>
      </c>
      <c r="D51" s="811"/>
      <c r="E51" s="803"/>
      <c r="F51" s="808"/>
      <c r="H51" s="134" t="s">
        <v>246</v>
      </c>
      <c r="I51" s="810" t="s">
        <v>237</v>
      </c>
      <c r="K51" s="811"/>
      <c r="L51" s="803"/>
      <c r="M51" s="808"/>
      <c r="O51" s="134" t="s">
        <v>246</v>
      </c>
      <c r="P51" s="810" t="s">
        <v>237</v>
      </c>
      <c r="R51" s="811"/>
      <c r="S51" s="803"/>
      <c r="T51" s="808"/>
    </row>
    <row r="52" spans="1:20" ht="14" x14ac:dyDescent="0.25">
      <c r="A52" s="194" t="s">
        <v>248</v>
      </c>
      <c r="B52" s="805">
        <v>2015</v>
      </c>
      <c r="C52" s="805">
        <v>2015</v>
      </c>
      <c r="D52" s="805">
        <v>2018</v>
      </c>
      <c r="E52" s="804"/>
      <c r="F52" s="808"/>
      <c r="H52" s="194" t="s">
        <v>248</v>
      </c>
      <c r="I52" s="802">
        <v>2015</v>
      </c>
      <c r="J52" s="802">
        <v>2015</v>
      </c>
      <c r="K52" s="805">
        <v>2017</v>
      </c>
      <c r="L52" s="804"/>
      <c r="M52" s="809"/>
      <c r="O52" s="194" t="s">
        <v>248</v>
      </c>
      <c r="P52" s="802">
        <v>2018</v>
      </c>
      <c r="Q52" s="802">
        <v>2018</v>
      </c>
      <c r="R52" s="805">
        <v>2019</v>
      </c>
      <c r="S52" s="804"/>
      <c r="T52" s="809"/>
    </row>
    <row r="53" spans="1:20" x14ac:dyDescent="0.25">
      <c r="A53" s="135">
        <v>0.5</v>
      </c>
      <c r="B53" s="291" t="s">
        <v>191</v>
      </c>
      <c r="C53" s="291" t="s">
        <v>191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191</v>
      </c>
      <c r="J53" s="101" t="s">
        <v>191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191</v>
      </c>
      <c r="Q53" s="101" t="s">
        <v>191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5">
      <c r="A54" s="135">
        <v>1</v>
      </c>
      <c r="B54" s="291" t="s">
        <v>191</v>
      </c>
      <c r="C54" s="291" t="s">
        <v>191</v>
      </c>
      <c r="D54" s="94">
        <v>0</v>
      </c>
      <c r="E54" s="69">
        <f>0.5*(MAX(B54:D54)-MIN(B54:D54))</f>
        <v>0</v>
      </c>
      <c r="F54" s="91" t="s">
        <v>433</v>
      </c>
      <c r="H54" s="135">
        <v>60</v>
      </c>
      <c r="I54" s="101" t="s">
        <v>191</v>
      </c>
      <c r="J54" s="101" t="s">
        <v>191</v>
      </c>
      <c r="K54" s="94">
        <v>0</v>
      </c>
      <c r="L54" s="69">
        <f>0.5*(MAX(I54:K54)-MIN(I54:K54))</f>
        <v>0</v>
      </c>
      <c r="M54" s="70" t="s">
        <v>433</v>
      </c>
      <c r="O54" s="135">
        <v>1</v>
      </c>
      <c r="P54" s="101" t="s">
        <v>191</v>
      </c>
      <c r="Q54" s="101" t="s">
        <v>191</v>
      </c>
      <c r="R54" s="94">
        <v>0</v>
      </c>
      <c r="S54" s="69">
        <f>0.5*(MAX(P54:R54)-MIN(P54:R54))</f>
        <v>0</v>
      </c>
      <c r="T54" s="70" t="s">
        <v>433</v>
      </c>
    </row>
    <row r="55" spans="1:20" x14ac:dyDescent="0.25">
      <c r="A55" s="135">
        <v>2</v>
      </c>
      <c r="B55" s="291" t="s">
        <v>191</v>
      </c>
      <c r="C55" s="291" t="s">
        <v>191</v>
      </c>
      <c r="D55" s="94">
        <v>0</v>
      </c>
      <c r="E55" s="69">
        <f>0.5*(MAX(B55:D55)-MIN(B55:D55))</f>
        <v>0</v>
      </c>
      <c r="F55" s="91" t="s">
        <v>434</v>
      </c>
      <c r="H55" s="135">
        <v>120</v>
      </c>
      <c r="I55" s="101" t="s">
        <v>191</v>
      </c>
      <c r="J55" s="101" t="s">
        <v>191</v>
      </c>
      <c r="K55" s="94">
        <v>0</v>
      </c>
      <c r="L55" s="69">
        <f>0.5*(MAX(I55:K55)-MIN(I55:K55))</f>
        <v>0</v>
      </c>
      <c r="M55" s="70" t="s">
        <v>434</v>
      </c>
      <c r="O55" s="135">
        <v>2</v>
      </c>
      <c r="P55" s="101" t="s">
        <v>191</v>
      </c>
      <c r="Q55" s="101" t="s">
        <v>191</v>
      </c>
      <c r="R55" s="94">
        <v>0</v>
      </c>
      <c r="S55" s="69">
        <f>0.5*(MAX(P55:R55)-MIN(P55:R55))</f>
        <v>0</v>
      </c>
      <c r="T55" s="70" t="s">
        <v>434</v>
      </c>
    </row>
    <row r="56" spans="1:20" ht="13" thickBot="1" x14ac:dyDescent="0.3">
      <c r="A56" s="136">
        <v>3</v>
      </c>
      <c r="B56" s="292" t="s">
        <v>191</v>
      </c>
      <c r="C56" s="292" t="s">
        <v>191</v>
      </c>
      <c r="D56" s="95">
        <v>0</v>
      </c>
      <c r="E56" s="72">
        <f>0.5*(MAX(B56:D56)-MIN(B56:D56))</f>
        <v>0</v>
      </c>
      <c r="F56" s="92" t="s">
        <v>191</v>
      </c>
      <c r="H56" s="136">
        <v>180</v>
      </c>
      <c r="I56" s="102" t="s">
        <v>191</v>
      </c>
      <c r="J56" s="102" t="s">
        <v>191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191</v>
      </c>
      <c r="Q56" s="102" t="s">
        <v>191</v>
      </c>
      <c r="R56" s="95">
        <v>0</v>
      </c>
      <c r="S56" s="72">
        <f>0.5*(MAX(P56:R56)-MIN(P56:R56))</f>
        <v>0</v>
      </c>
      <c r="T56" s="70"/>
    </row>
    <row r="57" spans="1:20" ht="13" x14ac:dyDescent="0.25">
      <c r="A57" s="216" t="s">
        <v>435</v>
      </c>
      <c r="B57" s="201" t="s">
        <v>237</v>
      </c>
      <c r="C57" s="201" t="s">
        <v>237</v>
      </c>
      <c r="D57" s="207"/>
      <c r="E57" s="195" t="s">
        <v>231</v>
      </c>
      <c r="F57" s="807" t="s">
        <v>584</v>
      </c>
      <c r="H57" s="216" t="s">
        <v>435</v>
      </c>
      <c r="I57" s="201" t="s">
        <v>237</v>
      </c>
      <c r="J57" s="201" t="s">
        <v>237</v>
      </c>
      <c r="K57" s="207"/>
      <c r="L57" s="195" t="s">
        <v>231</v>
      </c>
      <c r="M57" s="807" t="s">
        <v>584</v>
      </c>
      <c r="O57" s="216" t="s">
        <v>435</v>
      </c>
      <c r="P57" s="201" t="s">
        <v>237</v>
      </c>
      <c r="Q57" s="201" t="s">
        <v>237</v>
      </c>
      <c r="R57" s="207"/>
      <c r="S57" s="195" t="s">
        <v>231</v>
      </c>
      <c r="T57" s="807" t="s">
        <v>584</v>
      </c>
    </row>
    <row r="58" spans="1:20" ht="13" x14ac:dyDescent="0.3">
      <c r="A58" s="217" t="s">
        <v>436</v>
      </c>
      <c r="B58" s="802">
        <v>2015</v>
      </c>
      <c r="C58" s="802">
        <v>2015</v>
      </c>
      <c r="D58" s="805">
        <v>2018</v>
      </c>
      <c r="E58" s="208"/>
      <c r="F58" s="199"/>
      <c r="H58" s="217" t="s">
        <v>436</v>
      </c>
      <c r="I58" s="802">
        <v>2015</v>
      </c>
      <c r="J58" s="802">
        <v>2015</v>
      </c>
      <c r="K58" s="805">
        <v>2017</v>
      </c>
      <c r="L58" s="208"/>
      <c r="M58" s="199"/>
      <c r="O58" s="217" t="s">
        <v>436</v>
      </c>
      <c r="P58" s="802">
        <v>2018</v>
      </c>
      <c r="Q58" s="802">
        <v>2018</v>
      </c>
      <c r="R58" s="805">
        <v>2019</v>
      </c>
      <c r="S58" s="208"/>
      <c r="T58" s="199"/>
    </row>
    <row r="59" spans="1:20" x14ac:dyDescent="0.25">
      <c r="A59" s="212">
        <v>0.5</v>
      </c>
      <c r="B59" s="79" t="s">
        <v>191</v>
      </c>
      <c r="C59" s="79" t="s">
        <v>191</v>
      </c>
      <c r="D59" s="79">
        <v>0</v>
      </c>
      <c r="E59" s="69">
        <f>0.5*(MAX(B59:D59)-MIN(B59:D59))</f>
        <v>0</v>
      </c>
      <c r="F59" s="213">
        <v>1E-4</v>
      </c>
      <c r="G59" s="78" t="s">
        <v>448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5">
      <c r="A60" s="212">
        <v>1</v>
      </c>
      <c r="B60" s="79" t="s">
        <v>191</v>
      </c>
      <c r="C60" s="79" t="s">
        <v>191</v>
      </c>
      <c r="D60" s="79">
        <v>0</v>
      </c>
      <c r="E60" s="69">
        <f>0.5*(MAX(B60:D60)-MIN(B60:D60))</f>
        <v>0</v>
      </c>
      <c r="F60" s="213">
        <v>1E-4</v>
      </c>
      <c r="G60" s="78" t="s">
        <v>448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" thickBot="1" x14ac:dyDescent="0.3">
      <c r="A61" s="212">
        <v>2</v>
      </c>
      <c r="B61" s="79" t="s">
        <v>191</v>
      </c>
      <c r="C61" s="79" t="s">
        <v>191</v>
      </c>
      <c r="D61" s="79">
        <v>0</v>
      </c>
      <c r="E61" s="69">
        <f>0.5*(MAX(B61:D61)-MIN(B61:D61))</f>
        <v>0</v>
      </c>
      <c r="F61" s="213">
        <v>1E-4</v>
      </c>
      <c r="G61" s="78" t="s">
        <v>448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ht="13" x14ac:dyDescent="0.25">
      <c r="A62" s="216" t="s">
        <v>437</v>
      </c>
      <c r="B62" s="201" t="s">
        <v>237</v>
      </c>
      <c r="C62" s="201" t="s">
        <v>237</v>
      </c>
      <c r="D62" s="207"/>
      <c r="E62" s="195" t="s">
        <v>231</v>
      </c>
      <c r="F62" s="807" t="s">
        <v>584</v>
      </c>
      <c r="H62" s="216" t="s">
        <v>437</v>
      </c>
      <c r="I62" s="201" t="s">
        <v>237</v>
      </c>
      <c r="J62" s="201" t="s">
        <v>237</v>
      </c>
      <c r="K62" s="207"/>
      <c r="L62" s="195" t="s">
        <v>231</v>
      </c>
      <c r="M62" s="807" t="s">
        <v>584</v>
      </c>
      <c r="O62" s="216" t="s">
        <v>437</v>
      </c>
      <c r="P62" s="201" t="s">
        <v>237</v>
      </c>
      <c r="Q62" s="201" t="s">
        <v>237</v>
      </c>
      <c r="R62" s="207"/>
      <c r="S62" s="195" t="s">
        <v>231</v>
      </c>
      <c r="T62" s="807" t="s">
        <v>584</v>
      </c>
    </row>
    <row r="63" spans="1:20" ht="13" x14ac:dyDescent="0.25">
      <c r="A63" s="216" t="s">
        <v>438</v>
      </c>
      <c r="B63" s="802">
        <v>2015</v>
      </c>
      <c r="C63" s="802">
        <v>2015</v>
      </c>
      <c r="D63" s="805">
        <v>2018</v>
      </c>
      <c r="E63" s="208"/>
      <c r="F63" s="199"/>
      <c r="H63" s="216" t="s">
        <v>438</v>
      </c>
      <c r="I63" s="802">
        <v>2015</v>
      </c>
      <c r="J63" s="802">
        <v>2015</v>
      </c>
      <c r="K63" s="805">
        <v>2017</v>
      </c>
      <c r="L63" s="208"/>
      <c r="M63" s="199"/>
      <c r="O63" s="216" t="s">
        <v>438</v>
      </c>
      <c r="P63" s="802">
        <v>2018</v>
      </c>
      <c r="Q63" s="802">
        <v>2018</v>
      </c>
      <c r="R63" s="805">
        <v>2019</v>
      </c>
      <c r="S63" s="208"/>
      <c r="T63" s="199"/>
    </row>
    <row r="64" spans="1:20" x14ac:dyDescent="0.25">
      <c r="A64" s="212">
        <v>0.125</v>
      </c>
      <c r="B64" s="79" t="s">
        <v>191</v>
      </c>
      <c r="C64" s="79" t="s">
        <v>191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448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" thickBot="1" x14ac:dyDescent="0.3">
      <c r="A65" s="212">
        <v>2</v>
      </c>
      <c r="B65" s="79" t="s">
        <v>191</v>
      </c>
      <c r="C65" s="79" t="s">
        <v>191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448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ht="13" x14ac:dyDescent="0.25">
      <c r="A66" s="216" t="s">
        <v>440</v>
      </c>
      <c r="B66" s="201" t="s">
        <v>237</v>
      </c>
      <c r="C66" s="201" t="s">
        <v>237</v>
      </c>
      <c r="D66" s="207"/>
      <c r="E66" s="195" t="s">
        <v>231</v>
      </c>
      <c r="F66" s="807" t="s">
        <v>584</v>
      </c>
      <c r="H66" s="216" t="s">
        <v>440</v>
      </c>
      <c r="I66" s="201" t="s">
        <v>237</v>
      </c>
      <c r="J66" s="201" t="s">
        <v>237</v>
      </c>
      <c r="K66" s="207"/>
      <c r="L66" s="195" t="s">
        <v>231</v>
      </c>
      <c r="M66" s="807" t="s">
        <v>584</v>
      </c>
      <c r="O66" s="216" t="s">
        <v>440</v>
      </c>
      <c r="P66" s="201" t="s">
        <v>237</v>
      </c>
      <c r="Q66" s="201" t="s">
        <v>237</v>
      </c>
      <c r="R66" s="207"/>
      <c r="S66" s="195" t="s">
        <v>231</v>
      </c>
      <c r="T66" s="807" t="s">
        <v>584</v>
      </c>
    </row>
    <row r="67" spans="1:20" ht="13" x14ac:dyDescent="0.25">
      <c r="A67" s="216" t="s">
        <v>438</v>
      </c>
      <c r="B67" s="802">
        <v>2015</v>
      </c>
      <c r="C67" s="802">
        <v>2015</v>
      </c>
      <c r="D67" s="805">
        <v>2018</v>
      </c>
      <c r="E67" s="208"/>
      <c r="F67" s="199"/>
      <c r="H67" s="216" t="s">
        <v>438</v>
      </c>
      <c r="I67" s="802">
        <v>2015</v>
      </c>
      <c r="J67" s="802">
        <v>2015</v>
      </c>
      <c r="K67" s="805">
        <v>2017</v>
      </c>
      <c r="L67" s="208"/>
      <c r="M67" s="199"/>
      <c r="O67" s="216" t="s">
        <v>438</v>
      </c>
      <c r="P67" s="802">
        <v>2018</v>
      </c>
      <c r="Q67" s="802">
        <v>2018</v>
      </c>
      <c r="R67" s="805">
        <v>2019</v>
      </c>
      <c r="S67" s="208"/>
      <c r="T67" s="199"/>
    </row>
    <row r="68" spans="1:20" ht="13" thickBot="1" x14ac:dyDescent="0.3">
      <c r="A68" s="214">
        <v>10</v>
      </c>
      <c r="B68" s="80" t="s">
        <v>191</v>
      </c>
      <c r="C68" s="80" t="s">
        <v>191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448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" thickBot="1" x14ac:dyDescent="0.75">
      <c r="A71" s="850" t="s">
        <v>452</v>
      </c>
      <c r="H71" s="851" t="s">
        <v>585</v>
      </c>
      <c r="O71" s="851" t="s">
        <v>453</v>
      </c>
    </row>
    <row r="72" spans="1:20" ht="14.5" thickBot="1" x14ac:dyDescent="0.35">
      <c r="A72" s="192" t="s">
        <v>239</v>
      </c>
      <c r="B72" s="814"/>
      <c r="C72" s="366"/>
      <c r="D72" s="815"/>
      <c r="E72" s="816" t="s">
        <v>231</v>
      </c>
      <c r="F72" s="807" t="s">
        <v>584</v>
      </c>
      <c r="H72" s="192" t="s">
        <v>239</v>
      </c>
      <c r="I72" s="814"/>
      <c r="J72" s="366"/>
      <c r="K72" s="815"/>
      <c r="L72" s="816" t="s">
        <v>231</v>
      </c>
      <c r="M72" s="807" t="s">
        <v>584</v>
      </c>
      <c r="O72" s="192" t="s">
        <v>239</v>
      </c>
      <c r="P72" s="814"/>
      <c r="Q72" s="366"/>
      <c r="R72" s="815"/>
      <c r="S72" s="816" t="s">
        <v>231</v>
      </c>
      <c r="T72" s="807" t="s">
        <v>584</v>
      </c>
    </row>
    <row r="73" spans="1:20" ht="13" x14ac:dyDescent="0.25">
      <c r="A73" s="134" t="s">
        <v>246</v>
      </c>
      <c r="B73" s="810" t="s">
        <v>237</v>
      </c>
      <c r="D73" s="811"/>
      <c r="E73" s="803"/>
      <c r="F73" s="808"/>
      <c r="H73" s="134" t="s">
        <v>246</v>
      </c>
      <c r="I73" s="810" t="s">
        <v>237</v>
      </c>
      <c r="J73" s="810" t="s">
        <v>237</v>
      </c>
      <c r="K73" s="811"/>
      <c r="L73" s="803"/>
      <c r="M73" s="808"/>
      <c r="O73" s="134" t="s">
        <v>246</v>
      </c>
      <c r="P73" s="810" t="s">
        <v>237</v>
      </c>
      <c r="Q73" s="810" t="s">
        <v>237</v>
      </c>
      <c r="R73" s="811"/>
      <c r="S73" s="803"/>
      <c r="T73" s="808"/>
    </row>
    <row r="74" spans="1:20" ht="14" x14ac:dyDescent="0.25">
      <c r="A74" s="194" t="s">
        <v>248</v>
      </c>
      <c r="B74" s="802">
        <v>2018</v>
      </c>
      <c r="C74" s="802">
        <v>2018</v>
      </c>
      <c r="D74" s="805">
        <v>2019</v>
      </c>
      <c r="E74" s="804"/>
      <c r="F74" s="809"/>
      <c r="H74" s="194" t="s">
        <v>248</v>
      </c>
      <c r="I74" s="802">
        <v>2018</v>
      </c>
      <c r="J74" s="802">
        <v>2018</v>
      </c>
      <c r="K74" s="805">
        <v>2019</v>
      </c>
      <c r="L74" s="804"/>
      <c r="M74" s="809"/>
      <c r="O74" s="194" t="s">
        <v>248</v>
      </c>
      <c r="P74" s="802">
        <v>2018</v>
      </c>
      <c r="Q74" s="802">
        <v>2018</v>
      </c>
      <c r="R74" s="805">
        <v>2019</v>
      </c>
      <c r="S74" s="804"/>
      <c r="T74" s="809"/>
    </row>
    <row r="75" spans="1:20" x14ac:dyDescent="0.25">
      <c r="A75" s="135">
        <v>0.5</v>
      </c>
      <c r="B75" s="101" t="s">
        <v>191</v>
      </c>
      <c r="C75" s="101" t="s">
        <v>191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191</v>
      </c>
      <c r="J75" s="101" t="s">
        <v>191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191</v>
      </c>
      <c r="Q75" s="101" t="s">
        <v>191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5">
      <c r="A76" s="135">
        <v>1</v>
      </c>
      <c r="B76" s="101" t="s">
        <v>191</v>
      </c>
      <c r="C76" s="101" t="s">
        <v>191</v>
      </c>
      <c r="D76" s="94">
        <v>0</v>
      </c>
      <c r="E76" s="69">
        <f>0.5*(MAX(B76:D76)-MIN(B76:D76))</f>
        <v>0</v>
      </c>
      <c r="F76" s="70" t="s">
        <v>433</v>
      </c>
      <c r="H76" s="135">
        <v>1</v>
      </c>
      <c r="I76" s="101" t="s">
        <v>191</v>
      </c>
      <c r="J76" s="101" t="s">
        <v>191</v>
      </c>
      <c r="K76" s="94">
        <v>0</v>
      </c>
      <c r="L76" s="69">
        <f>0.5*(MAX(I76:K76)-MIN(I76:K76))</f>
        <v>0</v>
      </c>
      <c r="M76" s="70" t="s">
        <v>433</v>
      </c>
      <c r="O76" s="135">
        <v>1</v>
      </c>
      <c r="P76" s="101" t="s">
        <v>191</v>
      </c>
      <c r="Q76" s="101" t="s">
        <v>191</v>
      </c>
      <c r="R76" s="94">
        <v>0</v>
      </c>
      <c r="S76" s="69">
        <f>0.5*(MAX(P76:R76)-MIN(P76:R76))</f>
        <v>0</v>
      </c>
      <c r="T76" s="70" t="s">
        <v>433</v>
      </c>
    </row>
    <row r="77" spans="1:20" x14ac:dyDescent="0.25">
      <c r="A77" s="135">
        <v>2</v>
      </c>
      <c r="B77" s="101" t="s">
        <v>191</v>
      </c>
      <c r="C77" s="101" t="s">
        <v>191</v>
      </c>
      <c r="D77" s="94">
        <v>0</v>
      </c>
      <c r="E77" s="69">
        <f>0.5*(MAX(B77:D77)-MIN(B77:D77))</f>
        <v>0</v>
      </c>
      <c r="F77" s="70" t="s">
        <v>434</v>
      </c>
      <c r="H77" s="135">
        <v>2</v>
      </c>
      <c r="I77" s="101" t="s">
        <v>191</v>
      </c>
      <c r="J77" s="101" t="s">
        <v>191</v>
      </c>
      <c r="K77" s="94">
        <v>0</v>
      </c>
      <c r="L77" s="69">
        <f>0.5*(MAX(I77:K77)-MIN(I77:K77))</f>
        <v>0</v>
      </c>
      <c r="M77" s="70" t="s">
        <v>434</v>
      </c>
      <c r="O77" s="135">
        <v>2</v>
      </c>
      <c r="P77" s="101" t="s">
        <v>191</v>
      </c>
      <c r="Q77" s="101" t="s">
        <v>191</v>
      </c>
      <c r="R77" s="94">
        <v>0</v>
      </c>
      <c r="S77" s="69">
        <f>0.5*(MAX(P77:R77)-MIN(P77:R77))</f>
        <v>0</v>
      </c>
      <c r="T77" s="70" t="s">
        <v>434</v>
      </c>
    </row>
    <row r="78" spans="1:20" ht="13" thickBot="1" x14ac:dyDescent="0.3">
      <c r="A78" s="136">
        <v>3</v>
      </c>
      <c r="B78" s="102" t="s">
        <v>191</v>
      </c>
      <c r="C78" s="102" t="s">
        <v>191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191</v>
      </c>
      <c r="J78" s="102" t="s">
        <v>191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191</v>
      </c>
      <c r="Q78" s="102" t="s">
        <v>191</v>
      </c>
      <c r="R78" s="95">
        <v>0</v>
      </c>
      <c r="S78" s="72">
        <f>0.5*(MAX(P78:R78)-MIN(P78:R78))</f>
        <v>0</v>
      </c>
      <c r="T78" s="70"/>
    </row>
    <row r="79" spans="1:20" ht="13" x14ac:dyDescent="0.25">
      <c r="A79" s="216" t="s">
        <v>435</v>
      </c>
      <c r="B79" s="201" t="s">
        <v>237</v>
      </c>
      <c r="C79" s="201" t="s">
        <v>237</v>
      </c>
      <c r="D79" s="207"/>
      <c r="E79" s="195" t="s">
        <v>231</v>
      </c>
      <c r="F79" s="807" t="s">
        <v>584</v>
      </c>
      <c r="H79" s="216" t="s">
        <v>435</v>
      </c>
      <c r="I79" s="201" t="s">
        <v>237</v>
      </c>
      <c r="J79" s="201" t="s">
        <v>237</v>
      </c>
      <c r="K79" s="207"/>
      <c r="L79" s="195" t="s">
        <v>231</v>
      </c>
      <c r="M79" s="807" t="s">
        <v>584</v>
      </c>
      <c r="O79" s="216" t="s">
        <v>435</v>
      </c>
      <c r="P79" s="201" t="s">
        <v>237</v>
      </c>
      <c r="Q79" s="201" t="s">
        <v>237</v>
      </c>
      <c r="R79" s="207"/>
      <c r="S79" s="195" t="s">
        <v>231</v>
      </c>
      <c r="T79" s="807" t="s">
        <v>584</v>
      </c>
    </row>
    <row r="80" spans="1:20" ht="13" x14ac:dyDescent="0.3">
      <c r="A80" s="217" t="s">
        <v>436</v>
      </c>
      <c r="B80" s="802">
        <v>2018</v>
      </c>
      <c r="C80" s="802">
        <v>2018</v>
      </c>
      <c r="D80" s="805">
        <v>2019</v>
      </c>
      <c r="E80" s="208"/>
      <c r="F80" s="199"/>
      <c r="H80" s="217" t="s">
        <v>436</v>
      </c>
      <c r="I80" s="802">
        <v>2018</v>
      </c>
      <c r="J80" s="802">
        <v>2018</v>
      </c>
      <c r="K80" s="805">
        <v>2019</v>
      </c>
      <c r="L80" s="208"/>
      <c r="M80" s="199"/>
      <c r="O80" s="217" t="s">
        <v>436</v>
      </c>
      <c r="P80" s="802">
        <v>2018</v>
      </c>
      <c r="Q80" s="802">
        <v>2018</v>
      </c>
      <c r="R80" s="805">
        <v>2019</v>
      </c>
      <c r="S80" s="208"/>
      <c r="T80" s="199"/>
    </row>
    <row r="81" spans="1:20" x14ac:dyDescent="0.25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5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" thickBot="1" x14ac:dyDescent="0.3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ht="13" x14ac:dyDescent="0.25">
      <c r="A84" s="216" t="s">
        <v>437</v>
      </c>
      <c r="B84" s="201" t="s">
        <v>237</v>
      </c>
      <c r="C84" s="201" t="s">
        <v>237</v>
      </c>
      <c r="D84" s="207"/>
      <c r="E84" s="195" t="s">
        <v>231</v>
      </c>
      <c r="F84" s="807" t="s">
        <v>584</v>
      </c>
      <c r="H84" s="216" t="s">
        <v>437</v>
      </c>
      <c r="I84" s="201" t="s">
        <v>237</v>
      </c>
      <c r="J84" s="201" t="s">
        <v>237</v>
      </c>
      <c r="K84" s="207"/>
      <c r="L84" s="195" t="s">
        <v>231</v>
      </c>
      <c r="M84" s="807" t="s">
        <v>584</v>
      </c>
      <c r="O84" s="216" t="s">
        <v>437</v>
      </c>
      <c r="P84" s="201" t="s">
        <v>237</v>
      </c>
      <c r="Q84" s="201" t="s">
        <v>237</v>
      </c>
      <c r="R84" s="207"/>
      <c r="S84" s="195" t="s">
        <v>231</v>
      </c>
      <c r="T84" s="807" t="s">
        <v>584</v>
      </c>
    </row>
    <row r="85" spans="1:20" ht="13" x14ac:dyDescent="0.25">
      <c r="A85" s="216" t="s">
        <v>438</v>
      </c>
      <c r="B85" s="802">
        <v>2018</v>
      </c>
      <c r="C85" s="802">
        <v>2018</v>
      </c>
      <c r="D85" s="805">
        <v>2019</v>
      </c>
      <c r="E85" s="208"/>
      <c r="F85" s="199"/>
      <c r="H85" s="216" t="s">
        <v>438</v>
      </c>
      <c r="I85" s="802">
        <v>2018</v>
      </c>
      <c r="J85" s="802">
        <v>2018</v>
      </c>
      <c r="K85" s="805">
        <v>2019</v>
      </c>
      <c r="L85" s="208"/>
      <c r="M85" s="199"/>
      <c r="O85" s="216" t="s">
        <v>438</v>
      </c>
      <c r="P85" s="802">
        <v>2018</v>
      </c>
      <c r="Q85" s="802">
        <v>2018</v>
      </c>
      <c r="R85" s="805">
        <v>2019</v>
      </c>
      <c r="S85" s="208"/>
      <c r="T85" s="199"/>
    </row>
    <row r="86" spans="1:20" x14ac:dyDescent="0.25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" thickBot="1" x14ac:dyDescent="0.3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ht="13" x14ac:dyDescent="0.25">
      <c r="A88" s="216" t="s">
        <v>440</v>
      </c>
      <c r="B88" s="201" t="s">
        <v>237</v>
      </c>
      <c r="C88" s="201" t="s">
        <v>237</v>
      </c>
      <c r="D88" s="207"/>
      <c r="E88" s="195" t="s">
        <v>231</v>
      </c>
      <c r="F88" s="807" t="s">
        <v>584</v>
      </c>
      <c r="H88" s="216" t="s">
        <v>440</v>
      </c>
      <c r="I88" s="201" t="s">
        <v>237</v>
      </c>
      <c r="J88" s="201" t="s">
        <v>237</v>
      </c>
      <c r="K88" s="207"/>
      <c r="L88" s="195" t="s">
        <v>231</v>
      </c>
      <c r="M88" s="807" t="s">
        <v>584</v>
      </c>
      <c r="O88" s="216" t="s">
        <v>440</v>
      </c>
      <c r="P88" s="201" t="s">
        <v>237</v>
      </c>
      <c r="Q88" s="201" t="s">
        <v>237</v>
      </c>
      <c r="R88" s="207"/>
      <c r="S88" s="195" t="s">
        <v>231</v>
      </c>
      <c r="T88" s="807" t="s">
        <v>584</v>
      </c>
    </row>
    <row r="89" spans="1:20" ht="13" x14ac:dyDescent="0.25">
      <c r="A89" s="216" t="s">
        <v>438</v>
      </c>
      <c r="B89" s="802">
        <v>2018</v>
      </c>
      <c r="C89" s="802">
        <v>2018</v>
      </c>
      <c r="D89" s="805">
        <v>2019</v>
      </c>
      <c r="E89" s="208"/>
      <c r="F89" s="199"/>
      <c r="H89" s="216" t="s">
        <v>438</v>
      </c>
      <c r="I89" s="802">
        <v>2018</v>
      </c>
      <c r="J89" s="802">
        <v>2018</v>
      </c>
      <c r="K89" s="805">
        <v>2019</v>
      </c>
      <c r="L89" s="208"/>
      <c r="M89" s="199"/>
      <c r="O89" s="216" t="s">
        <v>438</v>
      </c>
      <c r="P89" s="802">
        <v>2018</v>
      </c>
      <c r="Q89" s="802">
        <v>2018</v>
      </c>
      <c r="R89" s="805">
        <v>2019</v>
      </c>
      <c r="S89" s="208"/>
      <c r="T89" s="199"/>
    </row>
    <row r="90" spans="1:20" ht="13" thickBot="1" x14ac:dyDescent="0.3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2.5" x14ac:dyDescent="0.25">
      <c r="A95" s="1586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RIGEL PatSim200, SN : 15L-0684</v>
      </c>
      <c r="B95" s="1587"/>
      <c r="C95" s="1587"/>
      <c r="D95" s="1587"/>
      <c r="E95" s="1587"/>
      <c r="F95" s="1587"/>
    </row>
    <row r="96" spans="1:20" ht="13" x14ac:dyDescent="0.25">
      <c r="A96" s="1588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589"/>
      <c r="C96" s="1589"/>
      <c r="D96" s="1590"/>
      <c r="E96" s="1583" t="s">
        <v>231</v>
      </c>
      <c r="F96" s="1583" t="s">
        <v>584</v>
      </c>
    </row>
    <row r="97" spans="1:9" ht="13" x14ac:dyDescent="0.25">
      <c r="A97" s="958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588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589"/>
      <c r="D97" s="1590"/>
      <c r="E97" s="1584"/>
      <c r="F97" s="1584"/>
    </row>
    <row r="98" spans="1:9" ht="13" x14ac:dyDescent="0.25">
      <c r="A98" s="958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8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2018</v>
      </c>
      <c r="C98" s="958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2018</v>
      </c>
      <c r="D98" s="958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2019</v>
      </c>
      <c r="E98" s="1585"/>
      <c r="F98" s="1585"/>
    </row>
    <row r="99" spans="1:9" x14ac:dyDescent="0.25">
      <c r="A99" s="806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6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6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6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6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6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5.4999999999999997E-3</v>
      </c>
    </row>
    <row r="100" spans="1:9" x14ac:dyDescent="0.25">
      <c r="A100" s="806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6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6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6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6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6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5">
      <c r="A101" s="806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6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6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6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6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6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5">
      <c r="A102" s="806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6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6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6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6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6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0</v>
      </c>
    </row>
    <row r="103" spans="1:9" ht="13" x14ac:dyDescent="0.3">
      <c r="A103" s="958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588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589"/>
      <c r="D103" s="1590"/>
      <c r="E103" s="1591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591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8"/>
    </row>
    <row r="104" spans="1:9" ht="13" x14ac:dyDescent="0.25">
      <c r="A104" s="958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8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2018</v>
      </c>
      <c r="C104" s="958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2018</v>
      </c>
      <c r="D104" s="958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2019</v>
      </c>
      <c r="E104" s="1592"/>
      <c r="F104" s="1592"/>
    </row>
    <row r="105" spans="1:9" x14ac:dyDescent="0.25">
      <c r="A105" s="806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6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0</v>
      </c>
      <c r="C105" s="806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0</v>
      </c>
      <c r="D105" s="806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6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6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5">
      <c r="A106" s="806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6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0</v>
      </c>
      <c r="C106" s="806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0</v>
      </c>
      <c r="D106" s="806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6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6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5">
      <c r="A107" s="806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6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0</v>
      </c>
      <c r="C107" s="806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0</v>
      </c>
      <c r="D107" s="806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6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6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ht="13" x14ac:dyDescent="0.25">
      <c r="A108" s="958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588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589"/>
      <c r="D108" s="1590"/>
      <c r="E108" s="1591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591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ht="13" x14ac:dyDescent="0.25">
      <c r="A109" s="958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8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2018</v>
      </c>
      <c r="C109" s="958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2018</v>
      </c>
      <c r="D109" s="958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2019</v>
      </c>
      <c r="E109" s="1592"/>
      <c r="F109" s="1592"/>
    </row>
    <row r="110" spans="1:9" x14ac:dyDescent="0.25">
      <c r="A110" s="806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6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0</v>
      </c>
      <c r="C110" s="806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0</v>
      </c>
      <c r="D110" s="806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6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6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5">
      <c r="A111" s="806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6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0</v>
      </c>
      <c r="C111" s="806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0</v>
      </c>
      <c r="D111" s="806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6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6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ht="13" x14ac:dyDescent="0.25">
      <c r="A112" s="958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588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589"/>
      <c r="D112" s="1590"/>
      <c r="E112" s="1591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591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ht="13" x14ac:dyDescent="0.25">
      <c r="A113" s="958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8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2018</v>
      </c>
      <c r="C113" s="958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2018</v>
      </c>
      <c r="D113" s="958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2019</v>
      </c>
      <c r="E113" s="1592"/>
      <c r="F113" s="1592"/>
    </row>
    <row r="114" spans="1:8" x14ac:dyDescent="0.25">
      <c r="A114" s="806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6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0</v>
      </c>
      <c r="C114" s="806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0</v>
      </c>
      <c r="D114" s="806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6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6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5">
      <c r="A115" s="122">
        <f>ID!L40</f>
        <v>4.9260000000000002</v>
      </c>
      <c r="B115" t="s">
        <v>280</v>
      </c>
      <c r="D115" t="s">
        <v>222</v>
      </c>
    </row>
    <row r="116" spans="1:8" x14ac:dyDescent="0.25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5">
      <c r="E117" s="1" t="str">
        <f>A103</f>
        <v>Setting Amplitude</v>
      </c>
    </row>
    <row r="118" spans="1:8" x14ac:dyDescent="0.25">
      <c r="E118" t="str">
        <f>A108</f>
        <v>Setting Square</v>
      </c>
    </row>
    <row r="119" spans="1:8" x14ac:dyDescent="0.25">
      <c r="E119" t="str">
        <f>A112</f>
        <v>Setting Sine</v>
      </c>
    </row>
    <row r="125" spans="1:8" x14ac:dyDescent="0.25">
      <c r="A125" s="853" t="s">
        <v>198</v>
      </c>
      <c r="B125" s="854"/>
      <c r="C125" s="837"/>
      <c r="D125" s="837"/>
      <c r="E125" s="837"/>
      <c r="F125" s="837"/>
      <c r="G125" s="837"/>
      <c r="H125" s="225"/>
    </row>
    <row r="126" spans="1:8" x14ac:dyDescent="0.25">
      <c r="A126" s="853" t="s">
        <v>199</v>
      </c>
      <c r="B126" s="854"/>
      <c r="C126" s="837"/>
      <c r="D126" s="837"/>
      <c r="E126" s="837"/>
      <c r="F126" s="837"/>
      <c r="G126" s="837"/>
      <c r="H126" s="225"/>
    </row>
    <row r="127" spans="1:8" x14ac:dyDescent="0.25">
      <c r="A127" s="853" t="s">
        <v>200</v>
      </c>
      <c r="B127" s="854"/>
      <c r="C127" s="837"/>
      <c r="D127" s="837"/>
      <c r="E127" s="837"/>
      <c r="F127" s="837"/>
      <c r="G127" s="837"/>
      <c r="H127" s="225"/>
    </row>
    <row r="128" spans="1:8" x14ac:dyDescent="0.25">
      <c r="A128" s="853" t="s">
        <v>201</v>
      </c>
      <c r="B128" s="854"/>
      <c r="C128" s="837"/>
      <c r="D128" s="837"/>
      <c r="E128" s="837"/>
      <c r="F128" s="837"/>
      <c r="G128" s="837"/>
      <c r="H128" s="225"/>
    </row>
    <row r="129" spans="1:8" x14ac:dyDescent="0.25">
      <c r="A129" s="853" t="s">
        <v>161</v>
      </c>
      <c r="B129" s="854"/>
      <c r="C129" s="837"/>
      <c r="D129" s="837"/>
      <c r="E129" s="837"/>
      <c r="F129" s="837"/>
      <c r="G129" s="837"/>
      <c r="H129" s="225"/>
    </row>
    <row r="130" spans="1:8" x14ac:dyDescent="0.25">
      <c r="A130" s="853" t="s">
        <v>202</v>
      </c>
      <c r="B130" s="854"/>
      <c r="C130" s="837"/>
      <c r="D130" s="837"/>
      <c r="E130" s="837"/>
      <c r="F130" s="837"/>
      <c r="G130" s="837"/>
      <c r="H130" s="225"/>
    </row>
    <row r="131" spans="1:8" x14ac:dyDescent="0.25">
      <c r="A131" s="853" t="s">
        <v>203</v>
      </c>
      <c r="B131" s="854"/>
      <c r="C131" s="837"/>
      <c r="D131" s="837"/>
      <c r="E131" s="837"/>
      <c r="F131" s="837"/>
      <c r="G131" s="837"/>
      <c r="H131" s="225"/>
    </row>
    <row r="132" spans="1:8" x14ac:dyDescent="0.25">
      <c r="A132" s="853" t="s">
        <v>204</v>
      </c>
      <c r="B132" s="854"/>
      <c r="C132" s="837"/>
      <c r="D132" s="837"/>
      <c r="E132" s="837"/>
      <c r="F132" s="837"/>
      <c r="G132" s="837"/>
      <c r="H132" s="225"/>
    </row>
    <row r="133" spans="1:8" x14ac:dyDescent="0.25">
      <c r="A133" s="853" t="s">
        <v>205</v>
      </c>
      <c r="B133" s="854"/>
      <c r="C133" s="837"/>
      <c r="D133" s="837"/>
      <c r="E133" s="837"/>
      <c r="F133" s="837"/>
      <c r="G133" s="837"/>
      <c r="H133" s="225"/>
    </row>
    <row r="134" spans="1:8" x14ac:dyDescent="0.25">
      <c r="A134" s="853" t="s">
        <v>206</v>
      </c>
      <c r="B134" s="854"/>
      <c r="C134" s="837"/>
      <c r="D134" s="837"/>
      <c r="E134" s="837"/>
      <c r="F134" s="837"/>
      <c r="G134" s="837"/>
      <c r="H134" s="225"/>
    </row>
    <row r="135" spans="1:8" x14ac:dyDescent="0.25">
      <c r="A135" s="853" t="s">
        <v>207</v>
      </c>
      <c r="B135" s="854"/>
      <c r="C135" s="837"/>
      <c r="D135" s="837"/>
      <c r="E135" s="837"/>
      <c r="F135" s="837"/>
      <c r="G135" s="837"/>
      <c r="H135" s="225"/>
    </row>
    <row r="136" spans="1:8" x14ac:dyDescent="0.25">
      <c r="A136" s="853" t="s">
        <v>208</v>
      </c>
      <c r="B136" s="854"/>
      <c r="C136" s="837"/>
      <c r="D136" s="837"/>
      <c r="E136" s="837"/>
      <c r="F136" s="837"/>
      <c r="G136" s="837"/>
      <c r="H136" s="225"/>
    </row>
    <row r="145" spans="1:9" ht="36.75" customHeight="1" x14ac:dyDescent="0.25"/>
    <row r="146" spans="1:9" x14ac:dyDescent="0.25">
      <c r="A146" s="1579" t="s">
        <v>240</v>
      </c>
      <c r="B146" s="1579"/>
      <c r="C146" s="1579"/>
      <c r="D146" s="1579"/>
      <c r="E146" s="1579"/>
      <c r="F146" s="249"/>
      <c r="G146" s="1578" t="s">
        <v>241</v>
      </c>
      <c r="H146" s="1578" t="s">
        <v>242</v>
      </c>
      <c r="I146" s="1578" t="s">
        <v>243</v>
      </c>
    </row>
    <row r="147" spans="1:9" x14ac:dyDescent="0.25">
      <c r="A147" s="1579"/>
      <c r="B147" s="1579"/>
      <c r="C147" s="1579"/>
      <c r="D147" s="1579"/>
      <c r="E147" s="1579"/>
      <c r="F147" s="249"/>
      <c r="G147" s="1578"/>
      <c r="H147" s="1578"/>
      <c r="I147" s="1578"/>
    </row>
    <row r="148" spans="1:9" x14ac:dyDescent="0.25">
      <c r="D148" s="248"/>
      <c r="E148" s="248"/>
      <c r="F148" s="249"/>
      <c r="G148" s="1578"/>
      <c r="H148" s="1578"/>
      <c r="I148" s="1578"/>
    </row>
    <row r="149" spans="1:9" ht="13" x14ac:dyDescent="0.25">
      <c r="D149" s="248"/>
      <c r="E149" s="248"/>
      <c r="F149" s="249"/>
      <c r="G149" s="219">
        <f>'DB ECG'!A99</f>
        <v>0.5</v>
      </c>
      <c r="H149" s="121">
        <f>G149+I149</f>
        <v>0.50275000000000003</v>
      </c>
      <c r="I149" s="118">
        <f>ABS(G149*'DB ECG'!$F$99)</f>
        <v>2.7499999999999998E-3</v>
      </c>
    </row>
    <row r="150" spans="1:9" ht="13" x14ac:dyDescent="0.25">
      <c r="G150" s="219">
        <f>'DB ECG'!A100</f>
        <v>1</v>
      </c>
      <c r="H150" s="121">
        <f>G150+I150</f>
        <v>1.0055000000000001</v>
      </c>
      <c r="I150" s="118">
        <f>ABS(G150*'DB ECG'!$F$99)</f>
        <v>5.4999999999999997E-3</v>
      </c>
    </row>
    <row r="151" spans="1:9" ht="13" x14ac:dyDescent="0.25">
      <c r="G151" s="219">
        <f>'DB ECG'!A101</f>
        <v>2</v>
      </c>
      <c r="H151" s="121">
        <f>G151+I151</f>
        <v>2.0110000000000001</v>
      </c>
      <c r="I151" s="118">
        <f>ABS(G151*'DB ECG'!$F$99)</f>
        <v>1.0999999999999999E-2</v>
      </c>
    </row>
    <row r="152" spans="1:9" ht="13" x14ac:dyDescent="0.25">
      <c r="G152" s="219">
        <f>'DB ECG'!A102</f>
        <v>3</v>
      </c>
      <c r="H152" s="121">
        <f>G152+I152</f>
        <v>3.0165000000000002</v>
      </c>
      <c r="I152" s="118">
        <f>ABS(G152*'DB ECG'!$F$99)</f>
        <v>1.6500000000000001E-2</v>
      </c>
    </row>
    <row r="154" spans="1:9" x14ac:dyDescent="0.25">
      <c r="A154" s="1580" t="s">
        <v>255</v>
      </c>
      <c r="B154" s="1580" t="s">
        <v>256</v>
      </c>
      <c r="D154" s="1580" t="s">
        <v>257</v>
      </c>
      <c r="E154" s="1580" t="s">
        <v>258</v>
      </c>
      <c r="F154" s="1576" t="s">
        <v>259</v>
      </c>
      <c r="G154" s="1577" t="s">
        <v>260</v>
      </c>
      <c r="H154" s="1577" t="s">
        <v>261</v>
      </c>
      <c r="I154" s="1578" t="s">
        <v>262</v>
      </c>
    </row>
    <row r="155" spans="1:9" x14ac:dyDescent="0.25">
      <c r="A155" s="1581"/>
      <c r="B155" s="1581"/>
      <c r="D155" s="1581"/>
      <c r="E155" s="1581"/>
      <c r="F155" s="1576"/>
      <c r="G155" s="1577"/>
      <c r="H155" s="1577"/>
      <c r="I155" s="1578"/>
    </row>
    <row r="156" spans="1:9" x14ac:dyDescent="0.25">
      <c r="A156" s="1582"/>
      <c r="B156" s="1582"/>
      <c r="D156" s="1582"/>
      <c r="E156" s="1582"/>
      <c r="F156" s="1576"/>
      <c r="G156" s="1577"/>
      <c r="H156" s="1577"/>
      <c r="I156" s="1578"/>
    </row>
    <row r="157" spans="1:9" ht="13" x14ac:dyDescent="0.25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30.165000000000003</v>
      </c>
      <c r="I157" s="117">
        <f>ABS(G157-H157)</f>
        <v>0.1650000000000027</v>
      </c>
    </row>
    <row r="158" spans="1:9" ht="13" x14ac:dyDescent="0.25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60.330000000000005</v>
      </c>
      <c r="I158" s="117">
        <f>ABS(G158-H158)</f>
        <v>0.3300000000000054</v>
      </c>
    </row>
    <row r="159" spans="1:9" ht="12.75" customHeight="1" x14ac:dyDescent="0.25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120.66000000000001</v>
      </c>
      <c r="I159" s="117">
        <f>ABS(G159-H159)</f>
        <v>0.6600000000000108</v>
      </c>
    </row>
    <row r="160" spans="1:9" ht="13" x14ac:dyDescent="0.25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180.99</v>
      </c>
      <c r="I160" s="117">
        <f>ABS(G160-H160)</f>
        <v>0.99000000000000909</v>
      </c>
    </row>
    <row r="162" spans="1:9" ht="15.75" customHeight="1" x14ac:dyDescent="0.25">
      <c r="A162" s="1576" t="s">
        <v>272</v>
      </c>
      <c r="B162" s="1576" t="s">
        <v>273</v>
      </c>
      <c r="D162" s="1580" t="s">
        <v>274</v>
      </c>
      <c r="E162" s="1580" t="s">
        <v>275</v>
      </c>
      <c r="F162" s="1576" t="s">
        <v>276</v>
      </c>
      <c r="G162" s="1577" t="s">
        <v>277</v>
      </c>
      <c r="H162" s="1577" t="s">
        <v>278</v>
      </c>
      <c r="I162" s="1578" t="s">
        <v>279</v>
      </c>
    </row>
    <row r="163" spans="1:9" x14ac:dyDescent="0.25">
      <c r="A163" s="1576"/>
      <c r="B163" s="1576"/>
      <c r="D163" s="1581"/>
      <c r="E163" s="1581"/>
      <c r="F163" s="1576"/>
      <c r="G163" s="1577"/>
      <c r="H163" s="1577"/>
      <c r="I163" s="1578"/>
    </row>
    <row r="164" spans="1:9" x14ac:dyDescent="0.25">
      <c r="A164" s="1576"/>
      <c r="B164" s="1576"/>
      <c r="D164" s="1582"/>
      <c r="E164" s="1582"/>
      <c r="F164" s="1576"/>
      <c r="G164" s="1577"/>
      <c r="H164" s="1577"/>
      <c r="I164" s="1578"/>
    </row>
    <row r="165" spans="1:9" ht="13" x14ac:dyDescent="0.25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49.726504226752851</v>
      </c>
      <c r="I165" s="124">
        <f>ABS(G165-H165)</f>
        <v>0.27349577324714858</v>
      </c>
    </row>
    <row r="166" spans="1:9" ht="13" x14ac:dyDescent="0.25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24.863252113376426</v>
      </c>
      <c r="I166" s="124">
        <f>ABS(G166-H166)</f>
        <v>0.13674788662357429</v>
      </c>
    </row>
    <row r="167" spans="1:9" ht="13" x14ac:dyDescent="0.25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12.431626056688213</v>
      </c>
      <c r="I167" s="124">
        <f>ABS(G167-H167)</f>
        <v>6.8373943311787144E-2</v>
      </c>
    </row>
    <row r="168" spans="1:9" ht="13" x14ac:dyDescent="0.25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8.2877507044588103</v>
      </c>
      <c r="I168" s="124">
        <f>ABS(G168-H168)</f>
        <v>4.5582628874523579E-2</v>
      </c>
    </row>
    <row r="169" spans="1:9" x14ac:dyDescent="0.25">
      <c r="D169" s="119"/>
    </row>
    <row r="170" spans="1:9" x14ac:dyDescent="0.25">
      <c r="A170" s="1576" t="s">
        <v>281</v>
      </c>
      <c r="B170" s="1577" t="s">
        <v>282</v>
      </c>
      <c r="D170" s="1576" t="s">
        <v>283</v>
      </c>
      <c r="E170" s="1576" t="s">
        <v>284</v>
      </c>
      <c r="F170" s="1576" t="s">
        <v>285</v>
      </c>
      <c r="G170" s="1577" t="s">
        <v>286</v>
      </c>
      <c r="H170" s="1577" t="s">
        <v>287</v>
      </c>
      <c r="I170" s="1578" t="s">
        <v>288</v>
      </c>
    </row>
    <row r="171" spans="1:9" x14ac:dyDescent="0.25">
      <c r="A171" s="1576"/>
      <c r="B171" s="1577"/>
      <c r="D171" s="1576"/>
      <c r="E171" s="1576"/>
      <c r="F171" s="1576"/>
      <c r="G171" s="1577"/>
      <c r="H171" s="1577"/>
      <c r="I171" s="1578"/>
    </row>
    <row r="172" spans="1:9" x14ac:dyDescent="0.25">
      <c r="A172" s="1576"/>
      <c r="B172" s="1577"/>
      <c r="D172" s="1576"/>
      <c r="E172" s="1576"/>
      <c r="F172" s="1576"/>
      <c r="G172" s="1577"/>
      <c r="H172" s="1577"/>
      <c r="I172" s="1578"/>
    </row>
    <row r="173" spans="1:9" x14ac:dyDescent="0.25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1.9890601690701142</v>
      </c>
      <c r="I173" s="121">
        <f>ABS(G173-H173)</f>
        <v>1.0939830929885819E-2</v>
      </c>
    </row>
    <row r="174" spans="1:9" x14ac:dyDescent="0.25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0.99453008453505709</v>
      </c>
      <c r="I174" s="121">
        <f>ABS(G174-H174)</f>
        <v>5.4699154649429094E-3</v>
      </c>
    </row>
    <row r="175" spans="1:9" ht="12.75" customHeight="1" x14ac:dyDescent="0.25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0.49726504226752855</v>
      </c>
      <c r="I175" s="121">
        <f>ABS(G175-H175)</f>
        <v>2.7349577324714547E-3</v>
      </c>
    </row>
    <row r="176" spans="1:9" ht="12.75" customHeight="1" x14ac:dyDescent="0.25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0.3315100281783524</v>
      </c>
      <c r="I176" s="121">
        <f>ABS(G176-H176)</f>
        <v>1.8233051549809143E-3</v>
      </c>
    </row>
    <row r="211" ht="12.75" customHeight="1" x14ac:dyDescent="0.25"/>
    <row r="212" ht="12.75" customHeight="1" x14ac:dyDescent="0.25"/>
    <row r="227" ht="12.75" customHeight="1" x14ac:dyDescent="0.25"/>
    <row r="239" ht="12.75" customHeight="1" x14ac:dyDescent="0.25"/>
    <row r="255" ht="12.75" customHeight="1" x14ac:dyDescent="0.25"/>
    <row r="267" ht="12.75" customHeight="1" x14ac:dyDescent="0.25"/>
    <row r="283" ht="12.75" customHeight="1" x14ac:dyDescent="0.25"/>
    <row r="295" ht="12.75" customHeight="1" x14ac:dyDescent="0.25"/>
    <row r="311" ht="12.75" customHeight="1" x14ac:dyDescent="0.25"/>
    <row r="323" ht="12.75" customHeight="1" x14ac:dyDescent="0.25"/>
  </sheetData>
  <mergeCells count="42"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  <mergeCell ref="F96:F98"/>
    <mergeCell ref="E96:E98"/>
    <mergeCell ref="A95:F95"/>
    <mergeCell ref="A96:D96"/>
    <mergeCell ref="B97:D97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A146:E147"/>
    <mergeCell ref="A170:A172"/>
    <mergeCell ref="A154:A156"/>
    <mergeCell ref="E154:E156"/>
    <mergeCell ref="D170:D172"/>
    <mergeCell ref="E162:E164"/>
    <mergeCell ref="F170:F172"/>
    <mergeCell ref="G170:G172"/>
    <mergeCell ref="H170:H172"/>
    <mergeCell ref="I170:I172"/>
    <mergeCell ref="B170:B172"/>
    <mergeCell ref="E170:E172"/>
  </mergeCells>
  <pageMargins left="0.7" right="0.7" top="0.75" bottom="0.75" header="0.3" footer="0.3"/>
  <pageSetup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10" zoomScale="95" zoomScaleNormal="100" zoomScaleSheetLayoutView="95" workbookViewId="0">
      <selection activeCell="D35" sqref="D35"/>
    </sheetView>
  </sheetViews>
  <sheetFormatPr defaultRowHeight="12.5" x14ac:dyDescent="0.25"/>
  <cols>
    <col min="1" max="1" width="18.6328125" customWidth="1"/>
    <col min="2" max="2" width="7.36328125" customWidth="1"/>
    <col min="3" max="3" width="9.6328125" customWidth="1"/>
    <col min="4" max="4" width="7.453125" customWidth="1"/>
    <col min="5" max="5" width="9.36328125" customWidth="1"/>
    <col min="6" max="6" width="6.6328125" customWidth="1"/>
    <col min="7" max="7" width="8" customWidth="1"/>
    <col min="8" max="9" width="8.6328125" customWidth="1"/>
    <col min="10" max="10" width="8" customWidth="1"/>
    <col min="11" max="11" width="15.54296875" customWidth="1"/>
    <col min="12" max="12" width="10.36328125" customWidth="1"/>
    <col min="14" max="14" width="19.6328125" customWidth="1"/>
    <col min="15" max="15" width="9.36328125" customWidth="1"/>
    <col min="16" max="16" width="9.6328125" bestFit="1" customWidth="1"/>
    <col min="17" max="17" width="7.453125" customWidth="1"/>
    <col min="18" max="18" width="9.36328125" bestFit="1" customWidth="1"/>
    <col min="19" max="19" width="5.453125" customWidth="1"/>
    <col min="20" max="20" width="12.54296875" customWidth="1"/>
    <col min="21" max="22" width="7.36328125" customWidth="1"/>
    <col min="23" max="23" width="9" bestFit="1" customWidth="1"/>
    <col min="24" max="24" width="15.453125" customWidth="1"/>
    <col min="25" max="25" width="12.36328125" customWidth="1"/>
    <col min="26" max="26" width="13.6328125" customWidth="1"/>
    <col min="27" max="27" width="15.6328125" bestFit="1" customWidth="1"/>
    <col min="28" max="28" width="18.6328125" customWidth="1"/>
    <col min="29" max="29" width="11.36328125" customWidth="1"/>
    <col min="30" max="30" width="10.54296875" customWidth="1"/>
    <col min="31" max="31" width="11.36328125" customWidth="1"/>
    <col min="32" max="32" width="10.36328125" customWidth="1"/>
    <col min="33" max="33" width="6.6328125" customWidth="1"/>
    <col min="34" max="34" width="8" customWidth="1"/>
    <col min="35" max="35" width="14.36328125" customWidth="1"/>
    <col min="36" max="36" width="10" customWidth="1"/>
    <col min="37" max="37" width="12" customWidth="1"/>
    <col min="38" max="38" width="18.36328125" customWidth="1"/>
    <col min="40" max="40" width="8.54296875" customWidth="1"/>
    <col min="41" max="41" width="10.36328125" customWidth="1"/>
    <col min="42" max="42" width="11" customWidth="1"/>
    <col min="43" max="43" width="7.453125" customWidth="1"/>
    <col min="44" max="44" width="12.6328125" customWidth="1"/>
    <col min="45" max="45" width="10.6328125" customWidth="1"/>
    <col min="46" max="46" width="12.36328125" customWidth="1"/>
    <col min="47" max="47" width="13.36328125" customWidth="1"/>
    <col min="48" max="48" width="17.453125" customWidth="1"/>
    <col min="49" max="49" width="15.453125" customWidth="1"/>
    <col min="50" max="50" width="10.54296875" customWidth="1"/>
    <col min="51" max="51" width="12.36328125" customWidth="1"/>
    <col min="52" max="52" width="13.6328125" customWidth="1"/>
    <col min="57" max="57" width="19" customWidth="1"/>
    <col min="58" max="58" width="14.6328125" customWidth="1"/>
    <col min="59" max="59" width="12.54296875" customWidth="1"/>
    <col min="60" max="60" width="13.54296875" customWidth="1"/>
    <col min="61" max="61" width="13.6328125" customWidth="1"/>
    <col min="62" max="62" width="13.54296875" customWidth="1"/>
    <col min="63" max="63" width="15.6328125" customWidth="1"/>
    <col min="64" max="64" width="11" customWidth="1"/>
    <col min="65" max="65" width="12.6328125" bestFit="1" customWidth="1"/>
    <col min="66" max="66" width="12" bestFit="1" customWidth="1"/>
    <col min="67" max="67" width="9.453125" bestFit="1" customWidth="1"/>
    <col min="68" max="68" width="14.36328125" customWidth="1"/>
    <col min="69" max="69" width="13.54296875" customWidth="1"/>
    <col min="70" max="70" width="12.6328125" bestFit="1" customWidth="1"/>
    <col min="82" max="82" width="4.36328125" customWidth="1"/>
    <col min="83" max="83" width="18" customWidth="1"/>
  </cols>
  <sheetData>
    <row r="1" spans="1:71" ht="13" thickBot="1" x14ac:dyDescent="0.3">
      <c r="X1" s="177"/>
      <c r="Y1" s="959" t="s">
        <v>553</v>
      </c>
      <c r="AB1" s="1"/>
      <c r="AC1" s="1"/>
    </row>
    <row r="2" spans="1:7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35">
      <c r="A3" s="1608" t="s">
        <v>215</v>
      </c>
      <c r="B3" s="1609"/>
      <c r="C3" s="1609"/>
      <c r="D3" s="1609"/>
      <c r="E3" s="1609"/>
      <c r="F3" s="1609"/>
      <c r="G3" s="1609"/>
      <c r="H3" s="1609"/>
      <c r="I3" s="1609"/>
      <c r="J3" s="1609"/>
      <c r="K3" s="1609"/>
      <c r="L3" s="1609"/>
      <c r="M3" s="1609"/>
      <c r="N3" s="1609"/>
      <c r="O3" s="1609"/>
      <c r="P3" s="1609"/>
      <c r="Q3" s="1609"/>
      <c r="R3" s="1609"/>
      <c r="S3" s="1609"/>
      <c r="T3" s="1609"/>
      <c r="U3" s="1609"/>
      <c r="V3" s="1609"/>
      <c r="W3" s="1609"/>
      <c r="X3" s="1609"/>
      <c r="Y3" s="1610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4" customHeight="1" x14ac:dyDescent="0.3">
      <c r="A5" s="56" t="s">
        <v>216</v>
      </c>
      <c r="B5" s="54"/>
      <c r="C5" s="49" t="s">
        <v>217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218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07"/>
      <c r="AY5" s="1607"/>
      <c r="AZ5" s="1607"/>
      <c r="BA5" s="1"/>
      <c r="BQ5" s="246"/>
      <c r="BR5" s="246"/>
      <c r="BS5" s="247"/>
    </row>
    <row r="6" spans="1:71" ht="14" customHeight="1" x14ac:dyDescent="0.3">
      <c r="A6" s="57" t="s">
        <v>219</v>
      </c>
      <c r="B6" s="564" t="s">
        <v>220</v>
      </c>
      <c r="C6" s="564" t="s">
        <v>221</v>
      </c>
      <c r="D6" s="564" t="s">
        <v>222</v>
      </c>
      <c r="E6" s="58" t="s">
        <v>223</v>
      </c>
      <c r="F6" s="564" t="s">
        <v>224</v>
      </c>
      <c r="G6" s="562" t="s">
        <v>225</v>
      </c>
      <c r="H6" s="1600" t="s">
        <v>226</v>
      </c>
      <c r="I6" s="1600"/>
      <c r="J6" s="562" t="s">
        <v>227</v>
      </c>
      <c r="K6" s="564" t="s">
        <v>228</v>
      </c>
      <c r="L6" s="566" t="s">
        <v>229</v>
      </c>
      <c r="M6" s="54"/>
      <c r="N6" s="564" t="s">
        <v>219</v>
      </c>
      <c r="O6" s="564" t="s">
        <v>220</v>
      </c>
      <c r="P6" s="564" t="s">
        <v>221</v>
      </c>
      <c r="Q6" s="564" t="s">
        <v>222</v>
      </c>
      <c r="R6" s="230" t="s">
        <v>223</v>
      </c>
      <c r="S6" s="564" t="s">
        <v>224</v>
      </c>
      <c r="T6" s="564" t="s">
        <v>225</v>
      </c>
      <c r="U6" s="1600" t="s">
        <v>226</v>
      </c>
      <c r="V6" s="1600"/>
      <c r="W6" s="564" t="s">
        <v>227</v>
      </c>
      <c r="X6" s="564" t="s">
        <v>228</v>
      </c>
      <c r="Y6" s="235" t="s">
        <v>229</v>
      </c>
      <c r="Z6" s="1"/>
      <c r="AF6" s="1"/>
      <c r="AG6" s="1601"/>
      <c r="AH6" s="1601"/>
      <c r="AI6" s="1601"/>
      <c r="AJ6" s="1601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4" customHeight="1" x14ac:dyDescent="0.3">
      <c r="A7" s="38" t="s">
        <v>233</v>
      </c>
      <c r="B7" s="8" t="s">
        <v>234</v>
      </c>
      <c r="C7" s="8" t="s">
        <v>235</v>
      </c>
      <c r="D7" s="12">
        <f>ID!N40</f>
        <v>5.4772255750515442E-3</v>
      </c>
      <c r="E7" s="12">
        <f>SQRT(6)</f>
        <v>2.4494897427831779</v>
      </c>
      <c r="F7" s="8">
        <v>4</v>
      </c>
      <c r="G7" s="13">
        <f>D7/E7</f>
        <v>2.2360679774997422E-3</v>
      </c>
      <c r="H7" s="12">
        <v>1</v>
      </c>
      <c r="I7" s="8" t="s">
        <v>234</v>
      </c>
      <c r="J7" s="13">
        <f>G7*H7</f>
        <v>2.2360679774997422E-3</v>
      </c>
      <c r="K7" s="9">
        <f>J7^2</f>
        <v>4.9999999999997878E-6</v>
      </c>
      <c r="L7" s="9">
        <f>J7^4/F7</f>
        <v>6.2499999999994695E-12</v>
      </c>
      <c r="M7" s="54"/>
      <c r="N7" s="28" t="s">
        <v>233</v>
      </c>
      <c r="O7" s="8" t="s">
        <v>234</v>
      </c>
      <c r="P7" s="8" t="s">
        <v>235</v>
      </c>
      <c r="Q7" s="12">
        <f>ID!O56</f>
        <v>0</v>
      </c>
      <c r="R7" s="12">
        <f>SQRT(6)</f>
        <v>2.4494897427831779</v>
      </c>
      <c r="S7" s="8">
        <v>4</v>
      </c>
      <c r="T7" s="13">
        <f>Q7/R7</f>
        <v>0</v>
      </c>
      <c r="U7" s="12">
        <v>1</v>
      </c>
      <c r="V7" s="8" t="s">
        <v>234</v>
      </c>
      <c r="W7" s="13">
        <f>T7*U7</f>
        <v>0</v>
      </c>
      <c r="X7" s="9">
        <f>W7^2</f>
        <v>0</v>
      </c>
      <c r="Y7" s="41">
        <f>W7^4/S7</f>
        <v>0</v>
      </c>
      <c r="Z7" s="1"/>
      <c r="AG7" s="1602"/>
      <c r="AH7" s="1602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4" customHeight="1" x14ac:dyDescent="0.3">
      <c r="A8" s="38" t="s">
        <v>244</v>
      </c>
      <c r="B8" s="8" t="s">
        <v>234</v>
      </c>
      <c r="C8" s="8" t="s">
        <v>245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234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244</v>
      </c>
      <c r="O8" s="8" t="s">
        <v>234</v>
      </c>
      <c r="P8" s="8" t="s">
        <v>245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234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20"/>
      <c r="AH8" s="820"/>
      <c r="AI8" s="820"/>
      <c r="AJ8" s="820"/>
      <c r="BC8" s="1"/>
      <c r="BD8" s="252"/>
      <c r="BE8" s="252"/>
    </row>
    <row r="9" spans="1:71" ht="14" customHeight="1" x14ac:dyDescent="0.3">
      <c r="A9" s="38" t="s">
        <v>247</v>
      </c>
      <c r="B9" s="8" t="s">
        <v>234</v>
      </c>
      <c r="C9" s="8" t="s">
        <v>245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234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247</v>
      </c>
      <c r="O9" s="8" t="s">
        <v>234</v>
      </c>
      <c r="P9" s="8" t="s">
        <v>245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234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21"/>
      <c r="AH9" s="821"/>
      <c r="AI9" s="822"/>
      <c r="AJ9" s="822"/>
      <c r="BC9" s="1"/>
      <c r="BD9" s="252"/>
      <c r="BE9" s="252"/>
    </row>
    <row r="10" spans="1:71" ht="14" customHeight="1" x14ac:dyDescent="0.3">
      <c r="A10" s="42" t="s">
        <v>249</v>
      </c>
      <c r="B10" s="8" t="s">
        <v>234</v>
      </c>
      <c r="C10" s="8" t="s">
        <v>235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234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249</v>
      </c>
      <c r="O10" s="8" t="s">
        <v>234</v>
      </c>
      <c r="P10" s="8" t="s">
        <v>235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234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21"/>
      <c r="AH10" s="821"/>
      <c r="AI10" s="822"/>
      <c r="AJ10" s="822"/>
      <c r="BC10" s="1"/>
      <c r="BD10" s="252"/>
      <c r="BE10" s="252"/>
    </row>
    <row r="11" spans="1:71" ht="14" customHeight="1" x14ac:dyDescent="0.3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21"/>
      <c r="AH11" s="821"/>
      <c r="AI11" s="822"/>
      <c r="AJ11" s="822"/>
      <c r="BC11" s="1"/>
      <c r="BD11" s="252"/>
      <c r="BE11" s="252"/>
    </row>
    <row r="12" spans="1:71" ht="14" customHeight="1" x14ac:dyDescent="0.3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21"/>
      <c r="AH12" s="821"/>
      <c r="AI12" s="822"/>
      <c r="AJ12" s="822"/>
      <c r="BC12" s="1"/>
      <c r="BD12" s="252"/>
      <c r="BE12" s="252"/>
    </row>
    <row r="13" spans="1:71" ht="14" customHeight="1" x14ac:dyDescent="0.3">
      <c r="A13" s="43" t="s">
        <v>250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1.2814814814814793E-4</v>
      </c>
      <c r="L13" s="5">
        <f>SUM(L7:L12)</f>
        <v>2.1202846364883348E-10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21"/>
      <c r="AH13" s="821"/>
      <c r="AI13" s="1"/>
      <c r="AJ13" s="1"/>
      <c r="BC13" s="1"/>
      <c r="BD13" s="252"/>
      <c r="BE13" s="252"/>
    </row>
    <row r="14" spans="1:71" ht="14" customHeight="1" x14ac:dyDescent="0.45">
      <c r="A14" s="44" t="s">
        <v>251</v>
      </c>
      <c r="B14" s="17"/>
      <c r="C14" s="17"/>
      <c r="D14" s="17"/>
      <c r="E14" s="18"/>
      <c r="F14" s="17"/>
      <c r="G14" s="61" t="s">
        <v>252</v>
      </c>
      <c r="H14" s="17"/>
      <c r="I14" s="17"/>
      <c r="J14" s="17"/>
      <c r="K14" s="19">
        <f>SQRT(K13)</f>
        <v>1.1320253890622238E-2</v>
      </c>
      <c r="L14" s="20"/>
      <c r="M14" s="54"/>
      <c r="N14" s="222" t="s">
        <v>250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1.2314814814814816E-4</v>
      </c>
      <c r="Y14" s="63">
        <f>SUM(Y7:Y12)</f>
        <v>2.0577846364883402E-10</v>
      </c>
      <c r="Z14" s="131"/>
      <c r="AG14" s="821"/>
      <c r="AH14" s="821"/>
      <c r="AI14" s="1"/>
      <c r="AJ14" s="1"/>
      <c r="BC14" s="1"/>
      <c r="BD14" s="252"/>
      <c r="BE14" s="252"/>
    </row>
    <row r="15" spans="1:71" ht="14" customHeight="1" x14ac:dyDescent="0.45">
      <c r="A15" s="43" t="s">
        <v>253</v>
      </c>
      <c r="B15" s="21"/>
      <c r="C15" s="21"/>
      <c r="D15" s="21"/>
      <c r="E15" s="22"/>
      <c r="F15" s="21"/>
      <c r="G15" s="62" t="s">
        <v>254</v>
      </c>
      <c r="H15" s="21"/>
      <c r="I15" s="21"/>
      <c r="J15" s="21"/>
      <c r="K15" s="27">
        <f>K14^4/(L13)</f>
        <v>77.45161942501305</v>
      </c>
      <c r="L15" s="23"/>
      <c r="M15" s="54"/>
      <c r="N15" s="16" t="s">
        <v>251</v>
      </c>
      <c r="O15" s="17"/>
      <c r="P15" s="17"/>
      <c r="Q15" s="17"/>
      <c r="R15" s="18"/>
      <c r="S15" s="17"/>
      <c r="T15" s="61" t="s">
        <v>252</v>
      </c>
      <c r="U15" s="17"/>
      <c r="V15" s="17"/>
      <c r="W15" s="225"/>
      <c r="X15" s="19">
        <f>SQRT(X14)</f>
        <v>1.109721353079899E-2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4" customHeight="1" x14ac:dyDescent="0.45">
      <c r="A16" s="44" t="s">
        <v>263</v>
      </c>
      <c r="B16" s="17"/>
      <c r="C16" s="17"/>
      <c r="D16" s="17"/>
      <c r="E16" s="18"/>
      <c r="F16" s="17"/>
      <c r="G16" s="64" t="s">
        <v>264</v>
      </c>
      <c r="H16" s="17"/>
      <c r="I16" s="17"/>
      <c r="J16" s="17"/>
      <c r="K16" s="65">
        <f>1.95996+(2.37356/K15)+(2.818745/K15^2)+(2.546662/K15^3)+(1.761829/K15^4)+(0.245458/K15^5)+(1.000764/K15^6)</f>
        <v>1.991081130474617</v>
      </c>
      <c r="L16" s="20"/>
      <c r="M16" s="54"/>
      <c r="N16" s="16" t="s">
        <v>253</v>
      </c>
      <c r="O16" s="17"/>
      <c r="P16" s="17"/>
      <c r="Q16" s="17"/>
      <c r="R16" s="18"/>
      <c r="S16" s="17"/>
      <c r="T16" s="226" t="s">
        <v>254</v>
      </c>
      <c r="U16" s="17"/>
      <c r="V16" s="17"/>
      <c r="W16" s="225"/>
      <c r="X16" s="27">
        <f>X15^4/(Y14)</f>
        <v>73.698025164569671</v>
      </c>
      <c r="Y16" s="47"/>
      <c r="Z16" s="1"/>
      <c r="AG16" s="820"/>
      <c r="AH16" s="820"/>
      <c r="AI16" s="1"/>
      <c r="AJ16" s="1"/>
      <c r="BD16" s="252"/>
      <c r="BE16" s="252"/>
    </row>
    <row r="17" spans="1:57" ht="14" customHeight="1" x14ac:dyDescent="0.35">
      <c r="A17" s="45" t="s">
        <v>265</v>
      </c>
      <c r="B17" s="24"/>
      <c r="C17" s="24"/>
      <c r="D17" s="24"/>
      <c r="E17" s="25"/>
      <c r="F17" s="24"/>
      <c r="G17" s="66" t="s">
        <v>266</v>
      </c>
      <c r="H17" s="24"/>
      <c r="I17" s="24"/>
      <c r="J17" s="24"/>
      <c r="K17" s="51">
        <f>K14*K16</f>
        <v>2.2539543913799805E-2</v>
      </c>
      <c r="L17" s="26" t="s">
        <v>267</v>
      </c>
      <c r="M17" s="54"/>
      <c r="N17" s="16" t="s">
        <v>263</v>
      </c>
      <c r="O17" s="17"/>
      <c r="P17" s="17"/>
      <c r="Q17" s="17"/>
      <c r="R17" s="18"/>
      <c r="S17" s="17"/>
      <c r="T17" s="64" t="s">
        <v>264</v>
      </c>
      <c r="U17" s="17"/>
      <c r="V17" s="17"/>
      <c r="W17" s="225"/>
      <c r="X17" s="65">
        <f>1.95996+(2.37356/X16)+(2.818745/X16^2)+(2.546662/X16^3)+(1.761829/X16^4)+(0.245458/X16^5)+(1.000764/X16^6)</f>
        <v>1.9926919559547374</v>
      </c>
      <c r="Y17" s="46"/>
      <c r="Z17" s="131"/>
      <c r="AA17" s="824"/>
      <c r="AB17" s="824"/>
      <c r="AC17" s="824"/>
      <c r="AD17" s="1602"/>
      <c r="AE17" s="1603"/>
      <c r="AG17" s="822"/>
      <c r="AH17" s="822"/>
      <c r="AI17" s="1"/>
      <c r="AJ17" s="1"/>
      <c r="BD17" s="252"/>
      <c r="BE17" s="252"/>
    </row>
    <row r="18" spans="1:57" ht="14" customHeigh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265</v>
      </c>
      <c r="O18" s="17"/>
      <c r="P18" s="17"/>
      <c r="Q18" s="17"/>
      <c r="R18" s="18"/>
      <c r="S18" s="17"/>
      <c r="T18" s="64" t="s">
        <v>266</v>
      </c>
      <c r="U18" s="17"/>
      <c r="V18" s="17"/>
      <c r="W18" s="225"/>
      <c r="X18" s="52">
        <f>X15*X17</f>
        <v>2.2113328136335215E-2</v>
      </c>
      <c r="Y18" s="50" t="s">
        <v>267</v>
      </c>
      <c r="Z18" s="1"/>
      <c r="AA18" s="820"/>
      <c r="AB18" s="1602"/>
      <c r="AC18" s="1602"/>
      <c r="AD18" s="1602"/>
      <c r="AE18" s="1603"/>
      <c r="AG18" s="822"/>
      <c r="AH18" s="822"/>
      <c r="AI18" s="1"/>
      <c r="AJ18" s="1"/>
      <c r="BD18" s="252"/>
      <c r="BE18" s="252"/>
    </row>
    <row r="19" spans="1:57" ht="14" customHeight="1" x14ac:dyDescent="0.3">
      <c r="A19" s="56" t="s">
        <v>269</v>
      </c>
      <c r="B19" s="54"/>
      <c r="C19" s="49" t="s">
        <v>270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5"/>
      <c r="AB19" s="826"/>
      <c r="AC19" s="826"/>
      <c r="AD19" s="1602"/>
      <c r="AE19" s="1603"/>
      <c r="AG19" s="822"/>
      <c r="AH19" s="822"/>
      <c r="AI19" s="1"/>
      <c r="AJ19" s="1"/>
      <c r="BD19" s="252"/>
      <c r="BE19" s="252"/>
    </row>
    <row r="20" spans="1:57" ht="14" customHeight="1" x14ac:dyDescent="0.3">
      <c r="A20" s="57" t="s">
        <v>219</v>
      </c>
      <c r="B20" s="564" t="s">
        <v>220</v>
      </c>
      <c r="C20" s="564" t="s">
        <v>221</v>
      </c>
      <c r="D20" s="564" t="s">
        <v>222</v>
      </c>
      <c r="E20" s="58" t="s">
        <v>223</v>
      </c>
      <c r="F20" s="564" t="s">
        <v>224</v>
      </c>
      <c r="G20" s="562" t="s">
        <v>225</v>
      </c>
      <c r="H20" s="1597" t="s">
        <v>226</v>
      </c>
      <c r="I20" s="1598"/>
      <c r="J20" s="562" t="s">
        <v>227</v>
      </c>
      <c r="K20" s="564" t="s">
        <v>228</v>
      </c>
      <c r="L20" s="566" t="s">
        <v>229</v>
      </c>
      <c r="M20" s="54"/>
      <c r="N20" s="49" t="s">
        <v>271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7"/>
      <c r="AB20" s="828"/>
      <c r="AC20" s="828"/>
      <c r="AD20" s="828"/>
      <c r="AE20" s="828"/>
      <c r="AG20" s="822"/>
      <c r="AH20" s="822"/>
      <c r="AI20" s="1"/>
      <c r="AJ20" s="1"/>
      <c r="BD20" s="252"/>
      <c r="BE20" s="252"/>
    </row>
    <row r="21" spans="1:57" ht="14" customHeight="1" x14ac:dyDescent="0.3">
      <c r="A21" s="35" t="s">
        <v>233</v>
      </c>
      <c r="B21" s="8" t="s">
        <v>234</v>
      </c>
      <c r="C21" s="2" t="s">
        <v>235</v>
      </c>
      <c r="D21" s="31">
        <f>ID!N41</f>
        <v>5.4772255750515442E-3</v>
      </c>
      <c r="E21" s="3">
        <f>SQRT(6)</f>
        <v>2.4494897427831779</v>
      </c>
      <c r="F21" s="8">
        <v>4</v>
      </c>
      <c r="G21" s="4">
        <f>D21/E21</f>
        <v>2.2360679774997422E-3</v>
      </c>
      <c r="H21" s="12">
        <v>1</v>
      </c>
      <c r="I21" s="8" t="s">
        <v>234</v>
      </c>
      <c r="J21" s="4">
        <f>G21*H21</f>
        <v>2.2360679774997422E-3</v>
      </c>
      <c r="K21" s="5">
        <f>J21^2</f>
        <v>4.9999999999997878E-6</v>
      </c>
      <c r="L21" s="6">
        <f>J21^4/F21</f>
        <v>6.2499999999994695E-12</v>
      </c>
      <c r="M21" s="54"/>
      <c r="N21" s="564" t="s">
        <v>219</v>
      </c>
      <c r="O21" s="564" t="s">
        <v>220</v>
      </c>
      <c r="P21" s="564" t="s">
        <v>221</v>
      </c>
      <c r="Q21" s="564" t="s">
        <v>222</v>
      </c>
      <c r="R21" s="230" t="s">
        <v>223</v>
      </c>
      <c r="S21" s="564" t="s">
        <v>224</v>
      </c>
      <c r="T21" s="564" t="s">
        <v>225</v>
      </c>
      <c r="U21" s="1600" t="s">
        <v>226</v>
      </c>
      <c r="V21" s="1600"/>
      <c r="W21" s="564" t="s">
        <v>227</v>
      </c>
      <c r="X21" s="564" t="s">
        <v>228</v>
      </c>
      <c r="Y21" s="235" t="s">
        <v>229</v>
      </c>
      <c r="Z21" s="131"/>
      <c r="AA21" s="827"/>
      <c r="AB21" s="828"/>
      <c r="AC21" s="828"/>
      <c r="AD21" s="828"/>
      <c r="AE21" s="1"/>
      <c r="AG21" s="822"/>
      <c r="AH21" s="822"/>
      <c r="AI21" s="1"/>
      <c r="AJ21" s="1"/>
      <c r="BD21" s="252"/>
      <c r="BE21" s="252"/>
    </row>
    <row r="22" spans="1:57" ht="14" customHeight="1" x14ac:dyDescent="0.3">
      <c r="A22" s="36" t="s">
        <v>244</v>
      </c>
      <c r="B22" s="8" t="s">
        <v>234</v>
      </c>
      <c r="C22" s="8" t="s">
        <v>245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234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233</v>
      </c>
      <c r="O22" s="8" t="s">
        <v>234</v>
      </c>
      <c r="P22" s="8" t="s">
        <v>235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234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7"/>
      <c r="AB22" s="828"/>
      <c r="AC22" s="828"/>
      <c r="AD22" s="828"/>
      <c r="AE22" s="1"/>
      <c r="AG22" s="822"/>
      <c r="AH22" s="822"/>
      <c r="AI22" s="1"/>
      <c r="AJ22" s="1"/>
      <c r="BD22" s="252"/>
      <c r="BE22" s="252"/>
    </row>
    <row r="23" spans="1:57" ht="14" customHeight="1" x14ac:dyDescent="0.3">
      <c r="A23" s="38" t="s">
        <v>247</v>
      </c>
      <c r="B23" s="8" t="s">
        <v>234</v>
      </c>
      <c r="C23" s="8" t="s">
        <v>245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234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244</v>
      </c>
      <c r="O23" s="8" t="s">
        <v>234</v>
      </c>
      <c r="P23" s="8" t="s">
        <v>245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234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7"/>
      <c r="AB23" s="828"/>
      <c r="AC23" s="828"/>
      <c r="AD23" s="828"/>
      <c r="AE23" s="1"/>
      <c r="AG23" s="822"/>
      <c r="AH23" s="822"/>
      <c r="AI23" s="1"/>
      <c r="AJ23" s="1"/>
      <c r="BA23" s="218"/>
      <c r="BD23" s="252"/>
      <c r="BE23" s="252"/>
    </row>
    <row r="24" spans="1:57" ht="14" customHeight="1" x14ac:dyDescent="0.3">
      <c r="A24" s="40" t="s">
        <v>249</v>
      </c>
      <c r="B24" s="8" t="s">
        <v>234</v>
      </c>
      <c r="C24" s="8" t="s">
        <v>235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234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247</v>
      </c>
      <c r="O24" s="8" t="s">
        <v>234</v>
      </c>
      <c r="P24" s="8" t="s">
        <v>245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234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7"/>
      <c r="AB24" s="828"/>
      <c r="AC24" s="828"/>
      <c r="AD24" s="828"/>
      <c r="AE24" s="1"/>
      <c r="AG24" s="247"/>
      <c r="AH24" s="247"/>
      <c r="BA24" s="112"/>
      <c r="BD24" s="252"/>
      <c r="BE24" s="252"/>
    </row>
    <row r="25" spans="1:57" ht="14" customHeight="1" x14ac:dyDescent="0.3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249</v>
      </c>
      <c r="O25" s="8" t="s">
        <v>234</v>
      </c>
      <c r="P25" s="8" t="s">
        <v>235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234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7"/>
      <c r="AB25" s="828"/>
      <c r="AC25" s="828"/>
      <c r="AD25" s="828"/>
      <c r="AE25" s="1"/>
      <c r="AG25" s="820"/>
      <c r="AH25" s="820"/>
      <c r="BA25" s="113"/>
      <c r="BD25" s="252"/>
      <c r="BE25" s="252"/>
    </row>
    <row r="26" spans="1:57" ht="14" customHeight="1" x14ac:dyDescent="0.3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7"/>
      <c r="AB26" s="828"/>
      <c r="AC26" s="828"/>
      <c r="AD26" s="828"/>
      <c r="AE26" s="1"/>
      <c r="AG26" s="822"/>
      <c r="AH26" s="823"/>
      <c r="BA26" s="112"/>
      <c r="BD26" s="252"/>
      <c r="BE26" s="252"/>
    </row>
    <row r="27" spans="1:57" ht="14" customHeight="1" x14ac:dyDescent="0.3">
      <c r="A27" s="43" t="s">
        <v>250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1.2814814814814793E-4</v>
      </c>
      <c r="L27" s="5">
        <f>SUM(L21:L26)</f>
        <v>2.1202846364883348E-10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599"/>
      <c r="AB27" s="1599"/>
      <c r="AC27" s="1599"/>
      <c r="AD27" s="1599"/>
      <c r="AE27" s="1603"/>
      <c r="AG27" s="822"/>
      <c r="AH27" s="823"/>
      <c r="AK27" s="1"/>
      <c r="BA27" s="218"/>
    </row>
    <row r="28" spans="1:57" ht="14" customHeight="1" x14ac:dyDescent="0.45">
      <c r="A28" s="44" t="s">
        <v>251</v>
      </c>
      <c r="B28" s="17"/>
      <c r="C28" s="17"/>
      <c r="D28" s="17"/>
      <c r="E28" s="18"/>
      <c r="F28" s="17"/>
      <c r="G28" s="61" t="s">
        <v>252</v>
      </c>
      <c r="H28" s="17"/>
      <c r="I28" s="17"/>
      <c r="J28" s="17"/>
      <c r="K28" s="19">
        <f>SQRT(K27)</f>
        <v>1.1320253890622238E-2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6"/>
      <c r="AB28" s="1599"/>
      <c r="AC28" s="1599"/>
      <c r="AD28" s="1599"/>
      <c r="AE28" s="1603"/>
      <c r="AG28" s="822"/>
      <c r="AH28" s="823"/>
      <c r="AI28" s="1"/>
      <c r="BA28" s="112"/>
    </row>
    <row r="29" spans="1:57" ht="14" customHeight="1" x14ac:dyDescent="0.45">
      <c r="A29" s="43" t="s">
        <v>253</v>
      </c>
      <c r="B29" s="21"/>
      <c r="C29" s="21"/>
      <c r="D29" s="21"/>
      <c r="E29" s="22"/>
      <c r="F29" s="21"/>
      <c r="G29" s="62" t="s">
        <v>254</v>
      </c>
      <c r="H29" s="21"/>
      <c r="I29" s="21"/>
      <c r="J29" s="21"/>
      <c r="K29" s="27">
        <f>K28^4/(L27)</f>
        <v>77.45161942501305</v>
      </c>
      <c r="L29" s="23"/>
      <c r="M29" s="54"/>
      <c r="N29" s="222" t="s">
        <v>250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6"/>
      <c r="AB29" s="826"/>
      <c r="AC29" s="826"/>
      <c r="AD29" s="1599"/>
      <c r="AE29" s="1603"/>
      <c r="AG29" s="822"/>
      <c r="AH29" s="823"/>
      <c r="BA29" s="113"/>
    </row>
    <row r="30" spans="1:57" ht="14" customHeight="1" x14ac:dyDescent="0.45">
      <c r="A30" s="44" t="s">
        <v>263</v>
      </c>
      <c r="B30" s="17"/>
      <c r="C30" s="17"/>
      <c r="D30" s="17"/>
      <c r="E30" s="18"/>
      <c r="F30" s="17"/>
      <c r="G30" s="64" t="s">
        <v>264</v>
      </c>
      <c r="H30" s="17"/>
      <c r="I30" s="17"/>
      <c r="J30" s="17"/>
      <c r="K30" s="65">
        <f>1.95996+(2.37356/K29)+(2.818745/K29^2)+(2.546662/K29^3)+(1.761829/K29^4)+(0.245458/K29^5)+(1.000764/K29^6)</f>
        <v>1.991081130474617</v>
      </c>
      <c r="L30" s="20"/>
      <c r="M30" s="54"/>
      <c r="N30" s="16" t="s">
        <v>251</v>
      </c>
      <c r="O30" s="17"/>
      <c r="P30" s="17"/>
      <c r="Q30" s="17"/>
      <c r="R30" s="18"/>
      <c r="S30" s="17"/>
      <c r="T30" s="61" t="s">
        <v>252</v>
      </c>
      <c r="U30" s="17"/>
      <c r="V30" s="17"/>
      <c r="W30" s="225"/>
      <c r="X30" s="19">
        <f>SQRT(X29)</f>
        <v>1.109721353079899E-2</v>
      </c>
      <c r="Y30" s="46"/>
      <c r="Z30" s="1"/>
      <c r="AA30" s="827"/>
      <c r="AB30" s="828"/>
      <c r="AC30" s="828"/>
      <c r="AD30" s="828"/>
      <c r="AE30" s="828"/>
      <c r="AG30" s="822"/>
      <c r="AH30" s="823"/>
      <c r="BA30" s="112"/>
    </row>
    <row r="31" spans="1:57" ht="14" customHeight="1" x14ac:dyDescent="0.45">
      <c r="A31" s="45" t="s">
        <v>265</v>
      </c>
      <c r="B31" s="24"/>
      <c r="C31" s="24"/>
      <c r="D31" s="24"/>
      <c r="E31" s="25"/>
      <c r="F31" s="24"/>
      <c r="G31" s="66" t="s">
        <v>266</v>
      </c>
      <c r="H31" s="24"/>
      <c r="I31" s="24"/>
      <c r="J31" s="24"/>
      <c r="K31" s="51">
        <f>K28*K30</f>
        <v>2.2539543913799805E-2</v>
      </c>
      <c r="L31" s="26" t="s">
        <v>267</v>
      </c>
      <c r="M31" s="54"/>
      <c r="N31" s="16" t="s">
        <v>253</v>
      </c>
      <c r="O31" s="17"/>
      <c r="P31" s="17"/>
      <c r="Q31" s="17"/>
      <c r="R31" s="18"/>
      <c r="S31" s="17"/>
      <c r="T31" s="226" t="s">
        <v>254</v>
      </c>
      <c r="U31" s="17"/>
      <c r="V31" s="17"/>
      <c r="W31" s="225"/>
      <c r="X31" s="27">
        <f>X30^4/(Y29)</f>
        <v>73.698025164569671</v>
      </c>
      <c r="Y31" s="47"/>
      <c r="Z31" s="1"/>
      <c r="AA31" s="827"/>
      <c r="AB31" s="828"/>
      <c r="AC31" s="828"/>
      <c r="AD31" s="828"/>
      <c r="AE31" s="829"/>
      <c r="AG31" s="822"/>
      <c r="AH31" s="823"/>
      <c r="BA31" s="218"/>
    </row>
    <row r="32" spans="1:57" ht="14" customHeight="1" x14ac:dyDescent="0.35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263</v>
      </c>
      <c r="O32" s="17"/>
      <c r="P32" s="17"/>
      <c r="Q32" s="17"/>
      <c r="R32" s="18"/>
      <c r="S32" s="17"/>
      <c r="T32" s="64" t="s">
        <v>264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7"/>
      <c r="AB32" s="828"/>
      <c r="AC32" s="828"/>
      <c r="AD32" s="828"/>
      <c r="AE32" s="829"/>
      <c r="AG32" s="822"/>
      <c r="AH32" s="823"/>
      <c r="BA32" s="112"/>
    </row>
    <row r="33" spans="1:68" ht="14" customHeight="1" x14ac:dyDescent="0.3">
      <c r="A33" s="56" t="s">
        <v>289</v>
      </c>
      <c r="B33" s="54"/>
      <c r="C33" s="49" t="s">
        <v>290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265</v>
      </c>
      <c r="O33" s="17"/>
      <c r="P33" s="17"/>
      <c r="Q33" s="17"/>
      <c r="R33" s="18"/>
      <c r="S33" s="17"/>
      <c r="T33" s="64" t="s">
        <v>266</v>
      </c>
      <c r="U33" s="17"/>
      <c r="V33" s="17"/>
      <c r="W33" s="225"/>
      <c r="X33" s="52">
        <f>X30*X32</f>
        <v>2.2113328136335215E-2</v>
      </c>
      <c r="Y33" s="50" t="s">
        <v>267</v>
      </c>
      <c r="Z33" s="1"/>
      <c r="AA33" s="827"/>
      <c r="AB33" s="828"/>
      <c r="AC33" s="828"/>
      <c r="AD33" s="828"/>
      <c r="AE33" s="829"/>
      <c r="BA33" s="113"/>
    </row>
    <row r="34" spans="1:68" ht="14" customHeight="1" x14ac:dyDescent="0.3">
      <c r="A34" s="57" t="s">
        <v>219</v>
      </c>
      <c r="B34" s="564" t="s">
        <v>220</v>
      </c>
      <c r="C34" s="564" t="s">
        <v>221</v>
      </c>
      <c r="D34" s="564" t="s">
        <v>222</v>
      </c>
      <c r="E34" s="58" t="s">
        <v>223</v>
      </c>
      <c r="F34" s="564" t="s">
        <v>224</v>
      </c>
      <c r="G34" s="562" t="s">
        <v>225</v>
      </c>
      <c r="H34" s="1597" t="s">
        <v>226</v>
      </c>
      <c r="I34" s="1598"/>
      <c r="J34" s="562" t="s">
        <v>227</v>
      </c>
      <c r="K34" s="564" t="s">
        <v>228</v>
      </c>
      <c r="L34" s="566" t="s">
        <v>229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7"/>
      <c r="AB34" s="828"/>
      <c r="AC34" s="828"/>
      <c r="AD34" s="828"/>
      <c r="AE34" s="829"/>
      <c r="AF34" s="1"/>
      <c r="BA34" s="112"/>
    </row>
    <row r="35" spans="1:68" ht="14" customHeight="1" x14ac:dyDescent="0.3">
      <c r="A35" s="35" t="s">
        <v>233</v>
      </c>
      <c r="B35" s="8" t="s">
        <v>234</v>
      </c>
      <c r="C35" s="2" t="s">
        <v>235</v>
      </c>
      <c r="D35" s="31">
        <f>ID!N42</f>
        <v>5.4772255750505719E-3</v>
      </c>
      <c r="E35" s="3">
        <f>SQRT(6)</f>
        <v>2.4494897427831779</v>
      </c>
      <c r="F35" s="8">
        <v>4</v>
      </c>
      <c r="G35" s="4">
        <f>D35/E35</f>
        <v>2.2360679774993454E-3</v>
      </c>
      <c r="H35" s="12">
        <v>1</v>
      </c>
      <c r="I35" s="8" t="s">
        <v>234</v>
      </c>
      <c r="J35" s="4">
        <f>G35*H35</f>
        <v>2.2360679774993454E-3</v>
      </c>
      <c r="K35" s="5">
        <f>J35^2</f>
        <v>4.9999999999980133E-6</v>
      </c>
      <c r="L35" s="6">
        <f>J35^4/F35</f>
        <v>6.2499999999950331E-12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7"/>
      <c r="AB35" s="828"/>
      <c r="AC35" s="828"/>
      <c r="AD35" s="828"/>
      <c r="AE35" s="829"/>
      <c r="AF35" s="1"/>
      <c r="BA35" s="218"/>
    </row>
    <row r="36" spans="1:68" ht="14" customHeight="1" x14ac:dyDescent="0.3">
      <c r="A36" s="36" t="s">
        <v>244</v>
      </c>
      <c r="B36" s="8" t="s">
        <v>234</v>
      </c>
      <c r="C36" s="8" t="s">
        <v>245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234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7"/>
      <c r="AB36" s="828"/>
      <c r="AC36" s="828"/>
      <c r="AD36" s="828"/>
      <c r="AE36" s="829"/>
      <c r="AF36" s="1"/>
      <c r="AI36" s="1"/>
      <c r="AJ36" s="1"/>
      <c r="AK36" s="1"/>
      <c r="BA36" s="112"/>
    </row>
    <row r="37" spans="1:68" ht="14" customHeight="1" x14ac:dyDescent="0.3">
      <c r="A37" s="38" t="s">
        <v>247</v>
      </c>
      <c r="B37" s="8" t="s">
        <v>234</v>
      </c>
      <c r="C37" s="8" t="s">
        <v>245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234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4" customHeight="1" x14ac:dyDescent="0.3">
      <c r="A38" s="40" t="s">
        <v>249</v>
      </c>
      <c r="B38" s="8" t="s">
        <v>234</v>
      </c>
      <c r="C38" s="8" t="s">
        <v>235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234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4" customHeight="1" x14ac:dyDescent="0.3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4" customHeight="1" x14ac:dyDescent="0.3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4" customHeight="1" x14ac:dyDescent="0.3">
      <c r="A41" s="43" t="s">
        <v>250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1.2814814814814617E-4</v>
      </c>
      <c r="L41" s="5">
        <f>SUM(L35:L40)</f>
        <v>2.1202846364882906E-10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4" customHeight="1" x14ac:dyDescent="0.45">
      <c r="A42" s="44" t="s">
        <v>251</v>
      </c>
      <c r="B42" s="17"/>
      <c r="C42" s="17"/>
      <c r="D42" s="17"/>
      <c r="E42" s="18"/>
      <c r="F42" s="17"/>
      <c r="G42" s="61" t="s">
        <v>252</v>
      </c>
      <c r="H42" s="17"/>
      <c r="I42" s="17"/>
      <c r="J42" s="17"/>
      <c r="K42" s="19">
        <f>SQRT(K41)</f>
        <v>1.1320253890622162E-2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4" customHeight="1" x14ac:dyDescent="0.45">
      <c r="A43" s="43" t="s">
        <v>253</v>
      </c>
      <c r="B43" s="21"/>
      <c r="C43" s="21"/>
      <c r="D43" s="21"/>
      <c r="E43" s="22"/>
      <c r="F43" s="21"/>
      <c r="G43" s="62" t="s">
        <v>254</v>
      </c>
      <c r="H43" s="21"/>
      <c r="I43" s="21"/>
      <c r="J43" s="21"/>
      <c r="K43" s="27">
        <f>K42^4/(L41)</f>
        <v>77.451619425012581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4" customHeight="1" x14ac:dyDescent="0.35">
      <c r="A44" s="44" t="s">
        <v>263</v>
      </c>
      <c r="B44" s="17"/>
      <c r="C44" s="17"/>
      <c r="D44" s="17"/>
      <c r="E44" s="18"/>
      <c r="F44" s="17"/>
      <c r="G44" s="64" t="s">
        <v>264</v>
      </c>
      <c r="H44" s="17"/>
      <c r="I44" s="17"/>
      <c r="J44" s="17"/>
      <c r="K44" s="65">
        <f>1.95996+(2.37356/K43)+(2.818745/K43^2)+(2.546662/K43^3)+(1.761829/K43^4)+(0.245458/K43^5)+(1.000764/K43^6)</f>
        <v>1.9910811304746172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4" customHeight="1" x14ac:dyDescent="0.3">
      <c r="A45" s="45" t="s">
        <v>265</v>
      </c>
      <c r="B45" s="24"/>
      <c r="C45" s="24"/>
      <c r="D45" s="24"/>
      <c r="E45" s="25"/>
      <c r="F45" s="24"/>
      <c r="G45" s="66" t="s">
        <v>266</v>
      </c>
      <c r="H45" s="24"/>
      <c r="I45" s="24"/>
      <c r="J45" s="24"/>
      <c r="K45" s="51">
        <f>K42*K44</f>
        <v>2.2539543913799656E-2</v>
      </c>
      <c r="L45" s="26" t="s">
        <v>267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4" customHeight="1" x14ac:dyDescent="0.3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4" customHeight="1" x14ac:dyDescent="0.3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4" customHeight="1" x14ac:dyDescent="0.3">
      <c r="A48" s="56" t="s">
        <v>582</v>
      </c>
      <c r="B48" s="98">
        <f>ID!V47</f>
        <v>104</v>
      </c>
      <c r="C48" s="131" t="s">
        <v>234</v>
      </c>
      <c r="D48" s="384" t="s">
        <v>294</v>
      </c>
      <c r="E48" s="385">
        <f>((25/B48)*8)*60</f>
        <v>115.38461538461539</v>
      </c>
      <c r="F48" s="386" t="s">
        <v>295</v>
      </c>
      <c r="G48" s="387">
        <f>E48/60</f>
        <v>1.9230769230769231</v>
      </c>
      <c r="H48" s="384" t="s">
        <v>241</v>
      </c>
      <c r="I48" s="388" t="s">
        <v>296</v>
      </c>
      <c r="J48" s="388"/>
      <c r="K48" s="389"/>
      <c r="L48" s="387">
        <f>(1/G48)*8</f>
        <v>4.16</v>
      </c>
      <c r="M48" s="54"/>
      <c r="N48" s="49" t="s">
        <v>583</v>
      </c>
      <c r="O48" s="98">
        <f>ID!V51</f>
        <v>100.11733333333332</v>
      </c>
      <c r="P48" s="1" t="s">
        <v>234</v>
      </c>
      <c r="Q48" s="384" t="s">
        <v>297</v>
      </c>
      <c r="R48" s="385">
        <f>((50/O48)*4)*60</f>
        <v>119.85936501171959</v>
      </c>
      <c r="S48" s="390" t="s">
        <v>295</v>
      </c>
      <c r="T48" s="387">
        <f>R48/60</f>
        <v>1.9976560835286599</v>
      </c>
      <c r="U48" s="384" t="s">
        <v>241</v>
      </c>
      <c r="V48" s="388" t="s">
        <v>298</v>
      </c>
      <c r="W48" s="388"/>
      <c r="X48" s="389"/>
      <c r="Y48" s="391">
        <f>((1/T48)*4)*2</f>
        <v>4.004693333333333</v>
      </c>
      <c r="Z48" s="383" t="s">
        <v>299</v>
      </c>
      <c r="AA48" s="383"/>
      <c r="AB48" s="383"/>
      <c r="AL48" s="1"/>
      <c r="AQ48" s="1"/>
      <c r="AR48" s="1"/>
      <c r="AS48" s="1"/>
      <c r="AT48" s="1"/>
    </row>
    <row r="49" spans="1:60" ht="14" customHeight="1" x14ac:dyDescent="0.3">
      <c r="A49" s="57" t="s">
        <v>219</v>
      </c>
      <c r="B49" s="564" t="s">
        <v>220</v>
      </c>
      <c r="C49" s="564" t="s">
        <v>221</v>
      </c>
      <c r="D49" s="564" t="s">
        <v>222</v>
      </c>
      <c r="E49" s="58" t="s">
        <v>223</v>
      </c>
      <c r="F49" s="564" t="s">
        <v>224</v>
      </c>
      <c r="G49" s="562" t="s">
        <v>225</v>
      </c>
      <c r="H49" s="1597" t="s">
        <v>226</v>
      </c>
      <c r="I49" s="1612"/>
      <c r="J49" s="564" t="s">
        <v>227</v>
      </c>
      <c r="K49" s="564" t="s">
        <v>228</v>
      </c>
      <c r="L49" s="566" t="s">
        <v>229</v>
      </c>
      <c r="M49" s="54"/>
      <c r="N49" s="564" t="s">
        <v>219</v>
      </c>
      <c r="O49" s="564" t="s">
        <v>220</v>
      </c>
      <c r="P49" s="564" t="s">
        <v>221</v>
      </c>
      <c r="Q49" s="564" t="s">
        <v>222</v>
      </c>
      <c r="R49" s="58" t="s">
        <v>223</v>
      </c>
      <c r="S49" s="564" t="s">
        <v>224</v>
      </c>
      <c r="T49" s="562" t="s">
        <v>225</v>
      </c>
      <c r="U49" s="1597" t="s">
        <v>226</v>
      </c>
      <c r="V49" s="1612"/>
      <c r="W49" s="564" t="s">
        <v>227</v>
      </c>
      <c r="X49" s="564" t="s">
        <v>228</v>
      </c>
      <c r="Y49" s="59" t="s">
        <v>229</v>
      </c>
      <c r="Z49" s="1"/>
      <c r="AA49" s="1"/>
      <c r="AB49" s="1"/>
      <c r="AQ49" s="1"/>
      <c r="AR49" s="218"/>
      <c r="AS49" s="218"/>
      <c r="AT49" s="218"/>
    </row>
    <row r="50" spans="1:60" ht="14" customHeight="1" x14ac:dyDescent="0.3">
      <c r="A50" s="35" t="s">
        <v>233</v>
      </c>
      <c r="B50" s="8" t="s">
        <v>234</v>
      </c>
      <c r="C50" s="2" t="s">
        <v>235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595">
        <v>1</v>
      </c>
      <c r="I50" s="1596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233</v>
      </c>
      <c r="O50" s="8" t="s">
        <v>234</v>
      </c>
      <c r="P50" s="2" t="s">
        <v>235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595">
        <v>1</v>
      </c>
      <c r="V50" s="1596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4" customHeight="1" x14ac:dyDescent="0.3">
      <c r="A51" s="36" t="s">
        <v>244</v>
      </c>
      <c r="B51" s="8" t="s">
        <v>234</v>
      </c>
      <c r="C51" s="8" t="s">
        <v>245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595">
        <v>1</v>
      </c>
      <c r="I51" s="1596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300</v>
      </c>
      <c r="O51" s="8" t="s">
        <v>234</v>
      </c>
      <c r="P51" s="8" t="s">
        <v>245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595">
        <v>1</v>
      </c>
      <c r="V51" s="1596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4" customHeight="1" x14ac:dyDescent="0.3">
      <c r="A52" s="38" t="s">
        <v>247</v>
      </c>
      <c r="B52" s="8" t="s">
        <v>234</v>
      </c>
      <c r="C52" s="8" t="s">
        <v>245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595">
        <v>1</v>
      </c>
      <c r="I52" s="1596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247</v>
      </c>
      <c r="O52" s="8" t="s">
        <v>234</v>
      </c>
      <c r="P52" s="8" t="s">
        <v>245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595">
        <v>1</v>
      </c>
      <c r="V52" s="1596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4" customHeight="1" x14ac:dyDescent="0.3">
      <c r="A53" s="38"/>
      <c r="B53" s="8"/>
      <c r="C53" s="8"/>
      <c r="D53" s="8"/>
      <c r="E53" s="12"/>
      <c r="F53" s="193"/>
      <c r="G53" s="13"/>
      <c r="H53" s="1593"/>
      <c r="I53" s="1594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593"/>
      <c r="V53" s="1594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11"/>
      <c r="AI53" s="1611"/>
      <c r="AJ53" s="1611"/>
      <c r="AK53" s="1611"/>
      <c r="AR53" s="218"/>
      <c r="AS53" s="218"/>
      <c r="AT53" s="218"/>
    </row>
    <row r="54" spans="1:60" ht="14" customHeight="1" x14ac:dyDescent="0.3">
      <c r="A54" s="40" t="s">
        <v>249</v>
      </c>
      <c r="B54" s="8" t="s">
        <v>234</v>
      </c>
      <c r="C54" s="8" t="s">
        <v>235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595">
        <v>1</v>
      </c>
      <c r="I54" s="1596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249</v>
      </c>
      <c r="O54" s="8" t="s">
        <v>234</v>
      </c>
      <c r="P54" s="8" t="s">
        <v>235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595">
        <v>1</v>
      </c>
      <c r="V54" s="1596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8"/>
      <c r="AI54" s="838"/>
      <c r="AJ54" s="838"/>
      <c r="AK54" s="838"/>
      <c r="AR54" s="218"/>
      <c r="AS54" s="218"/>
      <c r="AT54" s="218"/>
    </row>
    <row r="55" spans="1:60" ht="14" customHeight="1" x14ac:dyDescent="0.3">
      <c r="A55" s="38"/>
      <c r="B55" s="8"/>
      <c r="C55" s="8"/>
      <c r="D55" s="8"/>
      <c r="E55" s="12"/>
      <c r="F55" s="193"/>
      <c r="G55" s="13"/>
      <c r="H55" s="1593"/>
      <c r="I55" s="1594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593"/>
      <c r="V55" s="1594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9"/>
      <c r="AI55" s="838"/>
      <c r="AJ55" s="839"/>
      <c r="AK55" s="839"/>
      <c r="AR55" s="218"/>
      <c r="AS55" s="218"/>
      <c r="AT55" s="218"/>
    </row>
    <row r="56" spans="1:60" ht="14" customHeight="1" x14ac:dyDescent="0.3">
      <c r="A56" s="42"/>
      <c r="B56" s="8"/>
      <c r="C56" s="8"/>
      <c r="D56" s="8"/>
      <c r="E56" s="12"/>
      <c r="F56" s="8"/>
      <c r="G56" s="13"/>
      <c r="H56" s="1595"/>
      <c r="I56" s="1596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595"/>
      <c r="V56" s="1596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9"/>
      <c r="AI56" s="838"/>
      <c r="AJ56" s="838"/>
      <c r="AK56" s="838"/>
      <c r="AR56" s="218"/>
      <c r="AS56" s="218"/>
      <c r="AT56" s="218"/>
    </row>
    <row r="57" spans="1:60" ht="14" customHeight="1" x14ac:dyDescent="0.3">
      <c r="A57" s="43" t="s">
        <v>250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250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8"/>
      <c r="AD57" s="838"/>
      <c r="AE57" s="838"/>
      <c r="AF57" s="838"/>
      <c r="AG57" s="1"/>
      <c r="AH57" s="839"/>
      <c r="AI57" s="838"/>
      <c r="AJ57" s="838"/>
      <c r="AK57" s="83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4" customHeight="1" x14ac:dyDescent="0.45">
      <c r="A58" s="44" t="s">
        <v>251</v>
      </c>
      <c r="B58" s="17"/>
      <c r="C58" s="17"/>
      <c r="D58" s="17"/>
      <c r="E58" s="18"/>
      <c r="F58" s="17"/>
      <c r="G58" s="61" t="s">
        <v>252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251</v>
      </c>
      <c r="O58" s="17"/>
      <c r="P58" s="17"/>
      <c r="Q58" s="17"/>
      <c r="R58" s="18"/>
      <c r="S58" s="17"/>
      <c r="T58" s="61" t="s">
        <v>252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9"/>
      <c r="AD58" s="838"/>
      <c r="AE58" s="839"/>
      <c r="AF58" s="839"/>
      <c r="AG58" s="1"/>
      <c r="AH58" s="839"/>
      <c r="AI58" s="838"/>
      <c r="AJ58" s="839"/>
      <c r="AK58" s="839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4" customHeight="1" x14ac:dyDescent="0.45">
      <c r="A59" s="43" t="s">
        <v>253</v>
      </c>
      <c r="B59" s="21"/>
      <c r="C59" s="21"/>
      <c r="D59" s="21"/>
      <c r="E59" s="22"/>
      <c r="F59" s="21"/>
      <c r="G59" s="62" t="s">
        <v>254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253</v>
      </c>
      <c r="O59" s="17"/>
      <c r="P59" s="17"/>
      <c r="Q59" s="17"/>
      <c r="R59" s="18"/>
      <c r="S59" s="17"/>
      <c r="T59" s="226" t="s">
        <v>254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8"/>
      <c r="AD59" s="838"/>
      <c r="AE59" s="838"/>
      <c r="AF59" s="838"/>
      <c r="AG59" s="1"/>
      <c r="AH59" s="839"/>
      <c r="AI59" s="838"/>
      <c r="AJ59" s="838"/>
      <c r="AK59" s="83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4" customHeight="1" x14ac:dyDescent="0.35">
      <c r="A60" s="44" t="s">
        <v>263</v>
      </c>
      <c r="B60" s="17"/>
      <c r="C60" s="17"/>
      <c r="D60" s="17"/>
      <c r="E60" s="18"/>
      <c r="F60" s="17"/>
      <c r="G60" s="64" t="s">
        <v>264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263</v>
      </c>
      <c r="O60" s="17"/>
      <c r="P60" s="17"/>
      <c r="Q60" s="17"/>
      <c r="R60" s="18"/>
      <c r="S60" s="17"/>
      <c r="T60" s="64" t="s">
        <v>264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8"/>
      <c r="AD60" s="838"/>
      <c r="AE60" s="838"/>
      <c r="AF60" s="838"/>
      <c r="AG60" s="1"/>
      <c r="AH60" s="839"/>
      <c r="AI60" s="838"/>
      <c r="AJ60" s="838"/>
      <c r="AK60" s="83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4" customHeight="1" x14ac:dyDescent="0.3">
      <c r="A61" s="45" t="s">
        <v>265</v>
      </c>
      <c r="B61" s="24"/>
      <c r="C61" s="24"/>
      <c r="D61" s="24"/>
      <c r="E61" s="25"/>
      <c r="F61" s="24"/>
      <c r="G61" s="66" t="s">
        <v>266</v>
      </c>
      <c r="H61" s="24"/>
      <c r="I61" s="24"/>
      <c r="J61" s="24"/>
      <c r="K61" s="356">
        <f>K58*K60</f>
        <v>2.2113328136335215E-2</v>
      </c>
      <c r="L61" s="26" t="s">
        <v>234</v>
      </c>
      <c r="M61" s="54"/>
      <c r="N61" s="16" t="s">
        <v>265</v>
      </c>
      <c r="O61" s="17"/>
      <c r="P61" s="17"/>
      <c r="Q61" s="17"/>
      <c r="R61" s="18"/>
      <c r="S61" s="17"/>
      <c r="T61" s="64" t="s">
        <v>266</v>
      </c>
      <c r="U61" s="17"/>
      <c r="V61" s="17"/>
      <c r="W61" s="245"/>
      <c r="X61" s="356">
        <f>X58*X60</f>
        <v>2.2420436320188909E-2</v>
      </c>
      <c r="Y61" s="239" t="s">
        <v>234</v>
      </c>
      <c r="Z61" s="1"/>
      <c r="AA61" s="1"/>
      <c r="AB61" s="1"/>
      <c r="AC61" s="839"/>
      <c r="AD61" s="838"/>
      <c r="AE61" s="839"/>
      <c r="AF61" s="839"/>
      <c r="AG61" s="1"/>
      <c r="AH61" s="839"/>
      <c r="AI61" s="838"/>
      <c r="AJ61" s="839"/>
      <c r="AK61" s="839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4" customHeight="1" thickBot="1" x14ac:dyDescent="0.3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8"/>
      <c r="AD62" s="838"/>
      <c r="AE62" s="838"/>
      <c r="AF62" s="838"/>
      <c r="AG62" s="1"/>
      <c r="AH62" s="839"/>
      <c r="AI62" s="838"/>
      <c r="AJ62" s="838"/>
      <c r="AK62" s="83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4" customHeight="1" x14ac:dyDescent="0.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8"/>
      <c r="AD63" s="838"/>
      <c r="AE63" s="838"/>
      <c r="AF63" s="838"/>
      <c r="AG63" s="1"/>
      <c r="AH63" s="839"/>
      <c r="AI63" s="838"/>
      <c r="AJ63" s="838"/>
      <c r="AK63" s="838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4" customHeight="1" x14ac:dyDescent="0.3">
      <c r="Y64" s="231"/>
      <c r="Z64" s="54"/>
      <c r="AA64" s="54"/>
      <c r="AB64" s="1"/>
      <c r="AC64" s="839"/>
      <c r="AD64" s="838"/>
      <c r="AE64" s="839"/>
      <c r="AF64" s="839"/>
      <c r="AG64" s="1"/>
      <c r="AH64" s="839"/>
      <c r="AI64" s="838"/>
      <c r="AJ64" s="839"/>
      <c r="AK64" s="839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4" customHeight="1" x14ac:dyDescent="0.3">
      <c r="Y65" s="1"/>
      <c r="Z65" s="1"/>
      <c r="AA65" s="54"/>
      <c r="AB65" s="1"/>
      <c r="AC65" s="838"/>
      <c r="AD65" s="838"/>
      <c r="AE65" s="838"/>
      <c r="AF65" s="838"/>
      <c r="AG65" s="1"/>
      <c r="AH65" s="839"/>
      <c r="AI65" s="838"/>
      <c r="AJ65" s="838"/>
      <c r="AK65" s="838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4" customHeight="1" x14ac:dyDescent="0.3">
      <c r="V66" s="78"/>
      <c r="AA66" s="85"/>
      <c r="AB66" s="1"/>
      <c r="AC66" s="838"/>
      <c r="AD66" s="838"/>
      <c r="AE66" s="838"/>
      <c r="AF66" s="838"/>
      <c r="AG66" s="1"/>
      <c r="AH66" s="839"/>
      <c r="AI66" s="838"/>
      <c r="AJ66" s="838"/>
      <c r="AK66" s="83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4" customHeight="1" x14ac:dyDescent="0.3">
      <c r="AA67" s="86"/>
      <c r="AB67" s="1"/>
      <c r="AC67" s="839"/>
      <c r="AD67" s="838"/>
      <c r="AE67" s="839"/>
      <c r="AF67" s="839"/>
      <c r="AG67" s="1"/>
      <c r="AH67" s="839"/>
      <c r="AI67" s="838"/>
      <c r="AJ67" s="839"/>
      <c r="AK67" s="839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4" customHeight="1" x14ac:dyDescent="0.3">
      <c r="AA68" s="86"/>
      <c r="AB68" s="1"/>
      <c r="AC68" s="838"/>
      <c r="AD68" s="838"/>
      <c r="AE68" s="838"/>
      <c r="AF68" s="838"/>
      <c r="AG68" s="1"/>
      <c r="AH68" s="839"/>
      <c r="AI68" s="838"/>
      <c r="AJ68" s="838"/>
      <c r="AK68" s="838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4" customHeight="1" x14ac:dyDescent="0.3">
      <c r="AA69" s="86"/>
      <c r="AB69" s="1"/>
      <c r="AC69" s="838"/>
      <c r="AD69" s="838"/>
      <c r="AE69" s="838"/>
      <c r="AF69" s="838"/>
      <c r="AG69" s="218"/>
      <c r="AH69" s="839"/>
      <c r="AI69" s="838"/>
      <c r="AJ69" s="838"/>
      <c r="AK69" s="838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4" customHeight="1" x14ac:dyDescent="0.3">
      <c r="AA70" s="86"/>
      <c r="AB70" s="1"/>
      <c r="AC70" s="839"/>
      <c r="AD70" s="838"/>
      <c r="AE70" s="839"/>
      <c r="AF70" s="839"/>
      <c r="AG70" s="218"/>
      <c r="AH70" s="839"/>
      <c r="AI70" s="838"/>
      <c r="AJ70" s="839"/>
      <c r="AK70" s="839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4" customHeight="1" x14ac:dyDescent="0.3">
      <c r="AA71" s="86"/>
      <c r="AB71" s="1"/>
      <c r="AC71" s="838"/>
      <c r="AD71" s="838"/>
      <c r="AE71" s="838"/>
      <c r="AF71" s="838"/>
      <c r="AG71" s="218"/>
      <c r="AH71" s="839"/>
      <c r="AI71" s="838"/>
      <c r="AJ71" s="838"/>
      <c r="AK71" s="838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4" customHeight="1" x14ac:dyDescent="0.3">
      <c r="AA72" s="86"/>
      <c r="AB72" s="1"/>
      <c r="AC72" s="838"/>
      <c r="AD72" s="838"/>
      <c r="AE72" s="838"/>
      <c r="AF72" s="838"/>
      <c r="AG72" s="218"/>
      <c r="AH72" s="839"/>
      <c r="AI72" s="838"/>
      <c r="AJ72" s="838"/>
      <c r="AK72" s="838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4" customHeight="1" x14ac:dyDescent="0.3">
      <c r="AA73" s="77"/>
      <c r="AB73" s="1"/>
      <c r="AC73" s="839"/>
      <c r="AD73" s="838"/>
      <c r="AE73" s="839"/>
      <c r="AF73" s="839"/>
      <c r="AG73" s="218"/>
      <c r="AH73" s="839"/>
      <c r="AI73" s="838"/>
      <c r="AJ73" s="839"/>
      <c r="AK73" s="839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4" customHeight="1" x14ac:dyDescent="0.3">
      <c r="AA74" s="77"/>
      <c r="AB74" s="1"/>
      <c r="AC74" s="838"/>
      <c r="AD74" s="838"/>
      <c r="AE74" s="838"/>
      <c r="AF74" s="838"/>
      <c r="AG74" s="218"/>
      <c r="AH74" s="839"/>
      <c r="AI74" s="838"/>
      <c r="AJ74" s="838"/>
      <c r="AK74" s="838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4" customHeight="1" x14ac:dyDescent="0.3">
      <c r="AA75" s="77"/>
      <c r="AB75" s="1"/>
      <c r="AC75" s="838"/>
      <c r="AD75" s="838"/>
      <c r="AE75" s="838"/>
      <c r="AF75" s="838"/>
      <c r="AG75" s="218"/>
      <c r="AH75" s="839"/>
      <c r="AI75" s="838"/>
      <c r="AJ75" s="838"/>
      <c r="AK75" s="838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4" customHeight="1" x14ac:dyDescent="0.3">
      <c r="AA76" s="87"/>
      <c r="AB76" s="1"/>
      <c r="AC76" s="839"/>
      <c r="AD76" s="838"/>
      <c r="AE76" s="839"/>
      <c r="AF76" s="839"/>
      <c r="AG76" s="218"/>
      <c r="AH76" s="839"/>
      <c r="AI76" s="838"/>
      <c r="AJ76" s="839"/>
      <c r="AK76" s="839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4" customHeight="1" x14ac:dyDescent="0.3">
      <c r="AA77" s="49"/>
      <c r="AB77" s="1"/>
      <c r="AC77" s="838"/>
      <c r="AD77" s="838"/>
      <c r="AE77" s="838"/>
      <c r="AF77" s="838"/>
      <c r="AG77" s="218"/>
      <c r="AH77" s="839"/>
      <c r="AI77" s="838"/>
      <c r="AJ77" s="838"/>
      <c r="AK77" s="838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4" customHeight="1" x14ac:dyDescent="0.3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4" customHeight="1" x14ac:dyDescent="0.3">
      <c r="AA79" s="54"/>
      <c r="AB79" s="1"/>
      <c r="AC79" s="1"/>
      <c r="AD79" s="1"/>
      <c r="AE79" s="1"/>
      <c r="AF79" s="1"/>
      <c r="AG79" s="1"/>
      <c r="AH79" s="1604"/>
      <c r="AI79" s="1604"/>
      <c r="AJ79" s="1604"/>
      <c r="AK79" s="1604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4" customHeight="1" x14ac:dyDescent="0.3">
      <c r="I80" s="78"/>
      <c r="K80" s="78"/>
      <c r="AA80" s="85"/>
      <c r="AB80" s="1"/>
      <c r="AC80" s="1"/>
      <c r="AD80" s="1"/>
      <c r="AE80" s="1"/>
      <c r="AF80" s="1"/>
      <c r="AG80" s="1"/>
      <c r="AH80" s="840"/>
      <c r="AI80" s="840"/>
      <c r="AJ80" s="840"/>
      <c r="AK80" s="840"/>
      <c r="AL80" s="218"/>
      <c r="AT80" s="1"/>
      <c r="AU80" s="1606"/>
      <c r="AV80" s="1606"/>
      <c r="AW80" s="1606"/>
      <c r="AX80" s="1606"/>
      <c r="AY80" s="1"/>
      <c r="AZ80" s="1606"/>
      <c r="BA80" s="1606"/>
      <c r="BB80" s="1606"/>
      <c r="BC80" s="1606"/>
      <c r="BD80" s="1"/>
    </row>
    <row r="81" spans="1:56" ht="14" customHeight="1" x14ac:dyDescent="0.3">
      <c r="I81" s="122"/>
      <c r="K81" s="122"/>
      <c r="AA81" s="86"/>
      <c r="AB81" s="1"/>
      <c r="AC81" s="1"/>
      <c r="AD81" s="1"/>
      <c r="AE81" s="1"/>
      <c r="AF81" s="1"/>
      <c r="AG81" s="1"/>
      <c r="AH81" s="841"/>
      <c r="AI81" s="840"/>
      <c r="AJ81" s="841"/>
      <c r="AK81" s="841"/>
      <c r="AL81" s="218"/>
      <c r="AT81" s="1"/>
      <c r="AU81" s="112"/>
      <c r="AV81" s="112"/>
      <c r="AW81" s="112"/>
      <c r="AX81" s="842"/>
      <c r="AY81" s="1"/>
      <c r="AZ81" s="112"/>
      <c r="BA81" s="112"/>
      <c r="BB81" s="112"/>
      <c r="BC81" s="112"/>
      <c r="BD81" s="1"/>
    </row>
    <row r="82" spans="1:56" ht="14" customHeight="1" x14ac:dyDescent="0.3">
      <c r="I82" s="127"/>
      <c r="K82" s="122"/>
      <c r="AA82" s="86"/>
      <c r="AB82" s="1"/>
      <c r="AC82" s="1"/>
      <c r="AD82" s="1"/>
      <c r="AE82" s="1"/>
      <c r="AF82" s="1"/>
      <c r="AG82" s="1"/>
      <c r="AH82" s="841"/>
      <c r="AI82" s="840"/>
      <c r="AJ82" s="840"/>
      <c r="AK82" s="840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25" customHeight="1" x14ac:dyDescent="0.3">
      <c r="AA83" s="86"/>
      <c r="AB83" s="1"/>
      <c r="AC83" s="840"/>
      <c r="AD83" s="840"/>
      <c r="AE83" s="840"/>
      <c r="AF83" s="840"/>
      <c r="AG83" s="1"/>
      <c r="AH83" s="841"/>
      <c r="AI83" s="840"/>
      <c r="AJ83" s="840"/>
      <c r="AK83" s="840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3">
      <c r="AA84" s="86"/>
      <c r="AB84" s="1"/>
      <c r="AC84" s="841"/>
      <c r="AD84" s="840"/>
      <c r="AE84" s="841"/>
      <c r="AF84" s="841"/>
      <c r="AG84" s="1"/>
      <c r="AH84" s="841"/>
      <c r="AI84" s="840"/>
      <c r="AJ84" s="841"/>
      <c r="AK84" s="841"/>
      <c r="AT84" s="1"/>
      <c r="AU84" s="1606"/>
      <c r="AV84" s="1606"/>
      <c r="AW84" s="1606"/>
      <c r="AX84" s="1606"/>
      <c r="AY84" s="1"/>
      <c r="AZ84" s="1606"/>
      <c r="BA84" s="1606"/>
      <c r="BB84" s="1606"/>
      <c r="BC84" s="1606"/>
      <c r="BD84" s="1"/>
    </row>
    <row r="85" spans="1:56" ht="15.75" customHeight="1" x14ac:dyDescent="0.3">
      <c r="AA85" s="86"/>
      <c r="AB85" s="1"/>
      <c r="AC85" s="840"/>
      <c r="AD85" s="840"/>
      <c r="AE85" s="840"/>
      <c r="AF85" s="840"/>
      <c r="AG85" s="1"/>
      <c r="AH85" s="841"/>
      <c r="AI85" s="840"/>
      <c r="AJ85" s="840"/>
      <c r="AK85" s="840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4" x14ac:dyDescent="0.3">
      <c r="AA86" s="77"/>
      <c r="AB86" s="1"/>
      <c r="AC86" s="840"/>
      <c r="AD86" s="840"/>
      <c r="AE86" s="840"/>
      <c r="AF86" s="840"/>
      <c r="AG86" s="1"/>
      <c r="AH86" s="841"/>
      <c r="AI86" s="840"/>
      <c r="AJ86" s="840"/>
      <c r="AK86" s="840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4" x14ac:dyDescent="0.3">
      <c r="A87" t="s">
        <v>308</v>
      </c>
      <c r="AA87" s="77"/>
      <c r="AB87" s="1"/>
      <c r="AC87" s="841"/>
      <c r="AD87" s="840"/>
      <c r="AE87" s="841"/>
      <c r="AF87" s="841"/>
      <c r="AG87" s="1"/>
      <c r="AH87" s="841"/>
      <c r="AI87" s="840"/>
      <c r="AJ87" s="841"/>
      <c r="AK87" s="841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4" x14ac:dyDescent="0.3">
      <c r="A88" t="s">
        <v>309</v>
      </c>
      <c r="I88" s="78"/>
      <c r="AA88" s="77"/>
      <c r="AB88" s="1"/>
      <c r="AC88" s="840"/>
      <c r="AD88" s="840"/>
      <c r="AE88" s="840"/>
      <c r="AF88" s="840"/>
      <c r="AG88" s="1"/>
      <c r="AH88" s="841"/>
      <c r="AI88" s="840"/>
      <c r="AJ88" s="840"/>
      <c r="AK88" s="840"/>
      <c r="AT88" s="1"/>
      <c r="AU88" s="1"/>
      <c r="AV88" s="1"/>
      <c r="AW88" s="1"/>
      <c r="AX88" s="1"/>
      <c r="AY88" s="1"/>
      <c r="AZ88" s="1605"/>
      <c r="BA88" s="1605"/>
      <c r="BB88" s="1605"/>
      <c r="BC88" s="1605"/>
      <c r="BD88" s="1"/>
    </row>
    <row r="89" spans="1:56" ht="14" x14ac:dyDescent="0.3">
      <c r="E89" s="78" t="s">
        <v>311</v>
      </c>
      <c r="AA89" s="87"/>
      <c r="AB89" s="1"/>
      <c r="AC89" s="840"/>
      <c r="AD89" s="840"/>
      <c r="AE89" s="840"/>
      <c r="AF89" s="840"/>
      <c r="AG89" s="1"/>
      <c r="AH89" s="841"/>
      <c r="AI89" s="840"/>
      <c r="AJ89" s="840"/>
      <c r="AK89" s="840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ht="13" x14ac:dyDescent="0.3">
      <c r="E90" s="78" t="s">
        <v>312</v>
      </c>
      <c r="AA90" s="49"/>
      <c r="AB90" s="1"/>
      <c r="AC90" s="841"/>
      <c r="AD90" s="840"/>
      <c r="AE90" s="841"/>
      <c r="AF90" s="841"/>
      <c r="AG90" s="1"/>
      <c r="AH90" s="841"/>
      <c r="AI90" s="840"/>
      <c r="AJ90" s="841"/>
      <c r="AK90" s="841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5">
      <c r="E91" t="s">
        <v>313</v>
      </c>
      <c r="AA91" s="1"/>
      <c r="AB91" s="1"/>
      <c r="AC91" s="840"/>
      <c r="AD91" s="840"/>
      <c r="AE91" s="840"/>
      <c r="AF91" s="840"/>
      <c r="AG91" s="1"/>
      <c r="AH91" s="841"/>
      <c r="AI91" s="840"/>
      <c r="AJ91" s="840"/>
      <c r="AK91" s="840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ht="13" x14ac:dyDescent="0.3">
      <c r="E92" t="s">
        <v>314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05"/>
      <c r="BA92" s="1605"/>
      <c r="BB92" s="1605"/>
      <c r="BC92" s="1605"/>
      <c r="BD92" s="1"/>
    </row>
    <row r="93" spans="1:56" ht="15.75" customHeight="1" x14ac:dyDescent="0.25">
      <c r="E93" t="s">
        <v>315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5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5">
      <c r="A95" t="s">
        <v>319</v>
      </c>
      <c r="B95" t="s">
        <v>320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ht="13" x14ac:dyDescent="0.3">
      <c r="A96" t="s">
        <v>321</v>
      </c>
      <c r="B96" s="126" t="s">
        <v>322</v>
      </c>
      <c r="C96" s="126"/>
      <c r="D96" s="126"/>
      <c r="E96" s="126"/>
      <c r="AT96" s="1"/>
      <c r="AU96" s="1"/>
      <c r="AV96" s="1"/>
      <c r="AW96" s="1"/>
      <c r="AX96" s="1"/>
      <c r="AY96" s="1"/>
      <c r="AZ96" s="1605"/>
      <c r="BA96" s="1605"/>
      <c r="BB96" s="1605"/>
      <c r="BC96" s="1605"/>
      <c r="BD96" s="1"/>
    </row>
    <row r="97" spans="2:56" x14ac:dyDescent="0.25">
      <c r="C97" t="s">
        <v>323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5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5">
      <c r="B99" t="s">
        <v>324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5">
      <c r="B100" t="s">
        <v>325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5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5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5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5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5">
      <c r="AA105" s="1"/>
    </row>
    <row r="106" spans="2:56" x14ac:dyDescent="0.25">
      <c r="AA106" s="1"/>
    </row>
    <row r="107" spans="2:56" x14ac:dyDescent="0.25">
      <c r="AA107" s="1"/>
    </row>
    <row r="108" spans="2:56" x14ac:dyDescent="0.25">
      <c r="AA108" s="1"/>
    </row>
    <row r="109" spans="2:56" x14ac:dyDescent="0.25">
      <c r="AA109" s="1"/>
    </row>
    <row r="110" spans="2:56" x14ac:dyDescent="0.25">
      <c r="AA110" s="1"/>
    </row>
  </sheetData>
  <mergeCells count="41"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G6:AJ6"/>
    <mergeCell ref="H6:I6"/>
    <mergeCell ref="AD17:AD19"/>
    <mergeCell ref="AB18:AC18"/>
    <mergeCell ref="AE17:AE19"/>
    <mergeCell ref="H20:I20"/>
    <mergeCell ref="H34:I34"/>
    <mergeCell ref="AD27:AD29"/>
    <mergeCell ref="AA27:AC27"/>
    <mergeCell ref="U6:V6"/>
    <mergeCell ref="U21:V21"/>
    <mergeCell ref="U55:V55"/>
    <mergeCell ref="U56:V56"/>
    <mergeCell ref="H55:I55"/>
    <mergeCell ref="H56:I56"/>
    <mergeCell ref="H53:I53"/>
  </mergeCells>
  <printOptions horizontalCentered="1"/>
  <pageMargins left="0.7" right="0.7" top="0.5" bottom="0.25" header="0.48" footer="0.2"/>
  <pageSetup paperSize="9" scale="52" orientation="landscape" horizontalDpi="4294967293" verticalDpi="4294967293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O43" zoomScale="89" zoomScaleNormal="89" workbookViewId="0">
      <selection activeCell="AF67" sqref="AF67"/>
    </sheetView>
  </sheetViews>
  <sheetFormatPr defaultRowHeight="12.5" x14ac:dyDescent="0.25"/>
  <cols>
    <col min="1" max="1" width="14.6328125" customWidth="1"/>
    <col min="2" max="4" width="17.36328125" bestFit="1" customWidth="1"/>
    <col min="5" max="5" width="13.6328125" bestFit="1" customWidth="1"/>
    <col min="6" max="6" width="11.36328125" customWidth="1"/>
    <col min="7" max="7" width="5.36328125" customWidth="1"/>
    <col min="8" max="8" width="16.453125" customWidth="1"/>
    <col min="9" max="11" width="17.36328125" bestFit="1" customWidth="1"/>
    <col min="12" max="13" width="13.6328125" bestFit="1" customWidth="1"/>
    <col min="14" max="14" width="5.6328125" customWidth="1"/>
    <col min="15" max="15" width="15.54296875" customWidth="1"/>
    <col min="16" max="19" width="10.6328125" customWidth="1"/>
    <col min="20" max="20" width="13.6328125" bestFit="1" customWidth="1"/>
    <col min="21" max="24" width="11.6328125" customWidth="1"/>
    <col min="26" max="29" width="11.54296875" customWidth="1"/>
    <col min="31" max="34" width="11.453125" customWidth="1"/>
  </cols>
  <sheetData>
    <row r="1" spans="1:20" ht="12.75" customHeight="1" x14ac:dyDescent="0.25">
      <c r="A1" s="1620" t="s">
        <v>454</v>
      </c>
      <c r="B1" s="1620"/>
      <c r="C1" s="1620"/>
      <c r="D1" s="1620"/>
      <c r="E1" s="1620"/>
      <c r="F1" s="1620"/>
      <c r="G1" s="1620"/>
      <c r="H1" s="1620"/>
      <c r="I1" s="1620"/>
      <c r="J1" s="1620"/>
      <c r="K1" s="1620"/>
      <c r="L1" s="1620"/>
      <c r="M1" s="1620"/>
      <c r="N1" s="1620"/>
      <c r="O1" s="1620"/>
      <c r="P1" s="1620"/>
      <c r="Q1" s="1620"/>
      <c r="R1" s="1620"/>
      <c r="S1" s="1620"/>
      <c r="T1" s="1620"/>
    </row>
    <row r="2" spans="1:20" ht="12.75" customHeight="1" x14ac:dyDescent="0.25">
      <c r="A2" s="1620"/>
      <c r="B2" s="1620"/>
      <c r="C2" s="1620"/>
      <c r="D2" s="1620"/>
      <c r="E2" s="1620"/>
      <c r="F2" s="1620"/>
      <c r="G2" s="1620"/>
      <c r="H2" s="1620"/>
      <c r="I2" s="1620"/>
      <c r="J2" s="1620"/>
      <c r="K2" s="1620"/>
      <c r="L2" s="1620"/>
      <c r="M2" s="1620"/>
      <c r="N2" s="1620"/>
      <c r="O2" s="1620"/>
      <c r="P2" s="1620"/>
      <c r="Q2" s="1620"/>
      <c r="R2" s="1620"/>
      <c r="S2" s="1620"/>
      <c r="T2" s="1620"/>
    </row>
    <row r="3" spans="1:20" ht="12.75" customHeight="1" x14ac:dyDescent="0.25">
      <c r="A3" s="817"/>
      <c r="B3" s="817"/>
      <c r="D3" s="817"/>
      <c r="E3" s="817"/>
      <c r="F3" s="817"/>
    </row>
    <row r="4" spans="1:20" ht="13" x14ac:dyDescent="0.3">
      <c r="A4" s="137"/>
      <c r="B4" s="137"/>
      <c r="D4" s="137"/>
      <c r="E4" s="137"/>
      <c r="F4" s="137"/>
    </row>
    <row r="5" spans="1:20" ht="35.5" thickBot="1" x14ac:dyDescent="0.75">
      <c r="A5" s="290" t="s">
        <v>455</v>
      </c>
      <c r="H5" s="290" t="s">
        <v>457</v>
      </c>
      <c r="O5" s="290" t="s">
        <v>458</v>
      </c>
    </row>
    <row r="6" spans="1:20" ht="15.75" customHeight="1" thickBot="1" x14ac:dyDescent="0.35">
      <c r="A6" s="203" t="s">
        <v>230</v>
      </c>
      <c r="B6" s="204"/>
      <c r="C6" s="366"/>
      <c r="D6" s="832"/>
      <c r="E6" s="816" t="s">
        <v>231</v>
      </c>
      <c r="F6" s="807" t="s">
        <v>584</v>
      </c>
      <c r="H6" s="203" t="s">
        <v>230</v>
      </c>
      <c r="I6" s="204"/>
      <c r="J6" s="366"/>
      <c r="K6" s="832"/>
      <c r="L6" s="816" t="s">
        <v>231</v>
      </c>
      <c r="M6" s="807" t="s">
        <v>584</v>
      </c>
      <c r="O6" s="203" t="s">
        <v>230</v>
      </c>
      <c r="P6" s="204"/>
      <c r="Q6" s="366"/>
      <c r="R6" s="832"/>
      <c r="S6" s="816" t="s">
        <v>231</v>
      </c>
      <c r="T6" s="807" t="s">
        <v>584</v>
      </c>
    </row>
    <row r="7" spans="1:20" ht="13" x14ac:dyDescent="0.25">
      <c r="A7" s="134" t="s">
        <v>236</v>
      </c>
      <c r="B7" s="810" t="s">
        <v>237</v>
      </c>
      <c r="D7" s="811"/>
      <c r="E7" s="196"/>
      <c r="F7" s="199"/>
      <c r="H7" s="134" t="s">
        <v>236</v>
      </c>
      <c r="I7" s="201" t="s">
        <v>237</v>
      </c>
      <c r="K7" s="202"/>
      <c r="L7" s="196"/>
      <c r="M7" s="199"/>
      <c r="O7" s="134" t="s">
        <v>236</v>
      </c>
      <c r="P7" s="810" t="s">
        <v>237</v>
      </c>
      <c r="R7" s="811"/>
      <c r="S7" s="196"/>
      <c r="T7" s="199"/>
    </row>
    <row r="8" spans="1:20" ht="14" x14ac:dyDescent="0.25">
      <c r="A8" s="194" t="s">
        <v>456</v>
      </c>
      <c r="B8" s="805">
        <v>2018</v>
      </c>
      <c r="C8" s="805">
        <v>2018</v>
      </c>
      <c r="D8" s="805">
        <v>2020</v>
      </c>
      <c r="E8" s="197"/>
      <c r="F8" s="200"/>
      <c r="H8" s="194" t="s">
        <v>456</v>
      </c>
      <c r="I8" s="563">
        <v>2015</v>
      </c>
      <c r="J8" s="802">
        <v>2018</v>
      </c>
      <c r="K8" s="565">
        <v>2016</v>
      </c>
      <c r="L8" s="197"/>
      <c r="M8" s="200"/>
      <c r="O8" s="194" t="s">
        <v>456</v>
      </c>
      <c r="P8" s="802">
        <v>2018</v>
      </c>
      <c r="Q8" s="802">
        <v>2018</v>
      </c>
      <c r="R8" s="367">
        <v>2019</v>
      </c>
      <c r="S8" s="197"/>
      <c r="T8" s="200"/>
    </row>
    <row r="9" spans="1:20" x14ac:dyDescent="0.25">
      <c r="A9" s="1130">
        <v>9.9999999999999995E-7</v>
      </c>
      <c r="B9" s="68">
        <v>2</v>
      </c>
      <c r="C9" s="68">
        <v>-0.01</v>
      </c>
      <c r="D9" s="68">
        <v>-1E-3</v>
      </c>
      <c r="E9" s="69">
        <f t="shared" ref="E9:E15" si="0">0.5*(MAX(B9:D9)-MIN(B9:D9))</f>
        <v>1.0049999999999999</v>
      </c>
      <c r="F9" s="1131">
        <v>0.02</v>
      </c>
      <c r="G9" s="122"/>
      <c r="H9" s="1130">
        <v>9.9999999999999995E-7</v>
      </c>
      <c r="I9" s="68">
        <v>9.9999999999999995E-7</v>
      </c>
      <c r="J9" s="68">
        <v>9.9999999999999995E-7</v>
      </c>
      <c r="K9" s="1129">
        <v>-0.01</v>
      </c>
      <c r="L9" s="69">
        <f t="shared" ref="L9:L15" si="1">0.5*(MAX(I9:K9)-MIN(I9:K9))</f>
        <v>5.0004999999999997E-3</v>
      </c>
      <c r="M9" s="1131">
        <v>0.02</v>
      </c>
      <c r="N9" s="122"/>
      <c r="O9" s="1130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31">
        <v>0.02</v>
      </c>
    </row>
    <row r="10" spans="1:20" x14ac:dyDescent="0.25">
      <c r="A10" s="1130">
        <v>20</v>
      </c>
      <c r="B10" s="68">
        <v>2</v>
      </c>
      <c r="C10" s="68">
        <v>-0.01</v>
      </c>
      <c r="D10" s="68">
        <v>-1E-3</v>
      </c>
      <c r="E10" s="69">
        <f t="shared" si="0"/>
        <v>1.0049999999999999</v>
      </c>
      <c r="F10" s="1131">
        <v>0.02</v>
      </c>
      <c r="G10" s="122"/>
      <c r="H10" s="1130">
        <v>20</v>
      </c>
      <c r="I10" s="68">
        <v>9.9999999999999995E-7</v>
      </c>
      <c r="J10" s="68">
        <v>9.9999999999999995E-7</v>
      </c>
      <c r="K10" s="1129">
        <v>-0.01</v>
      </c>
      <c r="L10" s="69">
        <f t="shared" si="1"/>
        <v>5.0004999999999997E-3</v>
      </c>
      <c r="M10" s="1131">
        <v>0.02</v>
      </c>
      <c r="N10" s="122"/>
      <c r="O10" s="1130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31">
        <v>0.02</v>
      </c>
    </row>
    <row r="11" spans="1:20" x14ac:dyDescent="0.25">
      <c r="A11" s="1132">
        <v>50</v>
      </c>
      <c r="B11" s="68">
        <v>2</v>
      </c>
      <c r="C11" s="68">
        <v>-0.01</v>
      </c>
      <c r="D11" s="68">
        <v>-1E-3</v>
      </c>
      <c r="E11" s="69">
        <f t="shared" si="0"/>
        <v>1.0049999999999999</v>
      </c>
      <c r="F11" s="1131">
        <v>0.02</v>
      </c>
      <c r="G11" s="122"/>
      <c r="H11" s="1132">
        <v>50</v>
      </c>
      <c r="I11" s="68">
        <v>9.9999999999999995E-7</v>
      </c>
      <c r="J11" s="68">
        <v>9.9999999999999995E-7</v>
      </c>
      <c r="K11" s="1129">
        <v>-0.01</v>
      </c>
      <c r="L11" s="69">
        <f t="shared" si="1"/>
        <v>5.0004999999999997E-3</v>
      </c>
      <c r="M11" s="1131">
        <v>0.02</v>
      </c>
      <c r="N11" s="122"/>
      <c r="O11" s="1132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31">
        <v>0.02</v>
      </c>
    </row>
    <row r="12" spans="1:20" x14ac:dyDescent="0.25">
      <c r="A12" s="1132">
        <v>70</v>
      </c>
      <c r="B12" s="68">
        <v>2</v>
      </c>
      <c r="C12" s="68">
        <v>-0.01</v>
      </c>
      <c r="D12" s="68">
        <v>-1E-3</v>
      </c>
      <c r="E12" s="69">
        <f t="shared" si="0"/>
        <v>1.0049999999999999</v>
      </c>
      <c r="F12" s="1131">
        <v>0.02</v>
      </c>
      <c r="G12" s="122"/>
      <c r="H12" s="1132">
        <v>70</v>
      </c>
      <c r="I12" s="68">
        <v>9.9999999999999995E-7</v>
      </c>
      <c r="J12" s="68">
        <v>9.9999999999999995E-7</v>
      </c>
      <c r="K12" s="1129">
        <v>-0.01</v>
      </c>
      <c r="L12" s="69">
        <f t="shared" si="1"/>
        <v>5.0004999999999997E-3</v>
      </c>
      <c r="M12" s="1131">
        <v>0.02</v>
      </c>
      <c r="N12" s="122"/>
      <c r="O12" s="1132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31">
        <v>0.02</v>
      </c>
    </row>
    <row r="13" spans="1:20" x14ac:dyDescent="0.25">
      <c r="A13" s="1132">
        <v>100</v>
      </c>
      <c r="B13" s="68">
        <v>2</v>
      </c>
      <c r="C13" s="68">
        <v>-0.01</v>
      </c>
      <c r="D13" s="68">
        <v>-1E-3</v>
      </c>
      <c r="E13" s="69">
        <f t="shared" si="0"/>
        <v>1.0049999999999999</v>
      </c>
      <c r="F13" s="1131">
        <v>0.02</v>
      </c>
      <c r="G13" s="122"/>
      <c r="H13" s="1132">
        <v>100</v>
      </c>
      <c r="I13" s="68">
        <v>9.9999999999999995E-7</v>
      </c>
      <c r="J13" s="68">
        <v>9.9999999999999995E-7</v>
      </c>
      <c r="K13" s="1129">
        <v>-0.01</v>
      </c>
      <c r="L13" s="69">
        <f t="shared" si="1"/>
        <v>5.0004999999999997E-3</v>
      </c>
      <c r="M13" s="1131">
        <v>0.02</v>
      </c>
      <c r="N13" s="122"/>
      <c r="O13" s="1132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31">
        <v>0.02</v>
      </c>
    </row>
    <row r="14" spans="1:20" ht="15.75" customHeight="1" x14ac:dyDescent="0.25">
      <c r="A14" s="1132">
        <v>120</v>
      </c>
      <c r="B14" s="68">
        <v>2</v>
      </c>
      <c r="C14" s="68">
        <v>-0.01</v>
      </c>
      <c r="D14" s="68">
        <v>-1E-3</v>
      </c>
      <c r="E14" s="69">
        <f t="shared" si="0"/>
        <v>1.0049999999999999</v>
      </c>
      <c r="F14" s="1131">
        <v>0.02</v>
      </c>
      <c r="G14" s="122"/>
      <c r="H14" s="1132">
        <v>120</v>
      </c>
      <c r="I14" s="68">
        <v>9.9999999999999995E-7</v>
      </c>
      <c r="J14" s="68">
        <v>9.9999999999999995E-7</v>
      </c>
      <c r="K14" s="1129">
        <v>-0.01</v>
      </c>
      <c r="L14" s="69">
        <f t="shared" si="1"/>
        <v>5.0004999999999997E-3</v>
      </c>
      <c r="M14" s="1131">
        <v>0.02</v>
      </c>
      <c r="N14" s="122"/>
      <c r="O14" s="1132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31">
        <v>0.02</v>
      </c>
    </row>
    <row r="15" spans="1:20" ht="13" thickBot="1" x14ac:dyDescent="0.3">
      <c r="A15" s="1133">
        <v>150</v>
      </c>
      <c r="B15" s="68">
        <v>2</v>
      </c>
      <c r="C15" s="68">
        <v>-0.01</v>
      </c>
      <c r="D15" s="68">
        <v>-1E-3</v>
      </c>
      <c r="E15" s="75">
        <f t="shared" si="0"/>
        <v>1.0049999999999999</v>
      </c>
      <c r="F15" s="1131">
        <v>0.02</v>
      </c>
      <c r="G15" s="122"/>
      <c r="H15" s="1133">
        <v>150</v>
      </c>
      <c r="I15" s="68">
        <v>9.9999999999999995E-7</v>
      </c>
      <c r="J15" s="68">
        <v>9.9999999999999995E-7</v>
      </c>
      <c r="K15" s="1129">
        <v>-0.01</v>
      </c>
      <c r="L15" s="75">
        <f t="shared" si="1"/>
        <v>5.0004999999999997E-3</v>
      </c>
      <c r="M15" s="1131">
        <v>0.02</v>
      </c>
      <c r="N15" s="122"/>
      <c r="O15" s="1133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34">
        <v>0.02</v>
      </c>
    </row>
    <row r="16" spans="1:20" ht="35.5" thickBot="1" x14ac:dyDescent="0.75">
      <c r="A16" s="1135" t="s">
        <v>459</v>
      </c>
      <c r="B16" s="122"/>
      <c r="C16" s="122"/>
      <c r="D16" s="122"/>
      <c r="E16" s="122"/>
      <c r="F16" s="122"/>
      <c r="G16" s="122"/>
      <c r="H16" s="1135" t="s">
        <v>460</v>
      </c>
      <c r="I16" s="122"/>
      <c r="J16" s="122"/>
      <c r="K16" s="122"/>
      <c r="L16" s="1136"/>
      <c r="M16" s="1136"/>
      <c r="N16" s="122"/>
      <c r="O16" s="1135" t="s">
        <v>461</v>
      </c>
      <c r="P16" s="122"/>
      <c r="Q16" s="122"/>
      <c r="R16" s="122"/>
      <c r="S16" s="1136"/>
      <c r="T16" s="1136"/>
    </row>
    <row r="17" spans="1:20" ht="15.75" customHeight="1" thickBot="1" x14ac:dyDescent="0.35">
      <c r="A17" s="1137" t="s">
        <v>230</v>
      </c>
      <c r="B17" s="1138"/>
      <c r="C17" s="1136"/>
      <c r="D17" s="1139"/>
      <c r="E17" s="1140" t="s">
        <v>231</v>
      </c>
      <c r="F17" s="1141" t="s">
        <v>584</v>
      </c>
      <c r="G17" s="122"/>
      <c r="H17" s="1137" t="s">
        <v>230</v>
      </c>
      <c r="I17" s="1138"/>
      <c r="J17" s="1136"/>
      <c r="K17" s="1139"/>
      <c r="L17" s="1140" t="s">
        <v>231</v>
      </c>
      <c r="M17" s="1141" t="s">
        <v>584</v>
      </c>
      <c r="N17" s="122"/>
      <c r="O17" s="1137" t="s">
        <v>230</v>
      </c>
      <c r="P17" s="1138"/>
      <c r="Q17" s="1136"/>
      <c r="R17" s="1139"/>
      <c r="S17" s="1140" t="s">
        <v>231</v>
      </c>
      <c r="T17" s="1141" t="s">
        <v>584</v>
      </c>
    </row>
    <row r="18" spans="1:20" ht="13" x14ac:dyDescent="0.25">
      <c r="A18" s="1142" t="s">
        <v>236</v>
      </c>
      <c r="B18" s="1143" t="s">
        <v>237</v>
      </c>
      <c r="C18" s="1144"/>
      <c r="D18" s="1145"/>
      <c r="E18" s="1146"/>
      <c r="F18" s="1147"/>
      <c r="G18" s="122"/>
      <c r="H18" s="1148" t="s">
        <v>236</v>
      </c>
      <c r="I18" s="1143" t="s">
        <v>237</v>
      </c>
      <c r="J18" s="122"/>
      <c r="K18" s="1145"/>
      <c r="L18" s="1146"/>
      <c r="M18" s="1147"/>
      <c r="N18" s="122"/>
      <c r="O18" s="1148" t="s">
        <v>236</v>
      </c>
      <c r="P18" s="1143" t="s">
        <v>237</v>
      </c>
      <c r="Q18" s="122"/>
      <c r="R18" s="1145"/>
      <c r="S18" s="1146"/>
      <c r="T18" s="1147"/>
    </row>
    <row r="19" spans="1:20" ht="14" x14ac:dyDescent="0.25">
      <c r="A19" s="1149" t="s">
        <v>456</v>
      </c>
      <c r="B19" s="1150">
        <v>2018</v>
      </c>
      <c r="C19" s="1150">
        <v>2018</v>
      </c>
      <c r="D19" s="1151">
        <v>2019</v>
      </c>
      <c r="E19" s="1152"/>
      <c r="F19" s="1153"/>
      <c r="G19" s="122"/>
      <c r="H19" s="1149" t="s">
        <v>456</v>
      </c>
      <c r="I19" s="1154">
        <v>2018</v>
      </c>
      <c r="J19" s="1154">
        <v>2018</v>
      </c>
      <c r="K19" s="1155">
        <v>2019</v>
      </c>
      <c r="L19" s="1152"/>
      <c r="M19" s="1153"/>
      <c r="N19" s="122"/>
      <c r="O19" s="1149" t="s">
        <v>456</v>
      </c>
      <c r="P19" s="1154">
        <v>2018</v>
      </c>
      <c r="Q19" s="1154">
        <v>2018</v>
      </c>
      <c r="R19" s="1155">
        <v>2019</v>
      </c>
      <c r="S19" s="1152"/>
      <c r="T19" s="1153"/>
    </row>
    <row r="20" spans="1:20" x14ac:dyDescent="0.25">
      <c r="A20" s="1130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31">
        <v>0.02</v>
      </c>
      <c r="G20" s="122"/>
      <c r="H20" s="1130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31">
        <v>0.02</v>
      </c>
      <c r="N20" s="122"/>
      <c r="O20" s="1130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31">
        <v>0.02</v>
      </c>
    </row>
    <row r="21" spans="1:20" x14ac:dyDescent="0.25">
      <c r="A21" s="1130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31">
        <v>0.02</v>
      </c>
      <c r="G21" s="122"/>
      <c r="H21" s="1130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31">
        <v>0.02</v>
      </c>
      <c r="N21" s="122"/>
      <c r="O21" s="1130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31">
        <v>0.02</v>
      </c>
    </row>
    <row r="22" spans="1:20" x14ac:dyDescent="0.25">
      <c r="A22" s="1132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31">
        <v>0.02</v>
      </c>
      <c r="G22" s="122"/>
      <c r="H22" s="1132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31">
        <v>0.02</v>
      </c>
      <c r="N22" s="122"/>
      <c r="O22" s="1132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31">
        <v>0.02</v>
      </c>
    </row>
    <row r="23" spans="1:20" x14ac:dyDescent="0.25">
      <c r="A23" s="1132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31">
        <v>0.02</v>
      </c>
      <c r="G23" s="122"/>
      <c r="H23" s="1132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31">
        <v>0.02</v>
      </c>
      <c r="N23" s="122"/>
      <c r="O23" s="1132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31">
        <v>0.02</v>
      </c>
    </row>
    <row r="24" spans="1:20" x14ac:dyDescent="0.25">
      <c r="A24" s="1132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31">
        <v>0.02</v>
      </c>
      <c r="G24" s="122"/>
      <c r="H24" s="1132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31">
        <v>0.02</v>
      </c>
      <c r="N24" s="122"/>
      <c r="O24" s="1132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31">
        <v>0.02</v>
      </c>
    </row>
    <row r="25" spans="1:20" x14ac:dyDescent="0.25">
      <c r="A25" s="1132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31">
        <v>0.02</v>
      </c>
      <c r="G25" s="122"/>
      <c r="H25" s="1132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31">
        <v>0.02</v>
      </c>
      <c r="N25" s="122"/>
      <c r="O25" s="1132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31">
        <v>0.02</v>
      </c>
    </row>
    <row r="26" spans="1:20" ht="13" thickBot="1" x14ac:dyDescent="0.3">
      <c r="A26" s="1133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56">
        <v>0.02</v>
      </c>
      <c r="G26" s="122"/>
      <c r="H26" s="1133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56">
        <v>0.02</v>
      </c>
      <c r="N26" s="122"/>
      <c r="O26" s="1133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56">
        <v>0.02</v>
      </c>
    </row>
    <row r="27" spans="1:20" ht="35.5" thickBot="1" x14ac:dyDescent="0.75">
      <c r="A27" s="1135" t="s">
        <v>462</v>
      </c>
      <c r="B27" s="122"/>
      <c r="C27" s="122"/>
      <c r="D27" s="1136"/>
      <c r="E27" s="1136"/>
      <c r="F27" s="1136"/>
      <c r="G27" s="122"/>
      <c r="H27" s="1135" t="s">
        <v>462</v>
      </c>
      <c r="I27" s="122"/>
      <c r="J27" s="122"/>
      <c r="K27" s="122"/>
      <c r="L27" s="122"/>
      <c r="M27" s="122"/>
      <c r="N27" s="122"/>
      <c r="O27" s="1135" t="s">
        <v>462</v>
      </c>
      <c r="P27" s="122"/>
      <c r="Q27" s="122"/>
      <c r="R27" s="122"/>
      <c r="S27" s="122"/>
      <c r="T27" s="122"/>
    </row>
    <row r="28" spans="1:20" ht="15.75" customHeight="1" thickBot="1" x14ac:dyDescent="0.35">
      <c r="A28" s="1137" t="s">
        <v>230</v>
      </c>
      <c r="B28" s="1138"/>
      <c r="C28" s="1136"/>
      <c r="D28" s="1139"/>
      <c r="E28" s="1140" t="s">
        <v>231</v>
      </c>
      <c r="F28" s="1141" t="s">
        <v>584</v>
      </c>
      <c r="G28" s="122"/>
      <c r="H28" s="1137" t="s">
        <v>230</v>
      </c>
      <c r="I28" s="1138"/>
      <c r="J28" s="1136"/>
      <c r="K28" s="1139"/>
      <c r="L28" s="1140" t="s">
        <v>231</v>
      </c>
      <c r="M28" s="1141" t="s">
        <v>584</v>
      </c>
      <c r="N28" s="122"/>
      <c r="O28" s="1137" t="s">
        <v>230</v>
      </c>
      <c r="P28" s="1138"/>
      <c r="Q28" s="1136"/>
      <c r="R28" s="1139"/>
      <c r="S28" s="1140" t="s">
        <v>231</v>
      </c>
      <c r="T28" s="1141" t="s">
        <v>584</v>
      </c>
    </row>
    <row r="29" spans="1:20" ht="13" x14ac:dyDescent="0.25">
      <c r="A29" s="1148" t="s">
        <v>236</v>
      </c>
      <c r="B29" s="1143" t="s">
        <v>237</v>
      </c>
      <c r="C29" s="122"/>
      <c r="D29" s="1145"/>
      <c r="E29" s="1146"/>
      <c r="F29" s="1147"/>
      <c r="G29" s="122"/>
      <c r="H29" s="1148" t="s">
        <v>236</v>
      </c>
      <c r="I29" s="1143" t="s">
        <v>237</v>
      </c>
      <c r="J29" s="122"/>
      <c r="K29" s="1145"/>
      <c r="L29" s="1146"/>
      <c r="M29" s="1147"/>
      <c r="N29" s="122"/>
      <c r="O29" s="1148" t="s">
        <v>236</v>
      </c>
      <c r="P29" s="1143" t="s">
        <v>237</v>
      </c>
      <c r="Q29" s="122"/>
      <c r="R29" s="1145"/>
      <c r="S29" s="1146"/>
      <c r="T29" s="1147"/>
    </row>
    <row r="30" spans="1:20" ht="14" x14ac:dyDescent="0.25">
      <c r="A30" s="1149" t="s">
        <v>456</v>
      </c>
      <c r="B30" s="1154">
        <v>2018</v>
      </c>
      <c r="C30" s="1154">
        <v>2018</v>
      </c>
      <c r="D30" s="1155">
        <v>2019</v>
      </c>
      <c r="E30" s="1152"/>
      <c r="F30" s="1153"/>
      <c r="G30" s="122"/>
      <c r="H30" s="1149" t="s">
        <v>456</v>
      </c>
      <c r="I30" s="1154">
        <v>2018</v>
      </c>
      <c r="J30" s="1154">
        <v>2018</v>
      </c>
      <c r="K30" s="1155">
        <v>2019</v>
      </c>
      <c r="L30" s="1152"/>
      <c r="M30" s="1153"/>
      <c r="N30" s="122"/>
      <c r="O30" s="1149" t="s">
        <v>456</v>
      </c>
      <c r="P30" s="1154">
        <v>2018</v>
      </c>
      <c r="Q30" s="1154">
        <v>2018</v>
      </c>
      <c r="R30" s="1155">
        <v>2019</v>
      </c>
      <c r="S30" s="1152"/>
      <c r="T30" s="1153"/>
    </row>
    <row r="31" spans="1:20" x14ac:dyDescent="0.25">
      <c r="A31" s="1130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31">
        <v>0.02</v>
      </c>
      <c r="G31" s="122"/>
      <c r="H31" s="1130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31">
        <v>0.02</v>
      </c>
      <c r="N31" s="122"/>
      <c r="O31" s="1130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31">
        <v>0.02</v>
      </c>
    </row>
    <row r="32" spans="1:20" x14ac:dyDescent="0.25">
      <c r="A32" s="1130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31">
        <v>0.02</v>
      </c>
      <c r="G32" s="122"/>
      <c r="H32" s="1130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31">
        <v>0.02</v>
      </c>
      <c r="N32" s="122"/>
      <c r="O32" s="1130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31">
        <v>0.02</v>
      </c>
    </row>
    <row r="33" spans="1:20" x14ac:dyDescent="0.25">
      <c r="A33" s="1132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31">
        <v>0.02</v>
      </c>
      <c r="G33" s="122"/>
      <c r="H33" s="1132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31">
        <v>0.02</v>
      </c>
      <c r="N33" s="122"/>
      <c r="O33" s="1132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31">
        <v>0.02</v>
      </c>
    </row>
    <row r="34" spans="1:20" x14ac:dyDescent="0.25">
      <c r="A34" s="1132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31">
        <v>0.02</v>
      </c>
      <c r="G34" s="122"/>
      <c r="H34" s="1132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31">
        <v>0.02</v>
      </c>
      <c r="N34" s="122"/>
      <c r="O34" s="1132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31">
        <v>0.02</v>
      </c>
    </row>
    <row r="35" spans="1:20" x14ac:dyDescent="0.25">
      <c r="A35" s="1132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31">
        <v>0.02</v>
      </c>
      <c r="G35" s="122"/>
      <c r="H35" s="1132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31">
        <v>0.02</v>
      </c>
      <c r="N35" s="122"/>
      <c r="O35" s="1132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31">
        <v>0.02</v>
      </c>
    </row>
    <row r="36" spans="1:20" x14ac:dyDescent="0.25">
      <c r="A36" s="1132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31">
        <v>0.02</v>
      </c>
      <c r="G36" s="122"/>
      <c r="H36" s="1132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31">
        <v>0.02</v>
      </c>
      <c r="N36" s="122"/>
      <c r="O36" s="1132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31">
        <v>0.02</v>
      </c>
    </row>
    <row r="37" spans="1:20" ht="13" thickBot="1" x14ac:dyDescent="0.3">
      <c r="A37" s="1133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31">
        <v>0.02</v>
      </c>
      <c r="G37" s="122"/>
      <c r="H37" s="1133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31">
        <v>0.02</v>
      </c>
      <c r="N37" s="122"/>
      <c r="O37" s="1133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31">
        <v>0.02</v>
      </c>
    </row>
    <row r="39" spans="1:20" ht="15.75" customHeight="1" x14ac:dyDescent="0.25"/>
    <row r="50" spans="1:31" ht="31.5" customHeight="1" x14ac:dyDescent="0.25">
      <c r="A50" s="1621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22"/>
      <c r="C50" s="1622"/>
      <c r="D50" s="1622"/>
      <c r="E50" s="1622"/>
      <c r="F50" s="1623"/>
    </row>
    <row r="51" spans="1:31" ht="15" customHeight="1" x14ac:dyDescent="0.25">
      <c r="A51" s="1621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22"/>
      <c r="C51" s="1622"/>
      <c r="D51" s="1623"/>
      <c r="E51" s="1009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9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ht="13" x14ac:dyDescent="0.25">
      <c r="A52" s="1009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21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22"/>
      <c r="D52" s="1623"/>
      <c r="E52" s="1009"/>
      <c r="F52" s="1009"/>
    </row>
    <row r="53" spans="1:31" ht="13" x14ac:dyDescent="0.25">
      <c r="A53" s="1009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9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9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9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9"/>
      <c r="F53" s="1009"/>
    </row>
    <row r="54" spans="1:31" ht="13" x14ac:dyDescent="0.25">
      <c r="A54" s="1128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9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9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9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9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9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ht="13" x14ac:dyDescent="0.25">
      <c r="A55" s="1009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9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9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9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9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9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ht="13" x14ac:dyDescent="0.25">
      <c r="A56" s="1009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9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9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9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9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9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ht="13" x14ac:dyDescent="0.25">
      <c r="A57" s="1009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9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9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9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9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9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ht="13" x14ac:dyDescent="0.25">
      <c r="A58" s="1009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9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9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9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9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9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ht="13" x14ac:dyDescent="0.25">
      <c r="A59" s="1009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9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9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9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9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9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ht="13" x14ac:dyDescent="0.25">
      <c r="A60" s="1009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9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9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9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9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9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5">
      <c r="Y61" s="78"/>
    </row>
    <row r="62" spans="1:31" x14ac:dyDescent="0.25">
      <c r="AE62" s="78"/>
    </row>
    <row r="65" spans="1:34" ht="13" thickBot="1" x14ac:dyDescent="0.3"/>
    <row r="66" spans="1:34" ht="13" x14ac:dyDescent="0.3">
      <c r="A66" s="1619" t="s">
        <v>291</v>
      </c>
      <c r="B66" s="1619"/>
      <c r="C66" s="1619"/>
      <c r="D66" s="1619"/>
      <c r="E66" s="1"/>
      <c r="F66" s="1619" t="s">
        <v>292</v>
      </c>
      <c r="G66" s="1619"/>
      <c r="H66" s="1619"/>
      <c r="I66" s="1619"/>
      <c r="K66" s="1619" t="s">
        <v>293</v>
      </c>
      <c r="L66" s="1619"/>
      <c r="M66" s="1619"/>
      <c r="N66" s="1619"/>
      <c r="P66" s="1619" t="s">
        <v>301</v>
      </c>
      <c r="Q66" s="1619"/>
      <c r="R66" s="1619"/>
      <c r="S66" s="1619"/>
      <c r="U66" s="1619" t="s">
        <v>304</v>
      </c>
      <c r="V66" s="1619"/>
      <c r="W66" s="1619"/>
      <c r="X66" s="1619"/>
      <c r="Z66" s="1613" t="s">
        <v>316</v>
      </c>
      <c r="AA66" s="1614"/>
      <c r="AB66" s="1614"/>
      <c r="AC66" s="1615"/>
      <c r="AE66" s="1613" t="s">
        <v>326</v>
      </c>
      <c r="AF66" s="1614"/>
      <c r="AG66" s="1614"/>
      <c r="AH66" s="1615"/>
    </row>
    <row r="67" spans="1:34" x14ac:dyDescent="0.25">
      <c r="A67" s="33"/>
      <c r="B67" s="1160">
        <f>IF($A$68&lt;=$A$54,0,IF($A$68&lt;=$A$55,$A$54,IF($A$68&lt;=$A$56,$A$55,IF($A$68&lt;=$A$57,$A$56,IF($A$68&lt;=$A$58,$A$57,IF($A$68&lt;=$A$59,$A$58,IF($A$68&lt;=$A$60,$A$59,$A$60)))))))</f>
        <v>9.9999999999999995E-7</v>
      </c>
      <c r="C67" s="1160"/>
      <c r="D67" s="1158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60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58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60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58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5">
      <c r="A68" s="34">
        <f>ID!L40</f>
        <v>4.9260000000000002</v>
      </c>
      <c r="B68" s="1158"/>
      <c r="C68" s="1159">
        <f>((A68-B67)/(B69-B67)*(D69-D67)+D67)</f>
        <v>9.9999999999999995E-7</v>
      </c>
      <c r="D68" s="1159"/>
      <c r="E68" s="1"/>
      <c r="F68" s="34">
        <f>A68</f>
        <v>4.9260000000000002</v>
      </c>
      <c r="G68" s="1158"/>
      <c r="H68" s="1159">
        <f>((F68-G67)/(G69-G67)*(I69-I67)+I67)</f>
        <v>6.6666666666666662E-3</v>
      </c>
      <c r="I68" s="1159"/>
      <c r="K68" s="34">
        <f>'DB CALIPER'!A68</f>
        <v>4.9260000000000002</v>
      </c>
      <c r="L68" s="1158"/>
      <c r="M68" s="1159">
        <f>((K68-L67)/(L69-L67)*(N69-N67)+N67)</f>
        <v>0.02</v>
      </c>
      <c r="N68" s="1159"/>
      <c r="P68" s="34">
        <f>ID!I47</f>
        <v>104</v>
      </c>
      <c r="Q68" s="33"/>
      <c r="R68" s="1159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20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59">
        <f>((AE68-AF67)/(AF69-AF67)*(AH69-AH67)+AH67)</f>
        <v>9.9999999999999995E-7</v>
      </c>
      <c r="AH68" s="34"/>
    </row>
    <row r="69" spans="1:34" ht="13" thickBot="1" x14ac:dyDescent="0.3">
      <c r="A69" s="33"/>
      <c r="B69" s="1158">
        <f>IF($A$68&lt;=$A$54,0,IF($A$68&lt;=$A$55,$A$55,IF($A$68&lt;=$A$56,$A$56,IF($A$68&lt;=$A$57,$A$57,IF($A$68&lt;=$A$58,$A$58,IF($A$68&lt;=$A$59,$A$59,IF($A$68&lt;=$A$60,$A$60)))))))</f>
        <v>20</v>
      </c>
      <c r="C69" s="1158"/>
      <c r="D69" s="1158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58">
        <f>IF($A$68&lt;=$A$54,0,IF($A$68&lt;=$A$55,$A$55,IF($A$68&lt;=$A$56,$A$56,IF($A$68&lt;=$A$57,$A$57,IF($A$68&lt;=$A$58,$A$58,IF($A$68&lt;=$A$59,$A$59,IF($A$68&lt;=$A$60,$A$60)))))))</f>
        <v>20</v>
      </c>
      <c r="H69" s="1158"/>
      <c r="I69" s="1158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58">
        <f>IF($A$68&lt;=$A$54,0,IF($A$68&lt;=$A$55,$A$55,IF($A$68&lt;=$A$56,$A$56,IF($A$68&lt;=$A$57,$A$57,IF($A$68&lt;=$A$58,$A$58,IF($A$68&lt;=$A$59,$A$59,IF($A$68&lt;=$A$60,$A$60)))))))</f>
        <v>20</v>
      </c>
      <c r="M69" s="1158"/>
      <c r="N69" s="1158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ht="13" x14ac:dyDescent="0.3">
      <c r="A70" s="33"/>
      <c r="B70" s="1160">
        <f>IF($A$71&lt;=$A$54,0,IF($A$71&lt;=$A$55,$A$54,IF($A$71&lt;=$A$56,$A$55,IF($A$71&lt;=$A$57,$A$56,IF($A$71&lt;=$A$58,$A$57,IF($A$71&lt;=$A$59,$A$58,IF($A$71&lt;=$A$60,$A$59,$A$60)))))))</f>
        <v>9.9999999999999995E-7</v>
      </c>
      <c r="C70" s="1160"/>
      <c r="D70" s="1158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60">
        <f>IF($A$71&lt;=$A$54,0,IF($A$71&lt;=$A$55,$A$54,IF($A$71&lt;=$A$56,$A$55,IF($A$71&lt;=$A$57,$A$56,IF($A$71&lt;=$A$58,$A$57,IF($A$71&lt;=$A$59,$A$58,IF($A$71&lt;=$A$60,$A$59,$A$60)))))))</f>
        <v>9.9999999999999995E-7</v>
      </c>
      <c r="H70" s="1160"/>
      <c r="I70" s="1158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60">
        <f>IF($A$71&lt;=$A$54,0,IF($A$71&lt;=$A$55,$A$54,IF($A$71&lt;=$A$56,$A$55,IF($A$71&lt;=$A$57,$A$56,IF($A$71&lt;=$A$58,$A$57,IF($A$71&lt;=$A$59,$A$58,IF($A$71&lt;=$A$60,$A$59,$A$60)))))))</f>
        <v>9.9999999999999995E-7</v>
      </c>
      <c r="M70" s="1160"/>
      <c r="N70" s="1158">
        <f>IF($A$71&lt;=$A$54,0,IF($A$71&lt;=$A$55,$F$54,IF($A$71&lt;=$A$56,$F$55,IF($A$71&lt;=$A$57,$F$56,IF($A$71&lt;=$A$58,$F$57,IF($A$71&lt;=$A$59,$F$58,IF($A$71&lt;=$A$60,$F$59,$F$60)))))))</f>
        <v>0.02</v>
      </c>
      <c r="P70" s="1616" t="s">
        <v>302</v>
      </c>
      <c r="Q70" s="1617"/>
      <c r="R70" s="1617"/>
      <c r="S70" s="1618"/>
      <c r="U70" s="1616" t="s">
        <v>305</v>
      </c>
      <c r="V70" s="1617"/>
      <c r="W70" s="1617"/>
      <c r="X70" s="1618"/>
      <c r="Z70" s="1613" t="s">
        <v>317</v>
      </c>
      <c r="AA70" s="1614"/>
      <c r="AB70" s="1614"/>
      <c r="AC70" s="1615"/>
      <c r="AE70" s="1613" t="s">
        <v>327</v>
      </c>
      <c r="AF70" s="1614"/>
      <c r="AG70" s="1614"/>
      <c r="AH70" s="1615"/>
    </row>
    <row r="71" spans="1:34" x14ac:dyDescent="0.25">
      <c r="A71" s="34">
        <f>ID!L41</f>
        <v>9.9160000000000004</v>
      </c>
      <c r="B71" s="1158"/>
      <c r="C71" s="1159">
        <f>((A71-B70)/(B72-B70)*(D72-D70)+D70)</f>
        <v>9.9999999999999995E-7</v>
      </c>
      <c r="D71" s="1159"/>
      <c r="E71" s="1"/>
      <c r="F71" s="34">
        <f>A71</f>
        <v>9.9160000000000004</v>
      </c>
      <c r="G71" s="1158"/>
      <c r="H71" s="1159">
        <f>((F71-G70)/(G72-G70)*(I72-I70)+I70)</f>
        <v>6.6666666666666662E-3</v>
      </c>
      <c r="I71" s="1159"/>
      <c r="K71" s="34">
        <f>'DB CALIPER'!A71</f>
        <v>9.9160000000000004</v>
      </c>
      <c r="L71" s="1158"/>
      <c r="M71" s="1159">
        <f>((K71-L70)/(L72-L70)*(N72-N70)+N70)</f>
        <v>0.02</v>
      </c>
      <c r="N71" s="1159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59">
        <f>((P72-Q71)/(Q73-Q71)*(S73-S71)+S71)</f>
        <v>6.6666666666666662E-3</v>
      </c>
      <c r="S71" s="361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1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1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59">
        <f>((AE72-AF71)/(AF73-AF71)*(AH73-AH71)+AH71)</f>
        <v>6.6666666666666662E-3</v>
      </c>
      <c r="AH71" s="361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5">
      <c r="A72" s="33"/>
      <c r="B72" s="1158">
        <f>IF($A$71&lt;=$A$54,0,IF($A$71&lt;=$A$55,$A$55,IF($A$71&lt;=$A$56,$A$56,IF($A$71&lt;=$A$57,$A$57,IF($A$71&lt;=$A$58,$A$58,IF($A$71&lt;=$A$59,$A$59,IF($A$71&lt;=$A$60,$A$60)))))))</f>
        <v>20</v>
      </c>
      <c r="C72" s="1158"/>
      <c r="D72" s="1158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58">
        <f>IF($A$71&lt;=$A$54,0,IF($A$71&lt;=$A$55,$A$55,IF($A$71&lt;=$A$56,$A$56,IF($A$71&lt;=$A$57,$A$57,IF($A$71&lt;=$A$58,$A$58,IF($A$71&lt;=$A$59,$A$59,IF($A$71&lt;=$A$60,$A$60)))))))</f>
        <v>20</v>
      </c>
      <c r="H72" s="1158"/>
      <c r="I72" s="1158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58">
        <f>IF($A$71&lt;=$A$54,0,IF($A$71&lt;=$A$55,$A$55,IF($A$71&lt;=$A$56,$A$56,IF($A$71&lt;=$A$57,$A$57,IF($A$71&lt;=$A$58,$A$58,IF($A$71&lt;=$A$59,$A$59,IF($A$71&lt;=$A$60,$A$60)))))))</f>
        <v>20</v>
      </c>
      <c r="M72" s="1158"/>
      <c r="N72" s="1158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27">
        <f>IF(R71&gt;=0.000001,R71,0.000001)</f>
        <v>6.6666666666666662E-3</v>
      </c>
      <c r="S72" s="34"/>
      <c r="U72" s="34">
        <f>ID!V51</f>
        <v>100.11733333333332</v>
      </c>
      <c r="V72" s="33"/>
      <c r="W72" s="1127">
        <f>IF(W71&gt;=0.000001,W71,0.000001)</f>
        <v>6.6666666666666662E-3</v>
      </c>
      <c r="X72" s="361"/>
      <c r="Z72" s="34">
        <f>Z68</f>
        <v>20</v>
      </c>
      <c r="AA72" s="33"/>
      <c r="AB72" s="1127">
        <f>IF(AB71&gt;=0.000001,AB71,0.000001)</f>
        <v>6.6666666666666662E-3</v>
      </c>
      <c r="AC72" s="361"/>
      <c r="AE72" s="34">
        <f>AE68</f>
        <v>20</v>
      </c>
      <c r="AF72" s="33"/>
      <c r="AG72" s="1127">
        <f>IF(AG71&gt;=0.000001,AG71,0.000001)</f>
        <v>6.6666666666666662E-3</v>
      </c>
      <c r="AH72" s="34"/>
    </row>
    <row r="73" spans="1:34" ht="13" thickBot="1" x14ac:dyDescent="0.3">
      <c r="A73" s="33"/>
      <c r="B73" s="1160">
        <f>IF($A$74&lt;=$A$54,0,IF($A$74&lt;=$A$55,$A$54,IF($A$74&lt;=$A$56,$A$55,IF($A$74&lt;=$A$57,$A$56,IF($A$74&lt;=$A$58,$A$57,IF($A$74&lt;=$A$59,$A$58,IF($A$74&lt;=$A$60,$A$59,$A$60)))))))</f>
        <v>20</v>
      </c>
      <c r="C73" s="1160"/>
      <c r="D73" s="1158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60">
        <f>IF($A$74&lt;=$A$54,0,IF($A$74&lt;=$A$55,$A$54,IF($A$74&lt;=$A$56,$A$55,IF($A$74&lt;=$A$57,$A$56,IF($A$74&lt;=$A$58,$A$57,IF($A$74&lt;=$A$59,$A$58,IF($A$74&lt;=$A$60,$A$59,$A$60)))))))</f>
        <v>20</v>
      </c>
      <c r="H73" s="1160"/>
      <c r="I73" s="1158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60">
        <f>IF($A$74&lt;=$A$54,0,IF($A$74&lt;=$A$55,$A$54,IF($A$74&lt;=$A$56,$A$55,IF($A$74&lt;=$A$57,$A$56,IF($A$74&lt;=$A$58,$A$57,IF($A$74&lt;=$A$59,$A$58,IF($A$74&lt;=$A$60,$A$59,$A$60)))))))</f>
        <v>20</v>
      </c>
      <c r="M73" s="1160"/>
      <c r="N73" s="1158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1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1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1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1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ht="13" x14ac:dyDescent="0.3">
      <c r="A74" s="34">
        <f>ID!L42</f>
        <v>20.286000000000001</v>
      </c>
      <c r="B74" s="1158"/>
      <c r="C74" s="1159">
        <f>((A74-B73)/(B75-B73)*(D75-D73)+D73)</f>
        <v>9.9999999999999995E-7</v>
      </c>
      <c r="D74" s="1159"/>
      <c r="E74" s="1"/>
      <c r="F74" s="34">
        <f>A74</f>
        <v>20.286000000000001</v>
      </c>
      <c r="G74" s="1158"/>
      <c r="H74" s="1159">
        <f>((F74-G73)/(G75-G73)*(I75-I73)+I73)</f>
        <v>6.6666666666666662E-3</v>
      </c>
      <c r="I74" s="1159"/>
      <c r="K74" s="34">
        <f>'DB CALIPER'!A74</f>
        <v>20.286000000000001</v>
      </c>
      <c r="L74" s="1158"/>
      <c r="M74" s="1159">
        <f>((K74-L73)/(L75-L73)*(N75-N73)+N73)</f>
        <v>0.02</v>
      </c>
      <c r="N74" s="1159"/>
      <c r="P74" s="1619" t="s">
        <v>303</v>
      </c>
      <c r="Q74" s="1619"/>
      <c r="R74" s="1619"/>
      <c r="S74" s="1619"/>
      <c r="U74" s="1619" t="s">
        <v>306</v>
      </c>
      <c r="V74" s="1619"/>
      <c r="W74" s="1619"/>
      <c r="X74" s="1619"/>
      <c r="Z74" s="1613" t="s">
        <v>318</v>
      </c>
      <c r="AA74" s="1614"/>
      <c r="AB74" s="1614"/>
      <c r="AC74" s="1615"/>
      <c r="AE74" s="1613" t="s">
        <v>328</v>
      </c>
      <c r="AF74" s="1614"/>
      <c r="AG74" s="1614"/>
      <c r="AH74" s="1615"/>
    </row>
    <row r="75" spans="1:34" x14ac:dyDescent="0.25">
      <c r="A75" s="33"/>
      <c r="B75" s="1158">
        <f>IF($A$74&lt;=$A$54,0,IF($A$74&lt;=$A$55,$A$55,IF($A$74&lt;=$A$56,$A$56,IF($A$74&lt;=$A$57,$A$57,IF($A$74&lt;=$A$58,$A$58,IF($A$74&lt;=$A$59,$A$59,IF($A$74&lt;=$A$60,$A$60)))))))</f>
        <v>50</v>
      </c>
      <c r="C75" s="1158"/>
      <c r="D75" s="1158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58">
        <f>IF($A$74&lt;=$A$54,0,IF($A$74&lt;=$A$55,$A$55,IF($A$74&lt;=$A$56,$A$56,IF($A$74&lt;=$A$57,$A$57,IF($A$74&lt;=$A$58,$A$58,IF($A$74&lt;=$A$59,$A$59,IF($A$74&lt;=$A$60,$A$60)))))))</f>
        <v>50</v>
      </c>
      <c r="H75" s="33"/>
      <c r="I75" s="1158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58">
        <f>IF($A$74&lt;=$A$54,0,IF($A$74&lt;=$A$55,$A$55,IF($A$74&lt;=$A$56,$A$56,IF($A$74&lt;=$A$57,$A$57,IF($A$74&lt;=$A$58,$A$58,IF($A$74&lt;=$A$59,$A$59,IF($A$74&lt;=$A$60,$A$60)))))))</f>
        <v>50</v>
      </c>
      <c r="M75" s="33"/>
      <c r="N75" s="1158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5">
      <c r="P76" s="34">
        <f>ID!V47</f>
        <v>104</v>
      </c>
      <c r="Q76" s="33"/>
      <c r="R76" s="1159">
        <f>((P76-Q75)/(Q77-Q75)*(S77-S75)+S75)</f>
        <v>0.02</v>
      </c>
      <c r="S76" s="34"/>
      <c r="U76" s="34">
        <f>ID!V51</f>
        <v>100.11733333333332</v>
      </c>
      <c r="V76" s="33"/>
      <c r="W76" s="1159">
        <f>((U76-V75)/(V77-V75)*(X77-X75)+X75)</f>
        <v>0.02</v>
      </c>
      <c r="X76" s="34"/>
      <c r="Z76" s="34">
        <f>Z68</f>
        <v>20</v>
      </c>
      <c r="AA76" s="33"/>
      <c r="AB76" s="1159">
        <f>((Z76-AA75)/(AA77-AA75)*(AC77-AC75)+AC75)</f>
        <v>0.02</v>
      </c>
      <c r="AC76" s="34"/>
      <c r="AE76" s="34">
        <f>AE68</f>
        <v>20</v>
      </c>
      <c r="AF76" s="33"/>
      <c r="AG76" s="1159">
        <f>((AE76-AF75)/(AF77-AF75)*(AH77-AH75)+AH75)</f>
        <v>0.02</v>
      </c>
      <c r="AH76" s="34"/>
    </row>
    <row r="77" spans="1:34" x14ac:dyDescent="0.25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5">
      <c r="A78" s="836" t="s">
        <v>162</v>
      </c>
      <c r="B78" s="837"/>
      <c r="C78" s="837"/>
      <c r="D78" s="837"/>
      <c r="E78" s="225"/>
    </row>
    <row r="79" spans="1:34" x14ac:dyDescent="0.25">
      <c r="A79" s="836" t="s">
        <v>209</v>
      </c>
      <c r="B79" s="837"/>
      <c r="C79" s="837"/>
      <c r="D79" s="837"/>
      <c r="E79" s="225"/>
    </row>
    <row r="80" spans="1:34" x14ac:dyDescent="0.25">
      <c r="A80" s="836" t="s">
        <v>210</v>
      </c>
      <c r="B80" s="837"/>
      <c r="C80" s="837"/>
      <c r="D80" s="837"/>
      <c r="E80" s="225"/>
    </row>
    <row r="81" spans="1:5" x14ac:dyDescent="0.25">
      <c r="A81" s="836" t="s">
        <v>211</v>
      </c>
      <c r="B81" s="837"/>
      <c r="C81" s="837"/>
      <c r="D81" s="837"/>
      <c r="E81" s="225"/>
    </row>
    <row r="82" spans="1:5" x14ac:dyDescent="0.25">
      <c r="A82" s="836" t="s">
        <v>212</v>
      </c>
      <c r="B82" s="837"/>
      <c r="C82" s="837"/>
      <c r="D82" s="837"/>
      <c r="E82" s="225"/>
    </row>
    <row r="83" spans="1:5" ht="15.75" customHeight="1" x14ac:dyDescent="0.25">
      <c r="A83" s="836" t="s">
        <v>213</v>
      </c>
      <c r="B83" s="837"/>
      <c r="C83" s="837"/>
      <c r="D83" s="837"/>
      <c r="E83" s="225"/>
    </row>
    <row r="84" spans="1:5" x14ac:dyDescent="0.25">
      <c r="A84" s="836" t="s">
        <v>214</v>
      </c>
      <c r="B84" s="837"/>
      <c r="C84" s="837"/>
      <c r="D84" s="837"/>
      <c r="E84" s="225"/>
    </row>
    <row r="85" spans="1:5" x14ac:dyDescent="0.25">
      <c r="A85" s="836" t="s">
        <v>214</v>
      </c>
      <c r="B85" s="837"/>
      <c r="C85" s="837"/>
      <c r="D85" s="837"/>
      <c r="E85" s="225"/>
    </row>
    <row r="86" spans="1:5" x14ac:dyDescent="0.25">
      <c r="A86" s="836" t="s">
        <v>214</v>
      </c>
      <c r="B86" s="837"/>
      <c r="C86" s="837"/>
      <c r="D86" s="837"/>
      <c r="E86" s="225"/>
    </row>
    <row r="94" spans="1:5" ht="15.75" customHeight="1" x14ac:dyDescent="0.25"/>
  </sheetData>
  <mergeCells count="19"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  <mergeCell ref="P70:S70"/>
    <mergeCell ref="P74:S74"/>
    <mergeCell ref="U66:X66"/>
    <mergeCell ref="U70:X70"/>
    <mergeCell ref="U74:X74"/>
    <mergeCell ref="Z70:AC70"/>
    <mergeCell ref="Z74:AC74"/>
    <mergeCell ref="AE66:AH66"/>
    <mergeCell ref="AE70:AH70"/>
    <mergeCell ref="AE74:AH74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F37" zoomScale="87" zoomScaleNormal="100" zoomScaleSheetLayoutView="87" workbookViewId="0">
      <selection activeCell="Y16" sqref="Y16"/>
    </sheetView>
  </sheetViews>
  <sheetFormatPr defaultColWidth="9.36328125" defaultRowHeight="14.5" x14ac:dyDescent="0.25"/>
  <cols>
    <col min="1" max="1" width="0.54296875" style="104" customWidth="1"/>
    <col min="2" max="2" width="3.36328125" style="149" customWidth="1"/>
    <col min="3" max="3" width="3.54296875" style="149" customWidth="1"/>
    <col min="4" max="4" width="17.54296875" style="149" customWidth="1"/>
    <col min="5" max="5" width="13.453125" style="149" customWidth="1"/>
    <col min="6" max="6" width="15" style="149" customWidth="1"/>
    <col min="7" max="7" width="15.453125" style="149" customWidth="1"/>
    <col min="8" max="10" width="10.54296875" style="149" customWidth="1"/>
    <col min="11" max="11" width="11.453125" style="149" customWidth="1"/>
    <col min="12" max="12" width="10.453125" style="149" customWidth="1"/>
    <col min="13" max="13" width="11.36328125" style="149" customWidth="1"/>
    <col min="14" max="14" width="9.36328125" style="149" customWidth="1"/>
    <col min="15" max="15" width="6" style="149" customWidth="1"/>
    <col min="16" max="16" width="8.54296875" style="149" customWidth="1"/>
    <col min="17" max="17" width="0.36328125" style="104" customWidth="1"/>
    <col min="18" max="16384" width="9.36328125" style="104"/>
  </cols>
  <sheetData>
    <row r="1" spans="2:16" ht="18" x14ac:dyDescent="0.4">
      <c r="B1" s="1171" t="s">
        <v>0</v>
      </c>
      <c r="C1" s="1171"/>
      <c r="D1" s="1171"/>
      <c r="E1" s="1171"/>
      <c r="F1" s="1171"/>
      <c r="G1" s="1171"/>
      <c r="H1" s="1171"/>
      <c r="I1" s="1171"/>
      <c r="J1" s="1171"/>
      <c r="K1" s="1171"/>
      <c r="L1" s="1171"/>
      <c r="M1" s="1171"/>
      <c r="N1" s="1171"/>
      <c r="O1" s="1171"/>
      <c r="P1" s="279"/>
    </row>
    <row r="2" spans="2:16" ht="15.5" x14ac:dyDescent="0.35">
      <c r="B2" s="1172" t="s">
        <v>1</v>
      </c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  <c r="P2" s="280"/>
    </row>
    <row r="4" spans="2:16" x14ac:dyDescent="0.3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3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3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3">
      <c r="B7" s="138" t="s">
        <v>489</v>
      </c>
      <c r="C7" s="138"/>
      <c r="D7" s="138"/>
      <c r="E7" s="139" t="s">
        <v>3</v>
      </c>
      <c r="F7" s="140" t="s">
        <v>4</v>
      </c>
      <c r="G7" s="138"/>
    </row>
    <row r="8" spans="2:16" x14ac:dyDescent="0.3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3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3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3">
      <c r="B12" s="141" t="s">
        <v>10</v>
      </c>
      <c r="C12" s="141" t="s">
        <v>11</v>
      </c>
      <c r="D12" s="141"/>
      <c r="E12" s="138"/>
      <c r="F12" s="354" t="s">
        <v>12</v>
      </c>
      <c r="G12" s="354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3">
      <c r="B13" s="138"/>
      <c r="C13" s="138" t="s">
        <v>14</v>
      </c>
      <c r="D13" s="138"/>
      <c r="E13" s="139" t="s">
        <v>3</v>
      </c>
      <c r="F13" s="353"/>
      <c r="G13" s="352"/>
      <c r="H13" s="138" t="s">
        <v>15</v>
      </c>
      <c r="L13" s="138"/>
      <c r="M13" s="138"/>
      <c r="N13" s="138"/>
      <c r="O13" s="138"/>
      <c r="P13" s="138"/>
    </row>
    <row r="14" spans="2:16" x14ac:dyDescent="0.3">
      <c r="B14" s="138"/>
      <c r="C14" s="138" t="s">
        <v>16</v>
      </c>
      <c r="D14" s="138"/>
      <c r="E14" s="139" t="s">
        <v>3</v>
      </c>
      <c r="F14" s="353"/>
      <c r="G14" s="352"/>
      <c r="H14" s="138" t="s">
        <v>17</v>
      </c>
      <c r="L14" s="138"/>
      <c r="M14" s="138"/>
      <c r="N14" s="138"/>
      <c r="O14" s="138"/>
      <c r="P14" s="138"/>
    </row>
    <row r="15" spans="2:16" x14ac:dyDescent="0.3">
      <c r="B15" s="138"/>
      <c r="C15" s="143" t="s">
        <v>18</v>
      </c>
      <c r="D15" s="143"/>
      <c r="E15" s="144" t="s">
        <v>3</v>
      </c>
      <c r="F15" s="353"/>
      <c r="G15" s="392"/>
      <c r="H15" s="145" t="s">
        <v>19</v>
      </c>
      <c r="L15" s="138"/>
      <c r="M15" s="145"/>
      <c r="N15" s="138"/>
      <c r="O15" s="138"/>
      <c r="P15" s="138"/>
    </row>
    <row r="16" spans="2:16" x14ac:dyDescent="0.3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3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8" t="s">
        <v>22</v>
      </c>
    </row>
    <row r="18" spans="2:18" ht="15" customHeight="1" x14ac:dyDescent="0.3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179" t="s">
        <v>25</v>
      </c>
      <c r="J18" s="1179"/>
      <c r="K18" s="1179"/>
      <c r="L18" s="1179"/>
      <c r="M18" s="282"/>
      <c r="P18" s="1187">
        <v>0.1</v>
      </c>
    </row>
    <row r="19" spans="2:18" x14ac:dyDescent="0.3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179"/>
      <c r="J19" s="1179"/>
      <c r="K19" s="1179"/>
      <c r="L19" s="1179"/>
      <c r="M19" s="282"/>
      <c r="P19" s="1188"/>
    </row>
    <row r="20" spans="2:18" x14ac:dyDescent="0.25">
      <c r="B20" s="150"/>
      <c r="C20" s="150"/>
      <c r="P20" s="104"/>
    </row>
    <row r="21" spans="2:18" x14ac:dyDescent="0.3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5">
      <c r="C22" s="1180" t="s">
        <v>29</v>
      </c>
      <c r="D22" s="1198" t="s">
        <v>30</v>
      </c>
      <c r="E22" s="1199"/>
      <c r="F22" s="1199"/>
      <c r="G22" s="1199"/>
      <c r="H22" s="1199"/>
      <c r="I22" s="1199"/>
      <c r="J22" s="1199"/>
      <c r="K22" s="1199"/>
      <c r="L22" s="1182" t="s">
        <v>31</v>
      </c>
      <c r="M22" s="1218"/>
      <c r="N22" s="1182" t="s">
        <v>32</v>
      </c>
      <c r="O22" s="1183"/>
      <c r="P22" s="1205" t="s">
        <v>22</v>
      </c>
    </row>
    <row r="23" spans="2:18" x14ac:dyDescent="0.25">
      <c r="C23" s="1181"/>
      <c r="D23" s="1200"/>
      <c r="E23" s="1201"/>
      <c r="F23" s="1201"/>
      <c r="G23" s="1201"/>
      <c r="H23" s="1201"/>
      <c r="I23" s="1201"/>
      <c r="J23" s="1201"/>
      <c r="K23" s="1201"/>
      <c r="L23" s="1219"/>
      <c r="M23" s="1220"/>
      <c r="N23" s="1184"/>
      <c r="O23" s="1185"/>
      <c r="P23" s="1205"/>
    </row>
    <row r="24" spans="2:18" ht="16.5" customHeight="1" x14ac:dyDescent="0.3">
      <c r="C24" s="394">
        <v>1</v>
      </c>
      <c r="D24" s="560" t="s">
        <v>33</v>
      </c>
      <c r="E24" s="561"/>
      <c r="F24" s="561"/>
      <c r="G24" s="561"/>
      <c r="H24" s="561"/>
      <c r="I24" s="561"/>
      <c r="J24" s="561"/>
      <c r="K24" s="561"/>
      <c r="L24" s="395"/>
      <c r="M24" s="396" t="s">
        <v>34</v>
      </c>
      <c r="N24" s="397" t="s">
        <v>35</v>
      </c>
      <c r="O24" s="426" t="s">
        <v>36</v>
      </c>
      <c r="P24" s="550">
        <v>0.1</v>
      </c>
      <c r="R24" s="1178"/>
    </row>
    <row r="25" spans="2:18" ht="16.5" customHeight="1" x14ac:dyDescent="0.3">
      <c r="C25" s="394">
        <v>2</v>
      </c>
      <c r="D25" s="560" t="s">
        <v>37</v>
      </c>
      <c r="E25" s="561"/>
      <c r="F25" s="561"/>
      <c r="G25" s="561"/>
      <c r="H25" s="561"/>
      <c r="I25" s="561"/>
      <c r="J25" s="561"/>
      <c r="K25" s="561"/>
      <c r="L25" s="395"/>
      <c r="M25" s="396" t="s">
        <v>38</v>
      </c>
      <c r="N25" s="397" t="s">
        <v>39</v>
      </c>
      <c r="O25" s="426" t="s">
        <v>38</v>
      </c>
      <c r="P25" s="1206">
        <v>0.1</v>
      </c>
      <c r="R25" s="1178"/>
    </row>
    <row r="26" spans="2:18" ht="16.5" customHeight="1" x14ac:dyDescent="0.3">
      <c r="C26" s="394">
        <v>3</v>
      </c>
      <c r="D26" s="560" t="s">
        <v>40</v>
      </c>
      <c r="E26" s="561"/>
      <c r="F26" s="561"/>
      <c r="G26" s="561"/>
      <c r="H26" s="561"/>
      <c r="I26" s="561"/>
      <c r="J26" s="561"/>
      <c r="K26" s="561"/>
      <c r="L26" s="395"/>
      <c r="M26" s="396" t="s">
        <v>38</v>
      </c>
      <c r="N26" s="397" t="s">
        <v>41</v>
      </c>
      <c r="O26" s="426" t="s">
        <v>38</v>
      </c>
      <c r="P26" s="1206"/>
    </row>
    <row r="27" spans="2:18" ht="16.5" customHeight="1" x14ac:dyDescent="0.3">
      <c r="C27" s="394">
        <v>4</v>
      </c>
      <c r="D27" s="560" t="s">
        <v>42</v>
      </c>
      <c r="E27" s="561"/>
      <c r="F27" s="561"/>
      <c r="G27" s="561"/>
      <c r="H27" s="561"/>
      <c r="I27" s="561"/>
      <c r="J27" s="561"/>
      <c r="K27" s="561"/>
      <c r="L27" s="395"/>
      <c r="M27" s="396" t="s">
        <v>43</v>
      </c>
      <c r="N27" s="397" t="s">
        <v>44</v>
      </c>
      <c r="O27" s="426" t="s">
        <v>43</v>
      </c>
      <c r="P27" s="1207">
        <v>0.1</v>
      </c>
    </row>
    <row r="28" spans="2:18" ht="16.5" customHeight="1" x14ac:dyDescent="0.3">
      <c r="C28" s="394">
        <v>5</v>
      </c>
      <c r="D28" s="560" t="s">
        <v>45</v>
      </c>
      <c r="E28" s="561"/>
      <c r="F28" s="561"/>
      <c r="G28" s="561"/>
      <c r="H28" s="561"/>
      <c r="I28" s="561"/>
      <c r="J28" s="561"/>
      <c r="K28" s="561"/>
      <c r="L28" s="395"/>
      <c r="M28" s="396" t="s">
        <v>43</v>
      </c>
      <c r="N28" s="397" t="s">
        <v>46</v>
      </c>
      <c r="O28" s="426" t="s">
        <v>43</v>
      </c>
      <c r="P28" s="1208"/>
    </row>
    <row r="29" spans="2:18" ht="16.5" customHeight="1" x14ac:dyDescent="0.3">
      <c r="C29" s="394">
        <v>6</v>
      </c>
      <c r="D29" s="560" t="s">
        <v>47</v>
      </c>
      <c r="E29" s="561"/>
      <c r="F29" s="561"/>
      <c r="G29" s="561"/>
      <c r="H29" s="561"/>
      <c r="I29" s="561"/>
      <c r="J29" s="561"/>
      <c r="K29" s="561"/>
      <c r="L29" s="395"/>
      <c r="M29" s="396" t="s">
        <v>43</v>
      </c>
      <c r="N29" s="397" t="s">
        <v>48</v>
      </c>
      <c r="O29" s="426" t="s">
        <v>43</v>
      </c>
      <c r="P29" s="551">
        <v>0.1</v>
      </c>
    </row>
    <row r="30" spans="2:18" x14ac:dyDescent="0.3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8" t="s">
        <v>49</v>
      </c>
      <c r="N30" s="399" t="s">
        <v>50</v>
      </c>
      <c r="P30" s="104"/>
    </row>
    <row r="31" spans="2:18" x14ac:dyDescent="0.3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400" t="s">
        <v>53</v>
      </c>
      <c r="N31" s="399" t="s">
        <v>50</v>
      </c>
      <c r="P31" s="138"/>
    </row>
    <row r="32" spans="2:18" x14ac:dyDescent="0.25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5"/>
    <row r="47" spans="3:16" ht="15" customHeight="1" x14ac:dyDescent="0.25">
      <c r="C47" s="1165" t="s">
        <v>29</v>
      </c>
      <c r="D47" s="1165" t="s">
        <v>30</v>
      </c>
      <c r="E47" s="1163" t="s">
        <v>56</v>
      </c>
      <c r="F47" s="1192" t="s">
        <v>57</v>
      </c>
      <c r="G47" s="1193"/>
      <c r="H47" s="1166" t="s">
        <v>58</v>
      </c>
      <c r="I47" s="1166"/>
      <c r="J47" s="1166"/>
      <c r="K47" s="1166"/>
      <c r="L47" s="104"/>
      <c r="P47" s="1209"/>
    </row>
    <row r="48" spans="3:16" x14ac:dyDescent="0.25">
      <c r="C48" s="1165"/>
      <c r="D48" s="1166"/>
      <c r="E48" s="1164"/>
      <c r="F48" s="1194"/>
      <c r="G48" s="1195"/>
      <c r="H48" s="1166"/>
      <c r="I48" s="1166"/>
      <c r="J48" s="1166"/>
      <c r="K48" s="1166"/>
      <c r="L48" s="104"/>
      <c r="P48" s="1209"/>
    </row>
    <row r="49" spans="2:21" ht="15" customHeight="1" x14ac:dyDescent="0.25">
      <c r="C49" s="1168">
        <v>1</v>
      </c>
      <c r="D49" s="1167" t="s">
        <v>59</v>
      </c>
      <c r="E49" s="1167" t="s">
        <v>60</v>
      </c>
      <c r="F49" s="1202" t="s">
        <v>61</v>
      </c>
      <c r="G49" s="1196" t="s">
        <v>62</v>
      </c>
      <c r="H49" s="1167" t="s">
        <v>63</v>
      </c>
      <c r="I49" s="1167"/>
      <c r="J49" s="1167"/>
      <c r="K49" s="1167"/>
      <c r="L49" s="104"/>
      <c r="P49" s="1186"/>
    </row>
    <row r="50" spans="2:21" x14ac:dyDescent="0.25">
      <c r="C50" s="1168"/>
      <c r="D50" s="1167"/>
      <c r="E50" s="1167"/>
      <c r="F50" s="1202"/>
      <c r="G50" s="1197"/>
      <c r="H50" s="1167"/>
      <c r="I50" s="1167"/>
      <c r="J50" s="1167"/>
      <c r="K50" s="1167"/>
      <c r="L50" s="104"/>
      <c r="P50" s="1186"/>
    </row>
    <row r="51" spans="2:21" ht="16.5" customHeight="1" x14ac:dyDescent="0.25">
      <c r="B51" s="152"/>
      <c r="C51" s="423"/>
      <c r="D51" s="153"/>
      <c r="E51" s="151"/>
      <c r="F51" s="151"/>
      <c r="G51" s="151"/>
      <c r="H51" s="151"/>
      <c r="I51" s="151"/>
    </row>
    <row r="52" spans="2:21" x14ac:dyDescent="0.25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5">
      <c r="C53" s="1176" t="s">
        <v>29</v>
      </c>
      <c r="D53" s="1176" t="s">
        <v>30</v>
      </c>
      <c r="E53" s="1203" t="s">
        <v>56</v>
      </c>
      <c r="F53" s="1203" t="s">
        <v>66</v>
      </c>
      <c r="G53" s="1203" t="s">
        <v>67</v>
      </c>
      <c r="H53" s="1189" t="s">
        <v>68</v>
      </c>
      <c r="I53" s="1190"/>
      <c r="J53" s="1190"/>
      <c r="K53" s="1190"/>
      <c r="L53" s="1191"/>
      <c r="M53" s="1163" t="s">
        <v>58</v>
      </c>
      <c r="N53" s="156"/>
      <c r="O53" s="104"/>
    </row>
    <row r="54" spans="2:21" ht="32.25" customHeight="1" x14ac:dyDescent="0.25">
      <c r="C54" s="1177"/>
      <c r="D54" s="1211"/>
      <c r="E54" s="1204"/>
      <c r="F54" s="1204"/>
      <c r="G54" s="1204"/>
      <c r="H54" s="556" t="s">
        <v>69</v>
      </c>
      <c r="I54" s="556" t="s">
        <v>70</v>
      </c>
      <c r="J54" s="556" t="s">
        <v>71</v>
      </c>
      <c r="K54" s="556" t="s">
        <v>72</v>
      </c>
      <c r="L54" s="556" t="s">
        <v>73</v>
      </c>
      <c r="M54" s="1164"/>
      <c r="P54" s="418" t="s">
        <v>22</v>
      </c>
    </row>
    <row r="55" spans="2:21" ht="15" customHeight="1" x14ac:dyDescent="0.25">
      <c r="C55" s="1173">
        <v>1</v>
      </c>
      <c r="D55" s="1215" t="s">
        <v>74</v>
      </c>
      <c r="E55" s="1212" t="s">
        <v>75</v>
      </c>
      <c r="F55" s="555">
        <v>5</v>
      </c>
      <c r="G55" s="555">
        <v>5</v>
      </c>
      <c r="H55" s="401"/>
      <c r="I55" s="401"/>
      <c r="J55" s="401"/>
      <c r="K55" s="401"/>
      <c r="L55" s="401"/>
      <c r="M55" s="1210" t="s">
        <v>76</v>
      </c>
      <c r="P55" s="419">
        <v>2</v>
      </c>
    </row>
    <row r="56" spans="2:21" ht="15" customHeight="1" x14ac:dyDescent="0.25">
      <c r="C56" s="1174"/>
      <c r="D56" s="1216"/>
      <c r="E56" s="1213"/>
      <c r="F56" s="555">
        <v>10</v>
      </c>
      <c r="G56" s="555">
        <v>10</v>
      </c>
      <c r="H56" s="401"/>
      <c r="I56" s="401"/>
      <c r="J56" s="401"/>
      <c r="K56" s="401"/>
      <c r="L56" s="401"/>
      <c r="M56" s="1202"/>
      <c r="P56" s="419">
        <v>4</v>
      </c>
    </row>
    <row r="57" spans="2:21" ht="15" customHeight="1" x14ac:dyDescent="0.25">
      <c r="B57" s="151"/>
      <c r="C57" s="1175"/>
      <c r="D57" s="1217"/>
      <c r="E57" s="1214"/>
      <c r="F57" s="555">
        <v>20</v>
      </c>
      <c r="G57" s="555">
        <v>20</v>
      </c>
      <c r="H57" s="401"/>
      <c r="I57" s="401"/>
      <c r="J57" s="401"/>
      <c r="K57" s="401"/>
      <c r="L57" s="401"/>
      <c r="M57" s="1202"/>
      <c r="P57" s="419">
        <v>4</v>
      </c>
    </row>
    <row r="58" spans="2:21" ht="17.25" customHeight="1" x14ac:dyDescent="0.25">
      <c r="B58" s="191"/>
      <c r="C58" s="169"/>
      <c r="D58" s="559"/>
      <c r="E58" s="170"/>
      <c r="F58" s="171"/>
      <c r="G58" s="171"/>
      <c r="H58" s="171"/>
      <c r="I58" s="171"/>
      <c r="J58" s="171"/>
      <c r="K58" s="172"/>
      <c r="L58" s="552"/>
    </row>
    <row r="59" spans="2:21" ht="17.25" customHeight="1" x14ac:dyDescent="0.25">
      <c r="C59" s="150" t="s">
        <v>77</v>
      </c>
      <c r="D59" s="423"/>
      <c r="E59" s="552"/>
      <c r="F59" s="154"/>
      <c r="G59" s="154"/>
      <c r="H59" s="154"/>
      <c r="I59" s="154"/>
      <c r="J59" s="154"/>
      <c r="K59" s="173"/>
      <c r="L59" s="552"/>
    </row>
    <row r="60" spans="2:21" ht="24.75" customHeight="1" x14ac:dyDescent="0.25">
      <c r="C60" s="1165" t="s">
        <v>29</v>
      </c>
      <c r="D60" s="1165" t="s">
        <v>30</v>
      </c>
      <c r="E60" s="1163" t="s">
        <v>56</v>
      </c>
      <c r="F60" s="1163" t="s">
        <v>78</v>
      </c>
      <c r="G60" s="1163" t="s">
        <v>79</v>
      </c>
      <c r="H60" s="1189" t="s">
        <v>80</v>
      </c>
      <c r="I60" s="1190"/>
      <c r="J60" s="1191"/>
      <c r="K60" s="1163" t="s">
        <v>58</v>
      </c>
      <c r="L60" s="402"/>
      <c r="M60" s="402"/>
      <c r="N60" s="402"/>
      <c r="O60" s="402"/>
    </row>
    <row r="61" spans="2:21" ht="21.75" customHeight="1" x14ac:dyDescent="0.25">
      <c r="C61" s="1165"/>
      <c r="D61" s="1166"/>
      <c r="E61" s="1164"/>
      <c r="F61" s="1164"/>
      <c r="G61" s="1164"/>
      <c r="H61" s="553" t="s">
        <v>69</v>
      </c>
      <c r="I61" s="553" t="s">
        <v>70</v>
      </c>
      <c r="J61" s="557" t="s">
        <v>71</v>
      </c>
      <c r="K61" s="1164"/>
      <c r="L61" s="152"/>
      <c r="M61" s="403"/>
      <c r="N61" s="423"/>
      <c r="O61" s="423"/>
      <c r="P61" s="418" t="s">
        <v>22</v>
      </c>
      <c r="R61" s="1169" t="s">
        <v>55</v>
      </c>
      <c r="S61" s="1170"/>
      <c r="T61" s="1170"/>
      <c r="U61" s="1170"/>
    </row>
    <row r="62" spans="2:21" ht="27.75" customHeight="1" x14ac:dyDescent="0.25">
      <c r="C62" s="382">
        <v>1</v>
      </c>
      <c r="D62" s="380" t="s">
        <v>81</v>
      </c>
      <c r="E62" s="381" t="s">
        <v>82</v>
      </c>
      <c r="F62" s="555">
        <v>25</v>
      </c>
      <c r="G62" s="555">
        <v>100</v>
      </c>
      <c r="H62" s="417"/>
      <c r="I62" s="417"/>
      <c r="J62" s="393"/>
      <c r="K62" s="554" t="s">
        <v>76</v>
      </c>
      <c r="L62" s="154"/>
      <c r="M62" s="173"/>
      <c r="N62" s="552"/>
      <c r="O62" s="151"/>
      <c r="P62" s="419">
        <v>9</v>
      </c>
    </row>
    <row r="63" spans="2:21" ht="29.25" customHeight="1" x14ac:dyDescent="0.25">
      <c r="B63" s="174"/>
      <c r="C63" s="175"/>
      <c r="D63" s="176"/>
      <c r="E63" s="552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5">
      <c r="C64" s="1165" t="s">
        <v>29</v>
      </c>
      <c r="D64" s="1165" t="s">
        <v>30</v>
      </c>
      <c r="E64" s="1163" t="s">
        <v>56</v>
      </c>
      <c r="F64" s="1163" t="s">
        <v>78</v>
      </c>
      <c r="G64" s="1163" t="s">
        <v>79</v>
      </c>
      <c r="H64" s="1189" t="s">
        <v>80</v>
      </c>
      <c r="I64" s="1190"/>
      <c r="J64" s="1191"/>
      <c r="K64" s="1163" t="s">
        <v>58</v>
      </c>
    </row>
    <row r="65" spans="2:17" ht="17.25" customHeight="1" x14ac:dyDescent="0.25">
      <c r="C65" s="1165"/>
      <c r="D65" s="1166"/>
      <c r="E65" s="1164"/>
      <c r="F65" s="1164"/>
      <c r="G65" s="1164"/>
      <c r="H65" s="553" t="s">
        <v>69</v>
      </c>
      <c r="I65" s="553" t="s">
        <v>70</v>
      </c>
      <c r="J65" s="553" t="s">
        <v>71</v>
      </c>
      <c r="K65" s="1163"/>
      <c r="M65" s="404"/>
      <c r="N65" s="104"/>
      <c r="O65" s="552"/>
      <c r="P65" s="418" t="s">
        <v>22</v>
      </c>
    </row>
    <row r="66" spans="2:17" ht="31.5" customHeight="1" x14ac:dyDescent="0.25">
      <c r="C66" s="382">
        <v>2</v>
      </c>
      <c r="D66" s="380" t="s">
        <v>81</v>
      </c>
      <c r="E66" s="381" t="s">
        <v>82</v>
      </c>
      <c r="F66" s="555">
        <v>50</v>
      </c>
      <c r="G66" s="555">
        <v>100</v>
      </c>
      <c r="H66" s="401"/>
      <c r="I66" s="401"/>
      <c r="J66" s="401"/>
      <c r="K66" s="554" t="s">
        <v>76</v>
      </c>
      <c r="M66" s="405"/>
      <c r="N66" s="281"/>
      <c r="O66" s="355"/>
      <c r="P66" s="419">
        <v>9</v>
      </c>
    </row>
    <row r="67" spans="2:17" ht="18" customHeight="1" x14ac:dyDescent="0.25">
      <c r="B67" s="150"/>
      <c r="C67" s="150"/>
      <c r="D67" s="423"/>
      <c r="E67" s="552"/>
      <c r="F67" s="154"/>
      <c r="G67" s="154"/>
      <c r="H67" s="154"/>
      <c r="I67" s="154"/>
      <c r="J67" s="151"/>
      <c r="K67" s="173"/>
      <c r="L67" s="552"/>
      <c r="M67" s="151"/>
    </row>
    <row r="68" spans="2:17" ht="20.25" customHeight="1" x14ac:dyDescent="0.25">
      <c r="B68" s="150"/>
      <c r="C68" s="150"/>
      <c r="D68" s="423"/>
      <c r="E68" s="552"/>
      <c r="F68" s="154"/>
      <c r="G68" s="154"/>
      <c r="H68" s="154"/>
      <c r="I68" s="154"/>
      <c r="J68" s="151"/>
      <c r="K68" s="173"/>
      <c r="L68" s="552"/>
      <c r="M68" s="151"/>
    </row>
    <row r="69" spans="2:17" x14ac:dyDescent="0.25">
      <c r="C69" s="150" t="s">
        <v>84</v>
      </c>
      <c r="D69" s="423"/>
      <c r="E69" s="552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5">
      <c r="C70" s="1165" t="s">
        <v>29</v>
      </c>
      <c r="D70" s="1165" t="s">
        <v>30</v>
      </c>
      <c r="E70" s="1163" t="s">
        <v>56</v>
      </c>
      <c r="F70" s="1163" t="s">
        <v>86</v>
      </c>
      <c r="G70" s="1163" t="s">
        <v>87</v>
      </c>
      <c r="H70" s="1165" t="s">
        <v>68</v>
      </c>
      <c r="I70" s="1165"/>
      <c r="J70" s="1165"/>
      <c r="K70" s="1165"/>
      <c r="L70" s="1165"/>
      <c r="M70" s="1163" t="s">
        <v>58</v>
      </c>
      <c r="N70" s="104"/>
    </row>
    <row r="71" spans="2:17" ht="37.5" customHeight="1" x14ac:dyDescent="0.25">
      <c r="C71" s="1165"/>
      <c r="D71" s="1166"/>
      <c r="E71" s="1164"/>
      <c r="F71" s="1164"/>
      <c r="G71" s="1164"/>
      <c r="H71" s="553" t="s">
        <v>69</v>
      </c>
      <c r="I71" s="553" t="s">
        <v>70</v>
      </c>
      <c r="J71" s="553" t="s">
        <v>71</v>
      </c>
      <c r="K71" s="553" t="s">
        <v>72</v>
      </c>
      <c r="L71" s="553" t="s">
        <v>73</v>
      </c>
      <c r="M71" s="1164"/>
      <c r="O71" s="552"/>
      <c r="P71" s="418" t="s">
        <v>22</v>
      </c>
    </row>
    <row r="72" spans="2:17" ht="43.5" customHeight="1" x14ac:dyDescent="0.25">
      <c r="C72" s="382">
        <v>1</v>
      </c>
      <c r="D72" s="380" t="s">
        <v>88</v>
      </c>
      <c r="E72" s="381" t="s">
        <v>89</v>
      </c>
      <c r="F72" s="558" t="s">
        <v>90</v>
      </c>
      <c r="G72" s="555">
        <v>20</v>
      </c>
      <c r="H72" s="401"/>
      <c r="I72" s="401"/>
      <c r="J72" s="401"/>
      <c r="K72" s="401"/>
      <c r="L72" s="417"/>
      <c r="M72" s="554" t="s">
        <v>91</v>
      </c>
      <c r="O72" s="355"/>
      <c r="P72" s="419">
        <v>9</v>
      </c>
    </row>
    <row r="73" spans="2:17" x14ac:dyDescent="0.25">
      <c r="B73" s="150"/>
      <c r="C73" s="150"/>
      <c r="D73" s="423"/>
      <c r="E73" s="552"/>
      <c r="F73" s="154"/>
      <c r="G73" s="154"/>
      <c r="H73" s="154"/>
      <c r="I73" s="154"/>
      <c r="J73" s="151"/>
      <c r="K73" s="173"/>
      <c r="L73" s="552"/>
    </row>
    <row r="74" spans="2:17" x14ac:dyDescent="0.25">
      <c r="C74" s="150" t="s">
        <v>92</v>
      </c>
      <c r="D74" s="423"/>
      <c r="E74" s="552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5">
      <c r="C75" s="1165" t="s">
        <v>29</v>
      </c>
      <c r="D75" s="1165" t="s">
        <v>30</v>
      </c>
      <c r="E75" s="1163" t="s">
        <v>56</v>
      </c>
      <c r="F75" s="1163" t="s">
        <v>86</v>
      </c>
      <c r="G75" s="1163" t="s">
        <v>93</v>
      </c>
      <c r="H75" s="1165" t="s">
        <v>68</v>
      </c>
      <c r="I75" s="1165"/>
      <c r="J75" s="1165"/>
      <c r="K75" s="1165"/>
      <c r="L75" s="1165"/>
      <c r="M75" s="1163" t="s">
        <v>58</v>
      </c>
      <c r="N75" s="104"/>
    </row>
    <row r="76" spans="2:17" ht="19.5" customHeight="1" x14ac:dyDescent="0.25">
      <c r="C76" s="1165"/>
      <c r="D76" s="1166"/>
      <c r="E76" s="1164"/>
      <c r="F76" s="1164"/>
      <c r="G76" s="1164"/>
      <c r="H76" s="553" t="s">
        <v>69</v>
      </c>
      <c r="I76" s="553" t="s">
        <v>70</v>
      </c>
      <c r="J76" s="553" t="s">
        <v>71</v>
      </c>
      <c r="K76" s="553" t="s">
        <v>72</v>
      </c>
      <c r="L76" s="553" t="s">
        <v>73</v>
      </c>
      <c r="M76" s="1164"/>
      <c r="O76" s="552"/>
      <c r="P76" s="418" t="s">
        <v>22</v>
      </c>
    </row>
    <row r="77" spans="2:17" ht="28" x14ac:dyDescent="0.25">
      <c r="C77" s="382">
        <v>1</v>
      </c>
      <c r="D77" s="380" t="s">
        <v>94</v>
      </c>
      <c r="E77" s="381" t="s">
        <v>95</v>
      </c>
      <c r="F77" s="558" t="s">
        <v>96</v>
      </c>
      <c r="G77" s="555">
        <v>20</v>
      </c>
      <c r="H77" s="401"/>
      <c r="I77" s="401"/>
      <c r="J77" s="401"/>
      <c r="K77" s="401"/>
      <c r="L77" s="417"/>
      <c r="M77" s="554" t="s">
        <v>76</v>
      </c>
      <c r="O77" s="355"/>
      <c r="P77" s="419">
        <v>9</v>
      </c>
    </row>
    <row r="78" spans="2:17" x14ac:dyDescent="0.25">
      <c r="C78" s="191"/>
      <c r="D78" s="420"/>
      <c r="E78" s="421"/>
      <c r="F78" s="422"/>
      <c r="G78" s="552"/>
      <c r="H78" s="173"/>
      <c r="I78" s="173"/>
      <c r="J78" s="173"/>
      <c r="K78" s="173"/>
      <c r="L78" s="154"/>
      <c r="M78" s="406"/>
      <c r="O78" s="355"/>
      <c r="P78" s="419"/>
    </row>
    <row r="79" spans="2:17" x14ac:dyDescent="0.2">
      <c r="C79" s="432" t="s">
        <v>97</v>
      </c>
      <c r="D79" s="433"/>
      <c r="E79" s="176"/>
      <c r="F79" s="567"/>
      <c r="G79" s="552"/>
      <c r="H79" s="173"/>
      <c r="I79" s="173"/>
      <c r="J79" s="173"/>
      <c r="K79" s="173"/>
      <c r="L79" s="154"/>
      <c r="M79" s="406"/>
      <c r="O79" s="355"/>
      <c r="P79" s="419"/>
    </row>
    <row r="80" spans="2:17" x14ac:dyDescent="0.25">
      <c r="C80" s="434" t="s">
        <v>98</v>
      </c>
      <c r="D80" s="174"/>
      <c r="E80" s="174"/>
      <c r="F80" s="174"/>
      <c r="G80" s="552"/>
      <c r="H80" s="173"/>
      <c r="I80" s="173"/>
      <c r="J80" s="173"/>
      <c r="K80" s="173"/>
      <c r="L80" s="154"/>
      <c r="M80" s="406"/>
      <c r="O80" s="355"/>
      <c r="Q80" s="154"/>
    </row>
    <row r="81" spans="2:14" ht="10.5" customHeight="1" x14ac:dyDescent="0.25">
      <c r="B81" s="150"/>
      <c r="C81" s="150"/>
      <c r="D81" s="423"/>
      <c r="E81" s="552"/>
      <c r="F81" s="154"/>
      <c r="G81" s="154"/>
      <c r="H81" s="154"/>
      <c r="I81" s="154"/>
      <c r="J81" s="151"/>
      <c r="K81" s="173"/>
      <c r="L81" s="552"/>
    </row>
    <row r="82" spans="2:14" x14ac:dyDescent="0.25">
      <c r="B82" s="155" t="s">
        <v>99</v>
      </c>
      <c r="C82" s="155" t="s">
        <v>100</v>
      </c>
      <c r="D82" s="423"/>
      <c r="E82" s="552"/>
      <c r="F82" s="552"/>
      <c r="G82" s="552"/>
      <c r="H82" s="552"/>
      <c r="I82" s="552"/>
      <c r="J82" s="552"/>
      <c r="K82" s="154"/>
      <c r="L82" s="154"/>
      <c r="M82" s="154"/>
      <c r="N82" s="151"/>
    </row>
    <row r="83" spans="2:14" x14ac:dyDescent="0.25">
      <c r="B83" s="155"/>
      <c r="C83" s="178" t="s">
        <v>101</v>
      </c>
      <c r="D83" s="423"/>
      <c r="E83" s="552"/>
      <c r="F83" s="552"/>
      <c r="G83" s="552"/>
      <c r="H83" s="552"/>
      <c r="I83" s="552"/>
      <c r="J83" s="552"/>
      <c r="K83" s="154"/>
      <c r="L83" s="154"/>
      <c r="M83" s="154"/>
      <c r="N83" s="151"/>
    </row>
    <row r="84" spans="2:14" x14ac:dyDescent="0.25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5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5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5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5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3">
      <c r="B89" s="407" t="s">
        <v>106</v>
      </c>
      <c r="C89" s="162" t="s">
        <v>107</v>
      </c>
      <c r="D89" s="408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3">
      <c r="B90" s="407" t="s">
        <v>106</v>
      </c>
      <c r="C90" s="164" t="s">
        <v>108</v>
      </c>
      <c r="D90" s="408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3">
      <c r="B91" s="407" t="s">
        <v>106</v>
      </c>
      <c r="C91" s="164" t="s">
        <v>109</v>
      </c>
      <c r="D91" s="408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3">
      <c r="B92" s="407" t="s">
        <v>106</v>
      </c>
      <c r="C92" s="164" t="s">
        <v>110</v>
      </c>
      <c r="D92" s="408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3">
      <c r="B93" s="407" t="s">
        <v>106</v>
      </c>
      <c r="C93" s="164" t="s">
        <v>111</v>
      </c>
      <c r="D93" s="408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3">
      <c r="B94" s="407" t="s">
        <v>106</v>
      </c>
      <c r="C94" s="164" t="s">
        <v>112</v>
      </c>
      <c r="D94" s="408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3">
      <c r="B95" s="407" t="s">
        <v>106</v>
      </c>
      <c r="C95" s="165" t="s">
        <v>113</v>
      </c>
      <c r="D95" s="408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3">
      <c r="B96" s="407" t="s">
        <v>106</v>
      </c>
      <c r="C96" s="165" t="s">
        <v>114</v>
      </c>
      <c r="D96" s="408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3">
      <c r="B97" s="407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3">
      <c r="B98" s="407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3">
      <c r="B99" s="407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3">
      <c r="B100" s="407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3">
      <c r="B101" s="407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3">
      <c r="B102" s="407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5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5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5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8"/>
    </row>
    <row r="106" spans="2:14" x14ac:dyDescent="0.25">
      <c r="N106" s="549"/>
    </row>
  </sheetData>
  <sheetProtection insertRows="0"/>
  <mergeCells count="65"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  <mergeCell ref="F47:G48"/>
    <mergeCell ref="G49:G50"/>
    <mergeCell ref="H53:L53"/>
    <mergeCell ref="D22:K23"/>
    <mergeCell ref="F49:F50"/>
    <mergeCell ref="G53:G54"/>
    <mergeCell ref="F60:F61"/>
    <mergeCell ref="E64:E65"/>
    <mergeCell ref="G60:G61"/>
    <mergeCell ref="G64:G65"/>
    <mergeCell ref="H49:K50"/>
    <mergeCell ref="H60:J60"/>
    <mergeCell ref="H64:J64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C47:C48"/>
    <mergeCell ref="D47:D48"/>
    <mergeCell ref="E47:E48"/>
    <mergeCell ref="D49:D50"/>
    <mergeCell ref="C49:C50"/>
    <mergeCell ref="E49:E50"/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4" sqref="B4"/>
    </sheetView>
  </sheetViews>
  <sheetFormatPr defaultRowHeight="12.5" x14ac:dyDescent="0.25"/>
  <cols>
    <col min="2" max="2" width="21" customWidth="1"/>
    <col min="3" max="3" width="15.36328125" customWidth="1"/>
    <col min="5" max="5" width="11" customWidth="1"/>
  </cols>
  <sheetData>
    <row r="4" spans="2:12" x14ac:dyDescent="0.25">
      <c r="B4" s="855" t="s">
        <v>169</v>
      </c>
      <c r="C4" s="856" t="s">
        <v>170</v>
      </c>
    </row>
    <row r="5" spans="2:12" x14ac:dyDescent="0.25">
      <c r="B5" s="857" t="s">
        <v>171</v>
      </c>
      <c r="C5" s="858" t="s">
        <v>172</v>
      </c>
    </row>
    <row r="9" spans="2:12" x14ac:dyDescent="0.25">
      <c r="B9" s="859"/>
      <c r="C9" s="860">
        <v>0.2</v>
      </c>
      <c r="D9" s="859"/>
      <c r="E9" s="859"/>
      <c r="K9" s="869" t="s">
        <v>174</v>
      </c>
    </row>
    <row r="10" spans="2:12" x14ac:dyDescent="0.25">
      <c r="B10" s="860">
        <v>0.2</v>
      </c>
      <c r="C10" s="861" t="s">
        <v>179</v>
      </c>
      <c r="D10" s="862" t="s">
        <v>137</v>
      </c>
      <c r="E10" s="863"/>
      <c r="K10" s="869" t="s">
        <v>176</v>
      </c>
    </row>
    <row r="11" spans="2:12" x14ac:dyDescent="0.25">
      <c r="B11" s="859"/>
      <c r="C11" s="861" t="s">
        <v>41</v>
      </c>
      <c r="D11" s="862" t="s">
        <v>181</v>
      </c>
      <c r="E11" s="863"/>
    </row>
    <row r="12" spans="2:12" x14ac:dyDescent="0.25">
      <c r="B12" s="864">
        <v>500</v>
      </c>
      <c r="C12" s="905">
        <v>500</v>
      </c>
      <c r="D12" s="865" t="s">
        <v>138</v>
      </c>
      <c r="E12" s="866"/>
    </row>
    <row r="13" spans="2:12" x14ac:dyDescent="0.25">
      <c r="B13" s="860"/>
      <c r="C13" s="905">
        <v>100</v>
      </c>
      <c r="D13" s="865" t="s">
        <v>184</v>
      </c>
      <c r="E13" s="866"/>
    </row>
    <row r="14" spans="2:12" x14ac:dyDescent="0.25">
      <c r="B14" s="867"/>
      <c r="C14" s="867" t="s">
        <v>490</v>
      </c>
      <c r="D14" s="867"/>
      <c r="E14" s="867"/>
    </row>
    <row r="15" spans="2:12" x14ac:dyDescent="0.25">
      <c r="B15" s="867"/>
      <c r="C15" s="852" t="s">
        <v>187</v>
      </c>
      <c r="D15" s="867"/>
      <c r="E15" s="867"/>
      <c r="L15" s="686" t="s">
        <v>61</v>
      </c>
    </row>
    <row r="16" spans="2:12" x14ac:dyDescent="0.25">
      <c r="B16" s="867"/>
      <c r="C16" s="870" t="s">
        <v>189</v>
      </c>
      <c r="D16" s="867"/>
      <c r="E16" s="867"/>
      <c r="L16" s="686" t="s">
        <v>196</v>
      </c>
    </row>
    <row r="17" spans="2:5" x14ac:dyDescent="0.25">
      <c r="B17" s="867"/>
      <c r="C17" s="871" t="s">
        <v>55</v>
      </c>
      <c r="D17" s="867"/>
      <c r="E17" s="867"/>
    </row>
    <row r="18" spans="2:5" x14ac:dyDescent="0.25">
      <c r="B18" s="868" t="s">
        <v>173</v>
      </c>
      <c r="C18" s="867"/>
      <c r="D18" s="867"/>
      <c r="E18" s="867"/>
    </row>
    <row r="19" spans="2:5" x14ac:dyDescent="0.25">
      <c r="B19" s="868" t="s">
        <v>175</v>
      </c>
      <c r="C19" s="867"/>
      <c r="D19" s="867"/>
      <c r="E19" s="867"/>
    </row>
    <row r="20" spans="2:5" x14ac:dyDescent="0.25">
      <c r="B20" s="868"/>
      <c r="C20" s="867"/>
      <c r="D20" s="867"/>
      <c r="E20" s="867"/>
    </row>
    <row r="21" spans="2:5" x14ac:dyDescent="0.25">
      <c r="B21" s="868" t="s">
        <v>177</v>
      </c>
      <c r="C21" s="867"/>
      <c r="D21" s="867"/>
      <c r="E21" s="867"/>
    </row>
    <row r="22" spans="2:5" x14ac:dyDescent="0.25">
      <c r="B22" s="868" t="s">
        <v>178</v>
      </c>
      <c r="C22" s="867"/>
      <c r="D22" s="867"/>
      <c r="E22" s="867"/>
    </row>
    <row r="23" spans="2:5" x14ac:dyDescent="0.25">
      <c r="B23" s="868" t="s">
        <v>180</v>
      </c>
      <c r="C23" s="867"/>
      <c r="D23" s="867"/>
      <c r="E23" s="867"/>
    </row>
    <row r="24" spans="2:5" x14ac:dyDescent="0.25">
      <c r="B24" s="868" t="s">
        <v>182</v>
      </c>
      <c r="C24" s="867"/>
      <c r="D24" s="867"/>
      <c r="E24" s="867"/>
    </row>
    <row r="25" spans="2:5" x14ac:dyDescent="0.25">
      <c r="B25" s="868" t="s">
        <v>183</v>
      </c>
      <c r="C25" s="867"/>
      <c r="D25" s="867"/>
      <c r="E25" s="867"/>
    </row>
    <row r="26" spans="2:5" x14ac:dyDescent="0.25">
      <c r="B26" s="868" t="s">
        <v>185</v>
      </c>
      <c r="C26" s="867"/>
      <c r="D26" s="867"/>
      <c r="E26" s="867"/>
    </row>
    <row r="27" spans="2:5" x14ac:dyDescent="0.25">
      <c r="B27" s="868" t="s">
        <v>186</v>
      </c>
      <c r="C27" s="867"/>
      <c r="D27" s="867"/>
      <c r="E27" s="867"/>
    </row>
    <row r="28" spans="2:5" x14ac:dyDescent="0.25">
      <c r="B28" s="868"/>
      <c r="C28" s="867"/>
      <c r="D28" s="867"/>
      <c r="E28" s="867"/>
    </row>
    <row r="29" spans="2:5" x14ac:dyDescent="0.25">
      <c r="B29" s="868" t="s">
        <v>166</v>
      </c>
      <c r="C29" s="867"/>
      <c r="D29" s="867"/>
      <c r="E29" s="867"/>
    </row>
    <row r="30" spans="2:5" x14ac:dyDescent="0.25">
      <c r="B30" s="868" t="s">
        <v>188</v>
      </c>
      <c r="C30" s="867"/>
      <c r="D30" s="867"/>
      <c r="E30" s="867"/>
    </row>
    <row r="31" spans="2:5" x14ac:dyDescent="0.25">
      <c r="B31" s="868" t="s">
        <v>190</v>
      </c>
      <c r="C31" s="867"/>
      <c r="D31" s="867"/>
      <c r="E31" s="867"/>
    </row>
    <row r="32" spans="2:5" x14ac:dyDescent="0.25">
      <c r="B32" s="868" t="s">
        <v>192</v>
      </c>
      <c r="C32" s="867"/>
      <c r="D32" s="867"/>
      <c r="E32" s="867"/>
    </row>
    <row r="33" spans="2:12" x14ac:dyDescent="0.25">
      <c r="B33" s="868" t="s">
        <v>193</v>
      </c>
      <c r="C33" s="867"/>
      <c r="D33" s="867"/>
      <c r="E33" s="867"/>
    </row>
    <row r="34" spans="2:12" x14ac:dyDescent="0.25">
      <c r="B34" s="868" t="s">
        <v>194</v>
      </c>
      <c r="C34" s="867"/>
      <c r="D34" s="867"/>
      <c r="E34" s="867"/>
    </row>
    <row r="35" spans="2:12" x14ac:dyDescent="0.25">
      <c r="B35" s="868" t="s">
        <v>195</v>
      </c>
      <c r="C35" s="867"/>
      <c r="D35" s="867"/>
      <c r="E35" s="867"/>
    </row>
    <row r="36" spans="2:12" x14ac:dyDescent="0.25">
      <c r="B36" s="868" t="s">
        <v>197</v>
      </c>
      <c r="C36" s="867"/>
      <c r="D36" s="867"/>
      <c r="E36" s="867"/>
    </row>
    <row r="41" spans="2:12" x14ac:dyDescent="0.25">
      <c r="B41" s="874" t="s">
        <v>348</v>
      </c>
      <c r="C41" s="874" t="s">
        <v>2</v>
      </c>
      <c r="D41" s="874" t="s">
        <v>497</v>
      </c>
      <c r="E41" s="874" t="s">
        <v>498</v>
      </c>
    </row>
    <row r="42" spans="2:12" x14ac:dyDescent="0.25">
      <c r="B42" s="874"/>
      <c r="C42" s="874"/>
      <c r="D42" s="874"/>
      <c r="E42" s="874"/>
    </row>
    <row r="43" spans="2:12" x14ac:dyDescent="0.25">
      <c r="B43" s="875" t="s">
        <v>499</v>
      </c>
      <c r="C43" s="876" t="s">
        <v>500</v>
      </c>
      <c r="D43" s="876" t="s">
        <v>501</v>
      </c>
      <c r="E43" s="877">
        <v>21033</v>
      </c>
      <c r="I43" s="878"/>
      <c r="J43" s="879"/>
      <c r="K43" s="879"/>
      <c r="L43" s="880"/>
    </row>
    <row r="44" spans="2:12" x14ac:dyDescent="0.25">
      <c r="B44" s="875" t="s">
        <v>499</v>
      </c>
      <c r="C44" s="876" t="s">
        <v>500</v>
      </c>
      <c r="D44" s="876" t="s">
        <v>502</v>
      </c>
      <c r="E44" s="877">
        <v>1826055</v>
      </c>
      <c r="I44" s="878"/>
      <c r="J44" s="879"/>
      <c r="K44" s="879"/>
      <c r="L44" s="880"/>
    </row>
    <row r="45" spans="2:12" x14ac:dyDescent="0.25">
      <c r="B45" s="875" t="s">
        <v>499</v>
      </c>
      <c r="C45" s="876" t="s">
        <v>500</v>
      </c>
      <c r="D45" s="876" t="s">
        <v>502</v>
      </c>
      <c r="E45" s="877">
        <v>1827060</v>
      </c>
      <c r="I45" s="878"/>
      <c r="J45" s="879"/>
      <c r="K45" s="879"/>
      <c r="L45" s="880"/>
    </row>
    <row r="46" spans="2:12" x14ac:dyDescent="0.25">
      <c r="B46" s="875" t="s">
        <v>499</v>
      </c>
      <c r="C46" s="876" t="s">
        <v>500</v>
      </c>
      <c r="D46" s="876" t="s">
        <v>503</v>
      </c>
      <c r="E46" s="877">
        <v>184633</v>
      </c>
      <c r="I46" s="878"/>
      <c r="J46" s="879"/>
      <c r="K46" s="879"/>
      <c r="L46" s="880"/>
    </row>
    <row r="47" spans="2:12" x14ac:dyDescent="0.25">
      <c r="B47" s="875" t="s">
        <v>499</v>
      </c>
      <c r="C47" s="876" t="s">
        <v>500</v>
      </c>
      <c r="D47" s="876" t="s">
        <v>503</v>
      </c>
      <c r="E47" s="877">
        <v>184635</v>
      </c>
      <c r="I47" s="878"/>
      <c r="J47" s="879"/>
      <c r="K47" s="879"/>
      <c r="L47" s="880"/>
    </row>
    <row r="48" spans="2:12" x14ac:dyDescent="0.25">
      <c r="B48" s="875" t="s">
        <v>504</v>
      </c>
      <c r="C48" s="876" t="s">
        <v>500</v>
      </c>
      <c r="D48" s="876" t="s">
        <v>505</v>
      </c>
      <c r="E48" s="877">
        <v>3217028</v>
      </c>
      <c r="I48" s="878"/>
      <c r="J48" s="879"/>
      <c r="K48" s="879"/>
      <c r="L48" s="880"/>
    </row>
    <row r="49" spans="2:12" x14ac:dyDescent="0.25">
      <c r="B49" s="875" t="s">
        <v>504</v>
      </c>
      <c r="C49" s="876" t="s">
        <v>500</v>
      </c>
      <c r="D49" s="876" t="s">
        <v>505</v>
      </c>
      <c r="E49" s="877">
        <v>3188428</v>
      </c>
      <c r="I49" s="878"/>
      <c r="J49" s="879"/>
      <c r="K49" s="879"/>
      <c r="L49" s="880"/>
    </row>
    <row r="50" spans="2:12" x14ac:dyDescent="0.25">
      <c r="B50" s="875" t="s">
        <v>504</v>
      </c>
      <c r="C50" s="876" t="s">
        <v>506</v>
      </c>
      <c r="D50" s="876" t="s">
        <v>507</v>
      </c>
      <c r="E50" s="877" t="s">
        <v>508</v>
      </c>
      <c r="I50" s="878"/>
      <c r="J50" s="879"/>
      <c r="K50" s="879"/>
      <c r="L50" s="880"/>
    </row>
    <row r="51" spans="2:12" x14ac:dyDescent="0.25">
      <c r="B51" s="875" t="s">
        <v>504</v>
      </c>
      <c r="C51" s="876" t="s">
        <v>506</v>
      </c>
      <c r="D51" s="876" t="s">
        <v>507</v>
      </c>
      <c r="E51" s="877" t="s">
        <v>509</v>
      </c>
      <c r="I51" s="878"/>
      <c r="J51" s="879"/>
      <c r="K51" s="879"/>
      <c r="L51" s="880"/>
    </row>
    <row r="52" spans="2:12" x14ac:dyDescent="0.25">
      <c r="B52" s="875" t="s">
        <v>504</v>
      </c>
      <c r="C52" s="876" t="s">
        <v>506</v>
      </c>
      <c r="D52" s="876" t="s">
        <v>507</v>
      </c>
      <c r="E52" s="877" t="s">
        <v>510</v>
      </c>
      <c r="I52" s="878"/>
      <c r="J52" s="879"/>
      <c r="K52" s="879"/>
      <c r="L52" s="880"/>
    </row>
    <row r="53" spans="2:12" x14ac:dyDescent="0.25">
      <c r="B53" s="875" t="s">
        <v>499</v>
      </c>
      <c r="C53" s="876" t="s">
        <v>506</v>
      </c>
      <c r="D53" s="876" t="s">
        <v>511</v>
      </c>
      <c r="E53" s="877" t="s">
        <v>512</v>
      </c>
      <c r="I53" s="878"/>
      <c r="J53" s="879"/>
      <c r="K53" s="879"/>
      <c r="L53" s="880"/>
    </row>
    <row r="54" spans="2:12" x14ac:dyDescent="0.25">
      <c r="B54" s="875" t="s">
        <v>499</v>
      </c>
      <c r="C54" s="876" t="s">
        <v>506</v>
      </c>
      <c r="D54" s="876" t="s">
        <v>511</v>
      </c>
      <c r="E54" s="877" t="s">
        <v>513</v>
      </c>
      <c r="I54" s="878"/>
      <c r="J54" s="879"/>
      <c r="K54" s="879"/>
      <c r="L54" s="880"/>
    </row>
    <row r="55" spans="2:12" x14ac:dyDescent="0.25">
      <c r="B55" s="881"/>
      <c r="C55" s="882"/>
      <c r="D55" s="882"/>
      <c r="E55" s="883"/>
    </row>
    <row r="56" spans="2:12" x14ac:dyDescent="0.25">
      <c r="B56" s="884" t="s">
        <v>514</v>
      </c>
      <c r="C56" s="885" t="s">
        <v>515</v>
      </c>
      <c r="D56" s="885" t="s">
        <v>516</v>
      </c>
      <c r="E56" s="886">
        <v>1837056</v>
      </c>
    </row>
    <row r="57" spans="2:12" x14ac:dyDescent="0.25">
      <c r="B57" s="884" t="s">
        <v>514</v>
      </c>
      <c r="C57" s="885" t="s">
        <v>515</v>
      </c>
      <c r="D57" s="885" t="s">
        <v>517</v>
      </c>
      <c r="E57" s="886">
        <v>1834020</v>
      </c>
    </row>
    <row r="58" spans="2:12" x14ac:dyDescent="0.25">
      <c r="B58" s="884" t="s">
        <v>514</v>
      </c>
      <c r="C58" s="885" t="s">
        <v>515</v>
      </c>
      <c r="D58" s="885" t="s">
        <v>518</v>
      </c>
      <c r="E58" s="886">
        <v>2853077</v>
      </c>
    </row>
    <row r="59" spans="2:12" x14ac:dyDescent="0.25">
      <c r="B59" s="884" t="s">
        <v>514</v>
      </c>
      <c r="C59" s="885" t="s">
        <v>515</v>
      </c>
      <c r="D59" s="885" t="s">
        <v>519</v>
      </c>
      <c r="E59" s="886">
        <v>2853078</v>
      </c>
    </row>
    <row r="60" spans="2:12" x14ac:dyDescent="0.25">
      <c r="B60" s="884" t="s">
        <v>514</v>
      </c>
      <c r="C60" s="885" t="s">
        <v>515</v>
      </c>
      <c r="D60" s="885" t="s">
        <v>520</v>
      </c>
      <c r="E60" s="886">
        <v>3148907</v>
      </c>
    </row>
    <row r="61" spans="2:12" x14ac:dyDescent="0.25">
      <c r="B61" s="884" t="s">
        <v>514</v>
      </c>
      <c r="C61" s="885" t="s">
        <v>515</v>
      </c>
      <c r="D61" s="885" t="s">
        <v>521</v>
      </c>
      <c r="E61" s="886">
        <v>3148908</v>
      </c>
    </row>
    <row r="62" spans="2:12" x14ac:dyDescent="0.25">
      <c r="B62" s="884" t="s">
        <v>514</v>
      </c>
      <c r="C62" s="885" t="s">
        <v>515</v>
      </c>
      <c r="D62" s="885" t="s">
        <v>522</v>
      </c>
      <c r="E62" s="886">
        <v>3699030</v>
      </c>
    </row>
    <row r="63" spans="2:12" x14ac:dyDescent="0.25">
      <c r="B63" s="884" t="s">
        <v>514</v>
      </c>
      <c r="C63" s="885" t="s">
        <v>515</v>
      </c>
      <c r="D63" s="885" t="s">
        <v>516</v>
      </c>
      <c r="E63" s="886">
        <v>4670010</v>
      </c>
    </row>
    <row r="64" spans="2:12" x14ac:dyDescent="0.25">
      <c r="B64" s="884" t="s">
        <v>514</v>
      </c>
      <c r="C64" s="885" t="s">
        <v>515</v>
      </c>
      <c r="D64" s="885" t="s">
        <v>517</v>
      </c>
      <c r="E64" s="886">
        <v>4669058</v>
      </c>
    </row>
    <row r="65" spans="2:5" x14ac:dyDescent="0.25">
      <c r="B65" s="887"/>
      <c r="C65" s="887"/>
      <c r="D65" s="887"/>
      <c r="E65" s="887"/>
    </row>
    <row r="66" spans="2:5" x14ac:dyDescent="0.25">
      <c r="B66" s="888" t="s">
        <v>454</v>
      </c>
      <c r="C66" s="876" t="s">
        <v>525</v>
      </c>
      <c r="D66" s="876" t="s">
        <v>524</v>
      </c>
      <c r="E66" s="876">
        <v>11011858</v>
      </c>
    </row>
    <row r="67" spans="2:5" x14ac:dyDescent="0.25">
      <c r="B67" s="888" t="s">
        <v>454</v>
      </c>
      <c r="C67" s="876" t="s">
        <v>525</v>
      </c>
      <c r="D67" s="876" t="s">
        <v>524</v>
      </c>
      <c r="E67" s="876">
        <v>11015608</v>
      </c>
    </row>
    <row r="68" spans="2:5" x14ac:dyDescent="0.25">
      <c r="B68" s="888" t="s">
        <v>454</v>
      </c>
      <c r="C68" s="876" t="s">
        <v>525</v>
      </c>
      <c r="D68" s="876" t="s">
        <v>523</v>
      </c>
      <c r="E68" s="876">
        <v>7414369</v>
      </c>
    </row>
    <row r="69" spans="2:5" x14ac:dyDescent="0.25">
      <c r="B69" s="888" t="s">
        <v>454</v>
      </c>
      <c r="C69" s="876" t="s">
        <v>525</v>
      </c>
      <c r="D69" s="876" t="s">
        <v>523</v>
      </c>
      <c r="E69" s="876">
        <v>7414785</v>
      </c>
    </row>
    <row r="70" spans="2:5" x14ac:dyDescent="0.25">
      <c r="B70" s="888" t="s">
        <v>454</v>
      </c>
      <c r="C70" s="876" t="s">
        <v>525</v>
      </c>
      <c r="D70" s="876" t="s">
        <v>523</v>
      </c>
      <c r="E70" s="876">
        <v>7414362</v>
      </c>
    </row>
    <row r="71" spans="2:5" x14ac:dyDescent="0.25">
      <c r="B71" s="888" t="s">
        <v>454</v>
      </c>
      <c r="C71" s="876" t="s">
        <v>525</v>
      </c>
      <c r="D71" s="876" t="s">
        <v>523</v>
      </c>
      <c r="E71" s="876">
        <v>7414353</v>
      </c>
    </row>
    <row r="72" spans="2:5" x14ac:dyDescent="0.25">
      <c r="B72" s="881"/>
      <c r="C72" s="882"/>
      <c r="D72" s="882"/>
      <c r="E72" s="883"/>
    </row>
    <row r="73" spans="2:5" x14ac:dyDescent="0.25">
      <c r="B73" s="889" t="s">
        <v>526</v>
      </c>
      <c r="C73" s="885" t="s">
        <v>527</v>
      </c>
      <c r="D73" s="885" t="s">
        <v>528</v>
      </c>
      <c r="E73" s="886">
        <v>15062873</v>
      </c>
    </row>
    <row r="74" spans="2:5" x14ac:dyDescent="0.25">
      <c r="B74" s="889" t="s">
        <v>526</v>
      </c>
      <c r="C74" s="885" t="s">
        <v>527</v>
      </c>
      <c r="D74" s="885" t="s">
        <v>528</v>
      </c>
      <c r="E74" s="886">
        <v>15062874</v>
      </c>
    </row>
    <row r="75" spans="2:5" x14ac:dyDescent="0.25">
      <c r="B75" s="889" t="s">
        <v>526</v>
      </c>
      <c r="C75" s="885" t="s">
        <v>527</v>
      </c>
      <c r="D75" s="885" t="s">
        <v>528</v>
      </c>
      <c r="E75" s="886">
        <v>14082463</v>
      </c>
    </row>
    <row r="76" spans="2:5" x14ac:dyDescent="0.25">
      <c r="B76" s="889" t="s">
        <v>526</v>
      </c>
      <c r="C76" s="885" t="s">
        <v>527</v>
      </c>
      <c r="D76" s="885" t="s">
        <v>528</v>
      </c>
      <c r="E76" s="886">
        <v>15062872</v>
      </c>
    </row>
    <row r="77" spans="2:5" x14ac:dyDescent="0.25">
      <c r="B77" s="889" t="s">
        <v>526</v>
      </c>
      <c r="C77" s="885" t="s">
        <v>527</v>
      </c>
      <c r="D77" s="885" t="s">
        <v>528</v>
      </c>
      <c r="E77" s="886">
        <v>15062875</v>
      </c>
    </row>
    <row r="78" spans="2:5" x14ac:dyDescent="0.25">
      <c r="B78" s="889" t="s">
        <v>526</v>
      </c>
      <c r="C78" s="885" t="s">
        <v>529</v>
      </c>
      <c r="D78" s="885" t="s">
        <v>530</v>
      </c>
      <c r="E78" s="886">
        <v>34903046</v>
      </c>
    </row>
    <row r="79" spans="2:5" x14ac:dyDescent="0.25">
      <c r="B79" s="889" t="s">
        <v>526</v>
      </c>
      <c r="C79" s="885" t="s">
        <v>529</v>
      </c>
      <c r="D79" s="885" t="s">
        <v>531</v>
      </c>
      <c r="E79" s="886">
        <v>34903053</v>
      </c>
    </row>
    <row r="80" spans="2:5" x14ac:dyDescent="0.25">
      <c r="B80" s="889" t="s">
        <v>526</v>
      </c>
      <c r="C80" s="885" t="s">
        <v>529</v>
      </c>
      <c r="D80" s="885" t="s">
        <v>532</v>
      </c>
      <c r="E80" s="886">
        <v>34903051</v>
      </c>
    </row>
    <row r="81" spans="2:5" x14ac:dyDescent="0.25">
      <c r="B81" s="889" t="s">
        <v>526</v>
      </c>
      <c r="C81" s="885" t="s">
        <v>529</v>
      </c>
      <c r="D81" s="885" t="s">
        <v>533</v>
      </c>
      <c r="E81" s="886">
        <v>34904091</v>
      </c>
    </row>
    <row r="82" spans="2:5" x14ac:dyDescent="0.25">
      <c r="B82" s="889" t="s">
        <v>526</v>
      </c>
      <c r="C82" s="885" t="s">
        <v>534</v>
      </c>
      <c r="D82" s="885" t="s">
        <v>535</v>
      </c>
      <c r="E82" s="886" t="s">
        <v>536</v>
      </c>
    </row>
    <row r="83" spans="2:5" x14ac:dyDescent="0.25">
      <c r="B83" s="889" t="s">
        <v>526</v>
      </c>
      <c r="C83" s="885" t="s">
        <v>534</v>
      </c>
      <c r="D83" s="885" t="s">
        <v>535</v>
      </c>
      <c r="E83" s="886" t="s">
        <v>537</v>
      </c>
    </row>
    <row r="84" spans="2:5" x14ac:dyDescent="0.25">
      <c r="B84" s="889" t="s">
        <v>526</v>
      </c>
      <c r="C84" s="885" t="s">
        <v>538</v>
      </c>
      <c r="D84" s="885" t="s">
        <v>539</v>
      </c>
      <c r="E84" s="886" t="s">
        <v>540</v>
      </c>
    </row>
    <row r="85" spans="2:5" x14ac:dyDescent="0.25">
      <c r="B85" s="889" t="s">
        <v>526</v>
      </c>
      <c r="C85" s="885" t="s">
        <v>538</v>
      </c>
      <c r="D85" s="885" t="s">
        <v>541</v>
      </c>
      <c r="E85" s="886" t="s">
        <v>542</v>
      </c>
    </row>
    <row r="86" spans="2:5" x14ac:dyDescent="0.25">
      <c r="B86" s="889" t="s">
        <v>526</v>
      </c>
      <c r="C86" s="885" t="s">
        <v>538</v>
      </c>
      <c r="D86" s="885" t="s">
        <v>543</v>
      </c>
      <c r="E86" s="886" t="s">
        <v>544</v>
      </c>
    </row>
    <row r="87" spans="2:5" x14ac:dyDescent="0.25">
      <c r="B87" s="889" t="s">
        <v>526</v>
      </c>
      <c r="C87" s="885" t="s">
        <v>538</v>
      </c>
      <c r="D87" s="885" t="s">
        <v>545</v>
      </c>
      <c r="E87" s="886" t="s">
        <v>546</v>
      </c>
    </row>
    <row r="88" spans="2:5" x14ac:dyDescent="0.25">
      <c r="B88" s="889" t="s">
        <v>526</v>
      </c>
      <c r="C88" s="885" t="s">
        <v>538</v>
      </c>
      <c r="D88" s="885" t="s">
        <v>547</v>
      </c>
      <c r="E88" s="886" t="s">
        <v>548</v>
      </c>
    </row>
    <row r="89" spans="2:5" x14ac:dyDescent="0.25">
      <c r="B89" s="889" t="s">
        <v>526</v>
      </c>
      <c r="C89" s="885" t="s">
        <v>538</v>
      </c>
      <c r="D89" s="885" t="s">
        <v>549</v>
      </c>
      <c r="E89" s="886" t="s">
        <v>550</v>
      </c>
    </row>
    <row r="90" spans="2:5" x14ac:dyDescent="0.25">
      <c r="B90" s="889" t="s">
        <v>526</v>
      </c>
      <c r="C90" s="885" t="s">
        <v>538</v>
      </c>
      <c r="D90" s="885" t="s">
        <v>551</v>
      </c>
      <c r="E90" s="886" t="s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topLeftCell="A58" zoomScaleNormal="100" zoomScaleSheetLayoutView="100" workbookViewId="0">
      <selection activeCell="B66" sqref="B66"/>
    </sheetView>
  </sheetViews>
  <sheetFormatPr defaultColWidth="9.36328125" defaultRowHeight="13" x14ac:dyDescent="0.25"/>
  <cols>
    <col min="1" max="1" width="4.36328125" style="163" customWidth="1"/>
    <col min="2" max="2" width="5.54296875" style="163" customWidth="1"/>
    <col min="3" max="3" width="16.36328125" style="163" customWidth="1"/>
    <col min="4" max="4" width="13.453125" style="163" customWidth="1"/>
    <col min="5" max="5" width="9.36328125" style="163" customWidth="1"/>
    <col min="6" max="6" width="11" style="163" customWidth="1"/>
    <col min="7" max="7" width="11.453125" style="163" customWidth="1"/>
    <col min="8" max="9" width="11.6328125" style="163" customWidth="1"/>
    <col min="10" max="11" width="13" style="163" customWidth="1"/>
    <col min="12" max="12" width="10.453125" style="163" customWidth="1"/>
    <col min="13" max="13" width="13.36328125" style="644" customWidth="1"/>
    <col min="14" max="14" width="13.6328125" style="644" bestFit="1" customWidth="1"/>
    <col min="15" max="15" width="10.54296875" style="644" customWidth="1"/>
    <col min="16" max="17" width="3" style="633" customWidth="1"/>
    <col min="18" max="20" width="9.36328125" style="633"/>
    <col min="21" max="21" width="11.6328125" style="633" customWidth="1"/>
    <col min="22" max="22" width="9.6328125" style="633" customWidth="1"/>
    <col min="23" max="16384" width="9.36328125" style="633"/>
  </cols>
  <sheetData>
    <row r="1" spans="1:32" ht="18.75" customHeight="1" x14ac:dyDescent="0.25">
      <c r="A1" s="1286" t="s">
        <v>125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</row>
    <row r="2" spans="1:32" ht="17" x14ac:dyDescent="0.25">
      <c r="B2" s="755"/>
      <c r="C2" s="755"/>
      <c r="D2" s="756"/>
      <c r="E2" s="756"/>
      <c r="G2" s="276"/>
      <c r="H2" s="797" t="str">
        <f>IF(PENYELIA!J79&gt;=70,'bank kata'!B4,'bank kata'!B5)</f>
        <v>Nomor Sertifikat : 19 /</v>
      </c>
      <c r="I2" s="415" t="s">
        <v>126</v>
      </c>
      <c r="J2" s="415"/>
      <c r="K2" s="379"/>
      <c r="L2" s="755"/>
      <c r="M2" s="757"/>
      <c r="N2" s="757"/>
      <c r="O2" s="757"/>
    </row>
    <row r="4" spans="1:32" ht="15" customHeight="1" x14ac:dyDescent="0.25">
      <c r="A4" s="253" t="s">
        <v>2</v>
      </c>
      <c r="B4" s="253"/>
      <c r="C4" s="253"/>
      <c r="D4" s="254" t="s">
        <v>3</v>
      </c>
      <c r="E4" s="409" t="s">
        <v>586</v>
      </c>
      <c r="F4" s="409"/>
      <c r="G4" s="409"/>
      <c r="H4" s="409"/>
      <c r="I4" s="409"/>
      <c r="J4" s="409"/>
      <c r="K4" s="253"/>
      <c r="L4" s="253"/>
      <c r="M4" s="636"/>
      <c r="N4" s="636"/>
      <c r="O4" s="636"/>
    </row>
    <row r="5" spans="1:32" ht="14.5" x14ac:dyDescent="0.25">
      <c r="A5" s="253" t="s">
        <v>5</v>
      </c>
      <c r="B5" s="253"/>
      <c r="C5" s="253"/>
      <c r="D5" s="254" t="s">
        <v>3</v>
      </c>
      <c r="E5" s="409" t="s">
        <v>587</v>
      </c>
      <c r="F5" s="409"/>
      <c r="G5" s="409"/>
      <c r="H5" s="409"/>
      <c r="I5" s="409"/>
      <c r="J5" s="409"/>
      <c r="K5" s="253"/>
      <c r="L5" s="253"/>
      <c r="M5" s="636"/>
      <c r="N5" s="636"/>
      <c r="O5" s="636"/>
    </row>
    <row r="6" spans="1:32" ht="14.5" x14ac:dyDescent="0.25">
      <c r="A6" s="253" t="s">
        <v>6</v>
      </c>
      <c r="B6" s="253"/>
      <c r="C6" s="253"/>
      <c r="D6" s="254" t="s">
        <v>3</v>
      </c>
      <c r="E6" s="410" t="s">
        <v>588</v>
      </c>
      <c r="F6" s="409"/>
      <c r="G6" s="409"/>
      <c r="H6" s="409"/>
      <c r="I6" s="409"/>
      <c r="J6" s="409"/>
      <c r="K6" s="253"/>
      <c r="L6" s="253"/>
      <c r="M6" s="636"/>
      <c r="N6" s="636"/>
      <c r="O6" s="636"/>
    </row>
    <row r="7" spans="1:32" ht="14.5" x14ac:dyDescent="0.25">
      <c r="A7" s="253" t="str">
        <f>LK!B7</f>
        <v>Tanggal Penerimaan Alat</v>
      </c>
      <c r="B7" s="253"/>
      <c r="C7" s="253"/>
      <c r="D7" s="254" t="s">
        <v>3</v>
      </c>
      <c r="E7" s="410" t="s">
        <v>624</v>
      </c>
      <c r="F7" s="409"/>
      <c r="G7" s="409"/>
      <c r="H7" s="409"/>
      <c r="I7" s="409"/>
      <c r="J7" s="409"/>
      <c r="K7" s="253"/>
      <c r="L7" s="253"/>
      <c r="M7" s="636"/>
      <c r="N7" s="636"/>
      <c r="O7" s="636"/>
    </row>
    <row r="8" spans="1:32" ht="14.5" x14ac:dyDescent="0.25">
      <c r="A8" s="253" t="s">
        <v>7</v>
      </c>
      <c r="B8" s="253"/>
      <c r="C8" s="253"/>
      <c r="D8" s="254" t="s">
        <v>3</v>
      </c>
      <c r="E8" s="410" t="s">
        <v>624</v>
      </c>
      <c r="F8" s="409"/>
      <c r="G8" s="409"/>
      <c r="H8" s="409"/>
      <c r="I8" s="409"/>
      <c r="J8" s="409"/>
      <c r="K8" s="253"/>
      <c r="L8" s="253"/>
      <c r="M8" s="636"/>
      <c r="N8" s="636"/>
      <c r="O8" s="636"/>
    </row>
    <row r="9" spans="1:32" ht="14.5" x14ac:dyDescent="0.25">
      <c r="A9" s="253" t="s">
        <v>8</v>
      </c>
      <c r="B9" s="253"/>
      <c r="C9" s="253"/>
      <c r="D9" s="254" t="s">
        <v>3</v>
      </c>
      <c r="E9" s="1255" t="s">
        <v>589</v>
      </c>
      <c r="F9" s="1255"/>
      <c r="G9" s="1255"/>
      <c r="H9" s="1255"/>
      <c r="I9" s="1255"/>
      <c r="J9" s="1255"/>
      <c r="K9" s="253"/>
      <c r="L9" s="253"/>
      <c r="M9" s="636"/>
      <c r="N9" s="633"/>
      <c r="O9" s="636"/>
    </row>
    <row r="10" spans="1:32" ht="14.5" x14ac:dyDescent="0.25">
      <c r="A10" s="253" t="s">
        <v>9</v>
      </c>
      <c r="B10" s="253"/>
      <c r="C10" s="253"/>
      <c r="D10" s="254" t="s">
        <v>3</v>
      </c>
      <c r="E10" s="414" t="s">
        <v>589</v>
      </c>
      <c r="F10" s="285"/>
      <c r="G10" s="285"/>
      <c r="H10" s="285"/>
      <c r="I10" s="285"/>
      <c r="J10" s="285"/>
      <c r="K10" s="253"/>
      <c r="L10" s="253"/>
      <c r="M10" s="636"/>
      <c r="N10" s="636"/>
      <c r="O10" s="636"/>
      <c r="Q10" s="678"/>
      <c r="R10" s="678"/>
      <c r="S10" s="678"/>
      <c r="T10" s="678"/>
      <c r="U10" s="678"/>
      <c r="V10" s="678"/>
      <c r="W10" s="678"/>
      <c r="X10" s="678"/>
      <c r="Y10" s="678"/>
      <c r="Z10" s="678"/>
      <c r="AA10" s="678"/>
      <c r="AB10" s="678"/>
      <c r="AC10" s="678"/>
      <c r="AD10" s="678"/>
      <c r="AE10" s="678"/>
    </row>
    <row r="11" spans="1:32" ht="14.5" x14ac:dyDescent="0.3">
      <c r="A11" s="253" t="s">
        <v>127</v>
      </c>
      <c r="B11" s="253"/>
      <c r="C11" s="253"/>
      <c r="D11" s="254" t="s">
        <v>3</v>
      </c>
      <c r="E11" s="427" t="s">
        <v>607</v>
      </c>
      <c r="F11" s="185"/>
      <c r="G11" s="185"/>
      <c r="H11" s="185"/>
      <c r="I11" s="185"/>
      <c r="J11" s="185"/>
      <c r="N11" s="636"/>
      <c r="O11" s="636"/>
      <c r="Q11" s="678"/>
      <c r="R11" s="678"/>
      <c r="S11" s="678"/>
      <c r="T11" s="678"/>
      <c r="U11" s="678"/>
      <c r="V11" s="678"/>
      <c r="W11" s="678"/>
      <c r="X11" s="678"/>
      <c r="Y11" s="678"/>
      <c r="Z11" s="678"/>
      <c r="AA11" s="678"/>
      <c r="AB11" s="678"/>
      <c r="AC11" s="678"/>
      <c r="AD11" s="678"/>
      <c r="AE11" s="678"/>
    </row>
    <row r="12" spans="1:32" ht="12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6"/>
      <c r="O12" s="636"/>
      <c r="Q12" s="678"/>
      <c r="R12" s="678"/>
      <c r="S12" s="678"/>
      <c r="T12" s="678"/>
      <c r="U12" s="678"/>
      <c r="V12" s="678"/>
      <c r="W12" s="678"/>
      <c r="X12" s="678"/>
      <c r="Y12" s="678"/>
      <c r="Z12" s="678"/>
      <c r="AA12" s="678"/>
      <c r="AB12" s="678"/>
      <c r="AC12" s="678"/>
      <c r="AD12" s="678"/>
      <c r="AE12" s="678"/>
    </row>
    <row r="13" spans="1:32" ht="14.5" x14ac:dyDescent="0.25">
      <c r="A13" s="256" t="s">
        <v>579</v>
      </c>
      <c r="B13" s="256" t="s">
        <v>11</v>
      </c>
      <c r="C13" s="256"/>
      <c r="D13" s="256"/>
      <c r="E13" s="758" t="s">
        <v>128</v>
      </c>
      <c r="F13" s="758" t="s">
        <v>129</v>
      </c>
      <c r="G13" s="1259" t="s">
        <v>130</v>
      </c>
      <c r="H13" s="1260"/>
      <c r="I13" s="819"/>
      <c r="J13" s="253"/>
      <c r="N13" s="759"/>
      <c r="O13" s="759"/>
      <c r="P13" s="760"/>
      <c r="Q13" s="760"/>
      <c r="R13" s="760"/>
      <c r="S13" s="760"/>
      <c r="T13" s="678"/>
      <c r="U13" s="678"/>
      <c r="V13" s="678"/>
      <c r="W13" s="678"/>
      <c r="X13" s="678"/>
      <c r="Y13" s="678"/>
      <c r="Z13" s="678"/>
      <c r="AA13" s="678"/>
      <c r="AB13" s="678"/>
      <c r="AC13" s="678"/>
      <c r="AD13" s="678"/>
      <c r="AE13" s="678"/>
    </row>
    <row r="14" spans="1:32" ht="15" customHeight="1" x14ac:dyDescent="0.3">
      <c r="A14" s="253"/>
      <c r="B14" s="253" t="s">
        <v>14</v>
      </c>
      <c r="C14" s="253"/>
      <c r="D14" s="254" t="s">
        <v>3</v>
      </c>
      <c r="E14" s="411">
        <v>25</v>
      </c>
      <c r="F14" s="411">
        <v>25.3</v>
      </c>
      <c r="G14" s="1261">
        <f>'DB Thermohygro'!M348</f>
        <v>25.286504031423416</v>
      </c>
      <c r="H14" s="1262"/>
      <c r="I14" s="166" t="s">
        <v>15</v>
      </c>
      <c r="P14" s="761"/>
      <c r="Q14" s="761"/>
      <c r="R14" s="892"/>
      <c r="S14" s="892"/>
      <c r="T14" s="892"/>
      <c r="U14" s="892"/>
      <c r="V14" s="892"/>
      <c r="W14" s="892"/>
      <c r="X14" s="892"/>
      <c r="Y14" s="892"/>
      <c r="Z14" s="892"/>
      <c r="AA14" s="892"/>
      <c r="AB14" s="892"/>
      <c r="AC14" s="892"/>
      <c r="AD14" s="892"/>
      <c r="AE14" s="892"/>
      <c r="AF14" s="762"/>
    </row>
    <row r="15" spans="1:32" ht="14.5" x14ac:dyDescent="0.3">
      <c r="A15" s="253"/>
      <c r="B15" s="253" t="s">
        <v>16</v>
      </c>
      <c r="C15" s="253"/>
      <c r="D15" s="254" t="s">
        <v>3</v>
      </c>
      <c r="E15" s="411">
        <v>65.099999999999994</v>
      </c>
      <c r="F15" s="411">
        <v>65.2</v>
      </c>
      <c r="G15" s="1261">
        <f>'DB Thermohygro'!M349</f>
        <v>63.175142857142859</v>
      </c>
      <c r="H15" s="1262"/>
      <c r="I15" s="166" t="s">
        <v>17</v>
      </c>
      <c r="K15" s="253"/>
      <c r="L15" s="636"/>
      <c r="M15" s="763"/>
      <c r="N15" s="763"/>
      <c r="O15" s="764"/>
      <c r="Q15" s="678"/>
      <c r="R15" s="678"/>
      <c r="S15" s="892"/>
      <c r="T15" s="892"/>
      <c r="U15" s="892"/>
      <c r="V15" s="892"/>
      <c r="W15" s="892"/>
      <c r="X15" s="892"/>
      <c r="Y15" s="892"/>
      <c r="Z15" s="892"/>
      <c r="AA15" s="892"/>
      <c r="AB15" s="892"/>
      <c r="AC15" s="892"/>
      <c r="AD15" s="892"/>
      <c r="AE15" s="892"/>
      <c r="AF15" s="762"/>
    </row>
    <row r="16" spans="1:32" ht="14.5" x14ac:dyDescent="0.3">
      <c r="A16" s="253"/>
      <c r="B16" s="166" t="s">
        <v>18</v>
      </c>
      <c r="C16" s="253"/>
      <c r="D16" s="254" t="s">
        <v>3</v>
      </c>
      <c r="E16" s="1256">
        <v>220</v>
      </c>
      <c r="F16" s="1257"/>
      <c r="G16" s="1263"/>
      <c r="H16" s="1264"/>
      <c r="I16" s="765" t="s">
        <v>19</v>
      </c>
      <c r="K16" s="253"/>
      <c r="L16" s="636"/>
      <c r="M16" s="636"/>
      <c r="N16" s="636"/>
      <c r="O16" s="633"/>
      <c r="Q16" s="678"/>
      <c r="R16" s="678"/>
      <c r="S16" s="892"/>
      <c r="T16" s="892"/>
      <c r="U16" s="892"/>
      <c r="V16" s="892"/>
      <c r="W16" s="892"/>
      <c r="X16" s="892"/>
      <c r="Y16" s="892"/>
      <c r="Z16" s="892"/>
      <c r="AA16" s="893"/>
      <c r="AB16" s="894"/>
      <c r="AC16" s="892"/>
      <c r="AD16" s="892"/>
      <c r="AE16" s="892"/>
      <c r="AF16" s="762"/>
    </row>
    <row r="17" spans="1:32" ht="12" customHeight="1" x14ac:dyDescent="0.3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6"/>
      <c r="N17" s="636"/>
      <c r="O17" s="636"/>
      <c r="Q17" s="678"/>
      <c r="R17" s="678"/>
      <c r="S17" s="892"/>
      <c r="T17" s="892"/>
      <c r="U17" s="892"/>
      <c r="V17" s="892"/>
      <c r="W17" s="892"/>
      <c r="X17" s="892"/>
      <c r="Y17" s="892"/>
      <c r="Z17" s="892"/>
      <c r="AA17" s="893"/>
      <c r="AB17" s="892"/>
      <c r="AC17" s="892"/>
      <c r="AD17" s="892"/>
      <c r="AE17" s="892"/>
      <c r="AF17" s="762"/>
    </row>
    <row r="18" spans="1:32" ht="14.5" x14ac:dyDescent="0.3">
      <c r="A18" s="256" t="s">
        <v>580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6"/>
      <c r="N18" s="636"/>
      <c r="O18" s="636"/>
      <c r="Q18" s="678"/>
      <c r="R18" s="678"/>
      <c r="S18" s="892"/>
      <c r="T18" s="892"/>
      <c r="U18" s="892"/>
      <c r="V18" s="892"/>
      <c r="W18" s="892"/>
      <c r="X18" s="892"/>
      <c r="Y18" s="892"/>
      <c r="Z18" s="892"/>
      <c r="AA18" s="895"/>
      <c r="AB18" s="894"/>
      <c r="AC18" s="892"/>
      <c r="AD18" s="892"/>
      <c r="AE18" s="892"/>
      <c r="AF18" s="762"/>
    </row>
    <row r="19" spans="1:32" ht="14.5" x14ac:dyDescent="0.3">
      <c r="A19" s="253"/>
      <c r="B19" s="253" t="s">
        <v>23</v>
      </c>
      <c r="C19" s="253"/>
      <c r="D19" s="254" t="s">
        <v>3</v>
      </c>
      <c r="E19" s="409" t="s">
        <v>61</v>
      </c>
      <c r="F19" s="253"/>
      <c r="G19" s="253"/>
      <c r="H19" s="253"/>
      <c r="I19" s="253"/>
      <c r="J19" s="253"/>
      <c r="K19" s="253"/>
      <c r="L19" s="253"/>
      <c r="M19" s="636"/>
      <c r="N19" s="636"/>
      <c r="O19" s="636"/>
      <c r="Q19" s="678"/>
      <c r="R19" s="678"/>
      <c r="S19" s="892"/>
      <c r="T19" s="892"/>
      <c r="U19" s="892"/>
      <c r="V19" s="892"/>
      <c r="W19" s="892"/>
      <c r="X19" s="892"/>
      <c r="Y19" s="892"/>
      <c r="Z19" s="892"/>
      <c r="AA19" s="893"/>
      <c r="AB19" s="896"/>
      <c r="AC19" s="892"/>
      <c r="AD19" s="892"/>
      <c r="AE19" s="892"/>
      <c r="AF19" s="762"/>
    </row>
    <row r="20" spans="1:32" ht="14.5" x14ac:dyDescent="0.3">
      <c r="A20" s="253"/>
      <c r="B20" s="253" t="s">
        <v>26</v>
      </c>
      <c r="C20" s="253"/>
      <c r="D20" s="254" t="s">
        <v>3</v>
      </c>
      <c r="E20" s="409" t="s">
        <v>61</v>
      </c>
      <c r="F20" s="253"/>
      <c r="G20" s="253"/>
      <c r="H20" s="253"/>
      <c r="I20" s="253"/>
      <c r="J20" s="253"/>
      <c r="K20" s="253"/>
      <c r="L20" s="253"/>
      <c r="M20" s="636"/>
      <c r="N20" s="636"/>
      <c r="O20" s="636"/>
      <c r="Q20" s="678"/>
      <c r="R20" s="892"/>
      <c r="S20" s="892"/>
      <c r="T20" s="892"/>
      <c r="U20" s="892"/>
      <c r="V20" s="892"/>
      <c r="W20" s="892"/>
      <c r="X20" s="892"/>
      <c r="Y20" s="892"/>
      <c r="Z20" s="892"/>
      <c r="AA20" s="897"/>
      <c r="AB20" s="894"/>
      <c r="AC20" s="892"/>
      <c r="AD20" s="892"/>
      <c r="AE20" s="892"/>
      <c r="AF20" s="762"/>
    </row>
    <row r="21" spans="1:32" ht="12" customHeight="1" x14ac:dyDescent="0.3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6"/>
      <c r="N21" s="636"/>
      <c r="O21" s="636"/>
      <c r="Q21" s="678"/>
      <c r="R21" s="892"/>
      <c r="S21" s="892"/>
      <c r="T21" s="892"/>
      <c r="U21" s="892"/>
      <c r="V21" s="892"/>
      <c r="W21" s="892"/>
      <c r="X21" s="892"/>
      <c r="Y21" s="892"/>
      <c r="Z21" s="892"/>
      <c r="AA21" s="892"/>
      <c r="AB21" s="898"/>
      <c r="AC21" s="892"/>
      <c r="AD21" s="892"/>
      <c r="AE21" s="892"/>
      <c r="AF21" s="762"/>
    </row>
    <row r="22" spans="1:32" ht="14.5" x14ac:dyDescent="0.3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6"/>
      <c r="N22" s="633"/>
      <c r="O22" s="633"/>
      <c r="Q22" s="767"/>
      <c r="R22" s="892"/>
      <c r="S22" s="892"/>
      <c r="T22" s="892"/>
      <c r="U22" s="892"/>
      <c r="V22" s="892"/>
      <c r="W22" s="892"/>
      <c r="X22" s="892"/>
      <c r="Y22" s="892"/>
      <c r="Z22" s="892"/>
      <c r="AA22" s="899"/>
      <c r="AB22" s="900"/>
      <c r="AC22" s="892"/>
      <c r="AD22" s="892"/>
      <c r="AE22" s="892"/>
      <c r="AF22" s="762"/>
    </row>
    <row r="23" spans="1:32" ht="12.75" customHeight="1" x14ac:dyDescent="0.3">
      <c r="B23" s="1221" t="s">
        <v>133</v>
      </c>
      <c r="C23" s="1223" t="s">
        <v>30</v>
      </c>
      <c r="D23" s="1232"/>
      <c r="E23" s="1232"/>
      <c r="F23" s="1232"/>
      <c r="G23" s="1232"/>
      <c r="H23" s="1224"/>
      <c r="I23" s="1223" t="s">
        <v>31</v>
      </c>
      <c r="J23" s="1224"/>
      <c r="K23" s="1223" t="s">
        <v>134</v>
      </c>
      <c r="L23" s="1224"/>
      <c r="M23" s="636"/>
      <c r="N23" s="633"/>
      <c r="O23" s="633"/>
      <c r="P23" s="678"/>
      <c r="Q23" s="767"/>
      <c r="R23" s="185"/>
      <c r="S23" s="185"/>
      <c r="T23" s="185"/>
      <c r="U23" s="185"/>
      <c r="V23" s="185"/>
      <c r="W23" s="185"/>
      <c r="X23" s="892"/>
      <c r="Y23" s="892"/>
      <c r="Z23" s="892"/>
      <c r="AA23" s="894"/>
      <c r="AB23" s="892"/>
      <c r="AC23" s="892"/>
      <c r="AD23" s="892"/>
      <c r="AE23" s="892"/>
      <c r="AF23" s="762"/>
    </row>
    <row r="24" spans="1:32" ht="14.5" x14ac:dyDescent="0.3">
      <c r="B24" s="1222"/>
      <c r="C24" s="1225"/>
      <c r="D24" s="1233"/>
      <c r="E24" s="1233"/>
      <c r="F24" s="1233"/>
      <c r="G24" s="1233"/>
      <c r="H24" s="1226"/>
      <c r="I24" s="1225"/>
      <c r="J24" s="1226"/>
      <c r="K24" s="1225" t="s">
        <v>135</v>
      </c>
      <c r="L24" s="1226"/>
      <c r="M24" s="636"/>
      <c r="N24" s="633"/>
      <c r="O24" s="633"/>
      <c r="P24" s="678"/>
      <c r="Q24" s="767"/>
      <c r="R24" s="185"/>
      <c r="S24" s="185"/>
      <c r="T24" s="185"/>
      <c r="U24" s="185"/>
      <c r="V24" s="185"/>
      <c r="W24" s="185"/>
      <c r="X24" s="892"/>
      <c r="Y24" s="892"/>
      <c r="Z24" s="892"/>
      <c r="AA24" s="892"/>
      <c r="AB24" s="892"/>
      <c r="AC24" s="892"/>
      <c r="AD24" s="892"/>
      <c r="AE24" s="892"/>
      <c r="AF24" s="762"/>
    </row>
    <row r="25" spans="1:32" ht="15.75" customHeight="1" x14ac:dyDescent="0.3">
      <c r="B25" s="263">
        <v>1</v>
      </c>
      <c r="C25" s="1234" t="s">
        <v>136</v>
      </c>
      <c r="D25" s="1235"/>
      <c r="E25" s="1235"/>
      <c r="F25" s="1235"/>
      <c r="G25" s="1235"/>
      <c r="H25" s="1236"/>
      <c r="I25" s="412" t="s">
        <v>493</v>
      </c>
      <c r="J25" s="794" t="str">
        <f>IF(I25="-","",IF(I25="OL","","MΩ"))</f>
        <v/>
      </c>
      <c r="K25" s="428" t="s">
        <v>35</v>
      </c>
      <c r="L25" s="429" t="s">
        <v>34</v>
      </c>
      <c r="O25" s="633"/>
      <c r="P25" s="768"/>
      <c r="Q25" s="795"/>
      <c r="R25" s="1282" t="s">
        <v>131</v>
      </c>
      <c r="S25" s="1283"/>
      <c r="T25" s="1202" t="s">
        <v>43</v>
      </c>
      <c r="U25" s="1202" t="s">
        <v>58</v>
      </c>
      <c r="W25" s="956"/>
      <c r="X25" s="892"/>
      <c r="Y25" s="892"/>
      <c r="Z25" s="892"/>
      <c r="AA25" s="892"/>
      <c r="AB25" s="892"/>
      <c r="AC25" s="892"/>
      <c r="AD25" s="892"/>
      <c r="AE25" s="892"/>
      <c r="AF25" s="762"/>
    </row>
    <row r="26" spans="1:32" ht="15.5" x14ac:dyDescent="0.3">
      <c r="B26" s="263">
        <v>2</v>
      </c>
      <c r="C26" s="1237" t="s">
        <v>137</v>
      </c>
      <c r="D26" s="1238"/>
      <c r="E26" s="1238"/>
      <c r="F26" s="1238"/>
      <c r="G26" s="1238"/>
      <c r="H26" s="1239"/>
      <c r="I26" s="413" t="s">
        <v>493</v>
      </c>
      <c r="J26" s="794" t="str">
        <f>IF(I26="-","",IF(I26="OL","",IF(I26="NC","",IF(I26="OR","","Ω"))))</f>
        <v/>
      </c>
      <c r="K26" s="268" t="str">
        <f>IF(C26='bank kata'!D10,'bank kata'!C10,'bank kata'!C11)</f>
        <v>≤ 0.2</v>
      </c>
      <c r="L26" s="429" t="s">
        <v>38</v>
      </c>
      <c r="O26" s="633"/>
      <c r="P26" s="768"/>
      <c r="Q26" s="795"/>
      <c r="R26" s="1284"/>
      <c r="S26" s="1285"/>
      <c r="T26" s="1202"/>
      <c r="U26" s="1202"/>
      <c r="W26" s="956"/>
      <c r="AA26" s="892"/>
      <c r="AB26" s="892"/>
      <c r="AC26" s="892"/>
      <c r="AD26" s="892"/>
      <c r="AE26" s="892"/>
      <c r="AF26" s="762"/>
    </row>
    <row r="27" spans="1:32" ht="15.5" x14ac:dyDescent="0.3">
      <c r="B27" s="263">
        <v>3</v>
      </c>
      <c r="C27" s="1237" t="s">
        <v>138</v>
      </c>
      <c r="D27" s="1238"/>
      <c r="E27" s="1238"/>
      <c r="F27" s="1238"/>
      <c r="G27" s="1238"/>
      <c r="H27" s="1239"/>
      <c r="I27" s="441">
        <v>700</v>
      </c>
      <c r="J27" s="794" t="str">
        <f>IF(I27="-","",IF(I27="OL","","µA"))</f>
        <v>µA</v>
      </c>
      <c r="K27" s="906">
        <f>IF(C27='bank kata'!D12,'bank kata'!C12,'bank kata'!C13)</f>
        <v>500</v>
      </c>
      <c r="L27" s="429" t="s">
        <v>43</v>
      </c>
      <c r="O27" s="636"/>
      <c r="P27" s="768"/>
      <c r="Q27" s="795"/>
      <c r="R27" s="890" t="s">
        <v>557</v>
      </c>
      <c r="S27" s="891" t="s">
        <v>558</v>
      </c>
      <c r="T27" s="943">
        <v>12</v>
      </c>
      <c r="U27" s="902">
        <v>100</v>
      </c>
      <c r="W27" s="956"/>
      <c r="AA27" s="892"/>
      <c r="AB27" s="892"/>
      <c r="AC27" s="892"/>
      <c r="AD27" s="892"/>
      <c r="AE27" s="892"/>
      <c r="AF27" s="762"/>
    </row>
    <row r="28" spans="1:32" ht="15.5" x14ac:dyDescent="0.3">
      <c r="B28" s="263">
        <v>4</v>
      </c>
      <c r="C28" s="1240" t="s">
        <v>47</v>
      </c>
      <c r="D28" s="1241"/>
      <c r="E28" s="1241"/>
      <c r="F28" s="1241"/>
      <c r="G28" s="1241"/>
      <c r="H28" s="1242"/>
      <c r="I28" s="441">
        <v>20</v>
      </c>
      <c r="J28" s="794" t="str">
        <f>IF(I28="-","",IF(I28="OL","","µA"))</f>
        <v>µA</v>
      </c>
      <c r="K28" s="268" t="s">
        <v>48</v>
      </c>
      <c r="L28" s="429" t="s">
        <v>43</v>
      </c>
      <c r="O28" s="636"/>
      <c r="P28" s="768"/>
      <c r="Q28" s="795"/>
      <c r="W28" s="956"/>
      <c r="AA28" s="892"/>
      <c r="AB28" s="892"/>
      <c r="AC28" s="892"/>
      <c r="AD28" s="892"/>
      <c r="AE28" s="892"/>
      <c r="AF28" s="762"/>
    </row>
    <row r="29" spans="1:32" ht="12" customHeight="1" x14ac:dyDescent="0.3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6"/>
      <c r="N29" s="636"/>
      <c r="O29" s="636"/>
      <c r="Q29" s="796"/>
      <c r="R29" s="185"/>
      <c r="W29" s="956"/>
      <c r="X29" s="892"/>
      <c r="Y29" s="892"/>
      <c r="Z29" s="892"/>
      <c r="AA29" s="892"/>
      <c r="AB29" s="892"/>
      <c r="AC29" s="892"/>
      <c r="AD29" s="892"/>
      <c r="AE29" s="892"/>
      <c r="AF29" s="762"/>
    </row>
    <row r="30" spans="1:32" ht="14.5" x14ac:dyDescent="0.3">
      <c r="A30" s="256" t="s">
        <v>51</v>
      </c>
      <c r="B30" s="256" t="str">
        <f>LK!C31</f>
        <v>Pengujian Kinerja</v>
      </c>
      <c r="D30" s="253"/>
      <c r="P30" s="769"/>
      <c r="Q30" s="796"/>
      <c r="R30" s="185"/>
      <c r="W30" s="149"/>
      <c r="X30" s="892"/>
      <c r="Y30" s="892"/>
      <c r="Z30" s="892"/>
      <c r="AA30" s="892"/>
      <c r="AB30" s="892"/>
      <c r="AC30" s="892"/>
      <c r="AD30" s="892"/>
      <c r="AE30" s="892"/>
      <c r="AF30" s="762"/>
    </row>
    <row r="31" spans="1:32" ht="17.25" customHeight="1" x14ac:dyDescent="0.3">
      <c r="A31" s="256"/>
      <c r="B31" s="770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6"/>
      <c r="N31" s="636"/>
      <c r="O31" s="636"/>
      <c r="Q31" s="678"/>
      <c r="R31" s="185"/>
      <c r="S31" s="149"/>
      <c r="T31" s="149"/>
      <c r="U31" s="149"/>
      <c r="V31" s="149"/>
      <c r="W31" s="149"/>
      <c r="X31" s="678"/>
      <c r="Y31" s="678"/>
      <c r="Z31" s="678"/>
      <c r="AA31" s="678"/>
      <c r="AB31" s="678"/>
      <c r="AC31" s="678"/>
      <c r="AD31" s="678"/>
      <c r="AE31" s="678"/>
    </row>
    <row r="32" spans="1:32" ht="18" customHeight="1" x14ac:dyDescent="0.25">
      <c r="A32" s="633"/>
      <c r="B32" s="1243" t="s">
        <v>29</v>
      </c>
      <c r="C32" s="1231" t="s">
        <v>30</v>
      </c>
      <c r="D32" s="1231"/>
      <c r="E32" s="1229" t="s">
        <v>56</v>
      </c>
      <c r="F32" s="1230" t="s">
        <v>140</v>
      </c>
      <c r="G32" s="1230"/>
      <c r="H32" s="633"/>
      <c r="I32" s="633"/>
      <c r="J32" s="633"/>
      <c r="K32" s="633"/>
      <c r="L32" s="633"/>
      <c r="M32" s="636"/>
      <c r="N32" s="636"/>
      <c r="O32" s="636"/>
      <c r="Q32" s="678"/>
      <c r="R32" s="185"/>
      <c r="S32" s="149"/>
      <c r="T32" s="149"/>
      <c r="U32" s="149"/>
      <c r="V32" s="149"/>
      <c r="W32" s="149"/>
      <c r="X32" s="678"/>
      <c r="Y32" s="678"/>
      <c r="Z32" s="678"/>
      <c r="AA32" s="678"/>
      <c r="AB32" s="678"/>
      <c r="AC32" s="678"/>
      <c r="AD32" s="678"/>
      <c r="AE32" s="678"/>
    </row>
    <row r="33" spans="1:31" ht="18" customHeight="1" x14ac:dyDescent="0.25">
      <c r="A33" s="633"/>
      <c r="B33" s="1244"/>
      <c r="C33" s="1231"/>
      <c r="D33" s="1231"/>
      <c r="E33" s="1230"/>
      <c r="F33" s="1230"/>
      <c r="G33" s="1230"/>
      <c r="H33" s="633"/>
      <c r="I33" s="633"/>
      <c r="J33" s="633"/>
      <c r="K33" s="633"/>
      <c r="L33" s="633"/>
      <c r="M33" s="636"/>
      <c r="N33" s="633"/>
      <c r="O33" s="636"/>
      <c r="Q33" s="678"/>
      <c r="R33" s="185"/>
      <c r="S33" s="185"/>
      <c r="T33" s="185"/>
      <c r="U33" s="185"/>
      <c r="V33" s="185"/>
      <c r="W33" s="185"/>
      <c r="X33" s="901"/>
      <c r="Y33" s="901"/>
      <c r="Z33" s="901"/>
      <c r="AA33" s="901"/>
      <c r="AB33" s="901"/>
      <c r="AC33" s="901"/>
      <c r="AD33" s="901"/>
      <c r="AE33" s="901"/>
    </row>
    <row r="34" spans="1:31" ht="15" customHeight="1" x14ac:dyDescent="0.25">
      <c r="A34" s="633"/>
      <c r="B34" s="1287">
        <v>1</v>
      </c>
      <c r="C34" s="1246" t="s">
        <v>59</v>
      </c>
      <c r="D34" s="1246"/>
      <c r="E34" s="1246" t="s">
        <v>60</v>
      </c>
      <c r="F34" s="1258" t="s">
        <v>61</v>
      </c>
      <c r="G34" s="1258"/>
      <c r="H34" s="633"/>
      <c r="I34" s="633"/>
      <c r="J34" s="633"/>
      <c r="K34" s="633"/>
      <c r="L34" s="633"/>
      <c r="M34" s="636"/>
      <c r="N34" s="633"/>
      <c r="O34" s="636"/>
    </row>
    <row r="35" spans="1:31" ht="14.5" x14ac:dyDescent="0.25">
      <c r="A35" s="633"/>
      <c r="B35" s="1288"/>
      <c r="C35" s="1246"/>
      <c r="D35" s="1246"/>
      <c r="E35" s="1246"/>
      <c r="F35" s="1258"/>
      <c r="G35" s="1258"/>
      <c r="H35" s="633"/>
      <c r="I35" s="633"/>
      <c r="J35" s="633"/>
      <c r="K35" s="633"/>
      <c r="L35" s="633"/>
      <c r="M35" s="636"/>
      <c r="N35" s="636"/>
      <c r="O35" s="636"/>
    </row>
    <row r="36" spans="1:31" ht="9" customHeight="1" x14ac:dyDescent="0.25">
      <c r="A36" s="645"/>
      <c r="B36" s="646"/>
      <c r="C36" s="647"/>
      <c r="D36" s="270"/>
      <c r="E36" s="270"/>
      <c r="F36" s="270"/>
      <c r="G36" s="270"/>
      <c r="H36" s="270"/>
      <c r="I36" s="253"/>
      <c r="J36" s="253"/>
      <c r="K36" s="253"/>
      <c r="L36" s="253"/>
      <c r="M36" s="636"/>
      <c r="N36" s="636"/>
      <c r="O36" s="636"/>
    </row>
    <row r="37" spans="1:31" ht="14.5" x14ac:dyDescent="0.25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6"/>
      <c r="N37" s="636"/>
      <c r="O37" s="636"/>
      <c r="X37" s="771"/>
      <c r="Z37" s="771"/>
    </row>
    <row r="38" spans="1:31" ht="24.75" customHeight="1" x14ac:dyDescent="0.25">
      <c r="A38" s="633"/>
      <c r="B38" s="1243" t="s">
        <v>29</v>
      </c>
      <c r="C38" s="1243" t="s">
        <v>30</v>
      </c>
      <c r="D38" s="1266" t="s">
        <v>86</v>
      </c>
      <c r="E38" s="1229" t="s">
        <v>67</v>
      </c>
      <c r="F38" s="1229"/>
      <c r="G38" s="1250" t="s">
        <v>68</v>
      </c>
      <c r="H38" s="1251"/>
      <c r="I38" s="1251"/>
      <c r="J38" s="1251"/>
      <c r="K38" s="1252"/>
      <c r="L38" s="1227" t="s">
        <v>141</v>
      </c>
      <c r="M38" s="1227" t="s">
        <v>142</v>
      </c>
      <c r="N38" s="772" t="s">
        <v>143</v>
      </c>
      <c r="O38" s="633"/>
    </row>
    <row r="39" spans="1:31" ht="24.75" customHeight="1" x14ac:dyDescent="0.25">
      <c r="A39" s="633"/>
      <c r="B39" s="1244"/>
      <c r="C39" s="1245"/>
      <c r="D39" s="1289"/>
      <c r="E39" s="1229"/>
      <c r="F39" s="1229"/>
      <c r="G39" s="773" t="s">
        <v>69</v>
      </c>
      <c r="H39" s="773" t="s">
        <v>70</v>
      </c>
      <c r="I39" s="773" t="s">
        <v>71</v>
      </c>
      <c r="J39" s="773" t="s">
        <v>72</v>
      </c>
      <c r="K39" s="773" t="s">
        <v>73</v>
      </c>
      <c r="L39" s="1228"/>
      <c r="M39" s="1228"/>
      <c r="N39" s="774"/>
      <c r="O39" s="633"/>
      <c r="U39" s="775" t="s">
        <v>144</v>
      </c>
      <c r="V39" s="776" t="s">
        <v>145</v>
      </c>
      <c r="W39" s="777"/>
    </row>
    <row r="40" spans="1:31" ht="14" x14ac:dyDescent="0.25">
      <c r="A40" s="633"/>
      <c r="B40" s="1268">
        <v>1</v>
      </c>
      <c r="C40" s="1271" t="str">
        <f>LK!D55</f>
        <v>Sensitivitas</v>
      </c>
      <c r="D40" s="619">
        <v>5</v>
      </c>
      <c r="E40" s="1265">
        <v>5</v>
      </c>
      <c r="F40" s="1265"/>
      <c r="G40" s="435">
        <v>4.93</v>
      </c>
      <c r="H40" s="435">
        <v>4.93</v>
      </c>
      <c r="I40" s="435">
        <v>4.93</v>
      </c>
      <c r="J40" s="435">
        <v>4.92</v>
      </c>
      <c r="K40" s="435">
        <v>4.92</v>
      </c>
      <c r="L40" s="620">
        <f>AVERAGE(G40:K40)</f>
        <v>4.9260000000000002</v>
      </c>
      <c r="M40" s="620">
        <f>L40+'DB CALIPER'!C68-U40</f>
        <v>4.9193343333333335</v>
      </c>
      <c r="N40" s="620">
        <f>STDEV(G40:K40)</f>
        <v>5.4772255750515442E-3</v>
      </c>
      <c r="O40" s="633"/>
      <c r="U40" s="778">
        <f>UB!D9</f>
        <v>6.6666666666666662E-3</v>
      </c>
      <c r="V40" s="778">
        <f>'DB CALIPER'!C68</f>
        <v>9.9999999999999995E-7</v>
      </c>
      <c r="W40" s="779"/>
    </row>
    <row r="41" spans="1:31" ht="14" x14ac:dyDescent="0.25">
      <c r="A41" s="633"/>
      <c r="B41" s="1269"/>
      <c r="C41" s="1272"/>
      <c r="D41" s="619">
        <v>10</v>
      </c>
      <c r="E41" s="1265">
        <v>10</v>
      </c>
      <c r="F41" s="1265"/>
      <c r="G41" s="435">
        <v>9.92</v>
      </c>
      <c r="H41" s="435">
        <v>9.92</v>
      </c>
      <c r="I41" s="435">
        <v>9.92</v>
      </c>
      <c r="J41" s="435">
        <v>9.91</v>
      </c>
      <c r="K41" s="435">
        <v>9.91</v>
      </c>
      <c r="L41" s="620">
        <f>AVERAGE(G41:K41)</f>
        <v>9.9160000000000004</v>
      </c>
      <c r="M41" s="620">
        <f>L41+'DB CALIPER'!C71-U41</f>
        <v>9.9093343333333337</v>
      </c>
      <c r="N41" s="620">
        <f>STDEV(G41:K41)</f>
        <v>5.4772255750515442E-3</v>
      </c>
      <c r="O41" s="633"/>
      <c r="U41" s="778">
        <f>UB!D23</f>
        <v>6.6666666666666662E-3</v>
      </c>
      <c r="V41" s="778">
        <f>'DB CALIPER'!C71</f>
        <v>9.9999999999999995E-7</v>
      </c>
      <c r="W41" s="779"/>
    </row>
    <row r="42" spans="1:31" ht="14" x14ac:dyDescent="0.25">
      <c r="A42" s="633"/>
      <c r="B42" s="1270"/>
      <c r="C42" s="1273"/>
      <c r="D42" s="619">
        <v>20</v>
      </c>
      <c r="E42" s="1265">
        <v>20</v>
      </c>
      <c r="F42" s="1265"/>
      <c r="G42" s="435">
        <v>20.28</v>
      </c>
      <c r="H42" s="435">
        <v>20.28</v>
      </c>
      <c r="I42" s="435">
        <v>20.29</v>
      </c>
      <c r="J42" s="435">
        <v>20.29</v>
      </c>
      <c r="K42" s="435">
        <v>20.29</v>
      </c>
      <c r="L42" s="620">
        <f>AVERAGE(G42:K42)</f>
        <v>20.286000000000001</v>
      </c>
      <c r="M42" s="620">
        <f>L42+'DB CALIPER'!C74-U42</f>
        <v>20.279334333333335</v>
      </c>
      <c r="N42" s="620">
        <f>STDEV(G42:K42)</f>
        <v>5.4772255750505719E-3</v>
      </c>
      <c r="O42" s="633"/>
      <c r="U42" s="778">
        <f>UB!D37</f>
        <v>6.6666666666666662E-3</v>
      </c>
      <c r="V42" s="778">
        <f>'DB CALIPER'!C74</f>
        <v>9.9999999999999995E-7</v>
      </c>
      <c r="W42" s="779"/>
    </row>
    <row r="43" spans="1:31" ht="9" customHeight="1" x14ac:dyDescent="0.25">
      <c r="A43" s="736"/>
      <c r="B43" s="653"/>
      <c r="C43" s="654"/>
      <c r="D43" s="655"/>
      <c r="E43" s="656"/>
      <c r="F43" s="656"/>
      <c r="G43" s="656"/>
      <c r="H43" s="656"/>
      <c r="I43" s="656"/>
      <c r="J43" s="780"/>
      <c r="K43" s="659"/>
      <c r="L43" s="253"/>
      <c r="M43" s="636"/>
      <c r="N43" s="636"/>
      <c r="O43" s="636"/>
    </row>
    <row r="44" spans="1:31" ht="14.5" x14ac:dyDescent="0.25">
      <c r="A44" s="256"/>
      <c r="B44" s="256" t="str">
        <f>LK!C59</f>
        <v>c. Kalibrasi Laju Rekaman</v>
      </c>
      <c r="C44" s="646"/>
      <c r="D44" s="659"/>
      <c r="E44" s="657"/>
      <c r="F44" s="657"/>
      <c r="G44" s="657"/>
      <c r="H44" s="657"/>
      <c r="I44" s="657"/>
      <c r="J44" s="658"/>
      <c r="K44" s="659"/>
      <c r="L44" s="253"/>
      <c r="M44" s="636"/>
      <c r="N44" s="636"/>
      <c r="O44" s="636"/>
    </row>
    <row r="45" spans="1:31" ht="14" x14ac:dyDescent="0.25">
      <c r="A45" s="633"/>
      <c r="B45" s="1231" t="s">
        <v>29</v>
      </c>
      <c r="C45" s="1231" t="s">
        <v>30</v>
      </c>
      <c r="D45" s="1229" t="s">
        <v>56</v>
      </c>
      <c r="E45" s="1229" t="s">
        <v>146</v>
      </c>
      <c r="F45" s="1250" t="s">
        <v>68</v>
      </c>
      <c r="G45" s="1251"/>
      <c r="H45" s="1252"/>
      <c r="I45" s="1227" t="s">
        <v>141</v>
      </c>
      <c r="J45" s="1227" t="s">
        <v>142</v>
      </c>
      <c r="K45" s="1275" t="s">
        <v>143</v>
      </c>
      <c r="L45" s="1230" t="s">
        <v>147</v>
      </c>
      <c r="M45" s="1230"/>
      <c r="N45" s="633"/>
      <c r="O45" s="633"/>
    </row>
    <row r="46" spans="1:31" ht="14" x14ac:dyDescent="0.25">
      <c r="A46" s="633"/>
      <c r="B46" s="1231"/>
      <c r="C46" s="1274"/>
      <c r="D46" s="1230"/>
      <c r="E46" s="1230"/>
      <c r="F46" s="781" t="s">
        <v>69</v>
      </c>
      <c r="G46" s="781" t="s">
        <v>70</v>
      </c>
      <c r="H46" s="781" t="s">
        <v>71</v>
      </c>
      <c r="I46" s="1228"/>
      <c r="J46" s="1228"/>
      <c r="K46" s="1275"/>
      <c r="L46" s="1230"/>
      <c r="M46" s="1230"/>
      <c r="N46" s="633"/>
      <c r="O46" s="633"/>
      <c r="U46" s="775" t="s">
        <v>144</v>
      </c>
      <c r="V46" s="775" t="s">
        <v>148</v>
      </c>
      <c r="W46" s="775" t="s">
        <v>149</v>
      </c>
    </row>
    <row r="47" spans="1:31" ht="45" customHeight="1" x14ac:dyDescent="0.25">
      <c r="A47" s="633"/>
      <c r="B47" s="782">
        <v>1</v>
      </c>
      <c r="C47" s="783" t="s">
        <v>81</v>
      </c>
      <c r="D47" s="667" t="s">
        <v>578</v>
      </c>
      <c r="E47" s="619">
        <v>25</v>
      </c>
      <c r="F47" s="435">
        <v>104</v>
      </c>
      <c r="G47" s="435">
        <v>104</v>
      </c>
      <c r="H47" s="435">
        <v>104</v>
      </c>
      <c r="I47" s="430">
        <f>AVERAGE(F47:H47)</f>
        <v>104</v>
      </c>
      <c r="J47" s="430">
        <f>W47-U47</f>
        <v>103.99333433333334</v>
      </c>
      <c r="K47" s="620">
        <f>STDEV(F47:H47)</f>
        <v>0</v>
      </c>
      <c r="L47" s="1280">
        <v>100</v>
      </c>
      <c r="M47" s="1281"/>
      <c r="N47" s="633"/>
      <c r="O47" s="633"/>
      <c r="U47" s="778">
        <f>'DB CALIPER'!R72</f>
        <v>6.6666666666666662E-3</v>
      </c>
      <c r="V47" s="784">
        <f>I47</f>
        <v>104</v>
      </c>
      <c r="W47" s="778">
        <f>V47+'DB CALIPER'!R68</f>
        <v>104.000001</v>
      </c>
    </row>
    <row r="48" spans="1:31" ht="8.25" customHeight="1" x14ac:dyDescent="0.25">
      <c r="A48" s="256"/>
      <c r="B48" s="256"/>
      <c r="C48" s="270"/>
      <c r="D48" s="270"/>
      <c r="E48" s="633"/>
      <c r="F48" s="633"/>
      <c r="G48" s="633"/>
      <c r="H48" s="270"/>
      <c r="I48" s="253"/>
      <c r="J48" s="253"/>
      <c r="K48" s="253"/>
      <c r="L48" s="253"/>
      <c r="M48" s="636"/>
      <c r="N48" s="636"/>
      <c r="O48" s="633"/>
    </row>
    <row r="49" spans="1:23" ht="15" customHeight="1" x14ac:dyDescent="0.25">
      <c r="A49" s="633"/>
      <c r="B49" s="1243" t="s">
        <v>29</v>
      </c>
      <c r="C49" s="1243" t="s">
        <v>30</v>
      </c>
      <c r="D49" s="1266" t="s">
        <v>56</v>
      </c>
      <c r="E49" s="1229" t="s">
        <v>146</v>
      </c>
      <c r="F49" s="1250" t="s">
        <v>68</v>
      </c>
      <c r="G49" s="1251"/>
      <c r="H49" s="1251"/>
      <c r="I49" s="1227" t="s">
        <v>141</v>
      </c>
      <c r="J49" s="1227" t="s">
        <v>142</v>
      </c>
      <c r="K49" s="1276" t="s">
        <v>143</v>
      </c>
      <c r="L49" s="1230" t="s">
        <v>147</v>
      </c>
      <c r="M49" s="1230"/>
      <c r="N49" s="633"/>
      <c r="O49" s="633"/>
    </row>
    <row r="50" spans="1:23" ht="14" x14ac:dyDescent="0.25">
      <c r="A50" s="633"/>
      <c r="B50" s="1244"/>
      <c r="C50" s="1244"/>
      <c r="D50" s="1267"/>
      <c r="E50" s="1230"/>
      <c r="F50" s="781" t="s">
        <v>69</v>
      </c>
      <c r="G50" s="781" t="s">
        <v>70</v>
      </c>
      <c r="H50" s="781" t="s">
        <v>71</v>
      </c>
      <c r="I50" s="1228"/>
      <c r="J50" s="1228"/>
      <c r="K50" s="1277"/>
      <c r="L50" s="1230"/>
      <c r="M50" s="1230"/>
      <c r="N50" s="633"/>
      <c r="O50" s="633"/>
      <c r="U50" s="775" t="s">
        <v>144</v>
      </c>
      <c r="V50" s="775" t="s">
        <v>148</v>
      </c>
      <c r="W50" s="775" t="s">
        <v>149</v>
      </c>
    </row>
    <row r="51" spans="1:23" ht="45" customHeight="1" x14ac:dyDescent="0.25">
      <c r="A51" s="633"/>
      <c r="B51" s="782">
        <v>2</v>
      </c>
      <c r="C51" s="783" t="s">
        <v>81</v>
      </c>
      <c r="D51" s="667" t="s">
        <v>578</v>
      </c>
      <c r="E51" s="619">
        <v>50</v>
      </c>
      <c r="F51" s="435">
        <v>100.12</v>
      </c>
      <c r="G51" s="435">
        <v>100.11199999999999</v>
      </c>
      <c r="H51" s="435">
        <v>100.12</v>
      </c>
      <c r="I51" s="430">
        <f>AVERAGE(F51:H51)</f>
        <v>100.11733333333332</v>
      </c>
      <c r="J51" s="430">
        <f>W51-U51</f>
        <v>100.11066766666666</v>
      </c>
      <c r="K51" s="620">
        <f>STDEV(F51:H51)</f>
        <v>4.6188021535226512E-3</v>
      </c>
      <c r="L51" s="1279">
        <v>100</v>
      </c>
      <c r="M51" s="1279"/>
      <c r="N51" s="633"/>
      <c r="O51" s="633"/>
      <c r="U51" s="778">
        <f>UB!Q52</f>
        <v>6.6666666666666662E-3</v>
      </c>
      <c r="V51" s="620">
        <f>I51</f>
        <v>100.11733333333332</v>
      </c>
      <c r="W51" s="778">
        <f>V51+'DB CALIPER'!W68</f>
        <v>100.11733433333332</v>
      </c>
    </row>
    <row r="52" spans="1:23" ht="7.5" customHeight="1" x14ac:dyDescent="0.25">
      <c r="A52" s="256"/>
      <c r="B52" s="256"/>
      <c r="C52" s="646"/>
      <c r="D52" s="659"/>
      <c r="E52" s="657"/>
      <c r="F52" s="657"/>
      <c r="G52" s="657"/>
      <c r="H52" s="657"/>
      <c r="I52" s="270"/>
      <c r="J52" s="658"/>
      <c r="K52" s="253"/>
      <c r="L52" s="253"/>
      <c r="M52" s="636"/>
      <c r="N52" s="636"/>
      <c r="O52" s="633"/>
      <c r="W52" s="633" t="s">
        <v>55</v>
      </c>
    </row>
    <row r="53" spans="1:23" ht="14.5" x14ac:dyDescent="0.25">
      <c r="A53" s="256"/>
      <c r="B53" s="256" t="str">
        <f>LK!C69</f>
        <v>d. Kalibrasi Sinyal Sinusoida</v>
      </c>
      <c r="C53" s="646"/>
      <c r="D53" s="659"/>
      <c r="E53" s="657"/>
      <c r="F53" s="657"/>
      <c r="G53" s="657"/>
      <c r="H53" s="657"/>
      <c r="I53" s="270"/>
      <c r="J53" s="658"/>
      <c r="K53" s="253"/>
      <c r="L53" s="253"/>
      <c r="M53" s="636"/>
      <c r="N53" s="636"/>
      <c r="O53" s="633"/>
    </row>
    <row r="54" spans="1:23" ht="15" customHeight="1" x14ac:dyDescent="0.25">
      <c r="A54" s="633"/>
      <c r="B54" s="1231" t="s">
        <v>29</v>
      </c>
      <c r="C54" s="1231" t="s">
        <v>30</v>
      </c>
      <c r="D54" s="1229" t="s">
        <v>56</v>
      </c>
      <c r="E54" s="1229" t="s">
        <v>150</v>
      </c>
      <c r="F54" s="1230" t="s">
        <v>87</v>
      </c>
      <c r="G54" s="1230"/>
      <c r="H54" s="1231" t="s">
        <v>68</v>
      </c>
      <c r="I54" s="1231"/>
      <c r="J54" s="1231"/>
      <c r="K54" s="1231"/>
      <c r="L54" s="1231"/>
      <c r="M54" s="1230" t="s">
        <v>141</v>
      </c>
      <c r="N54" s="1230" t="s">
        <v>142</v>
      </c>
      <c r="O54" s="1276" t="s">
        <v>143</v>
      </c>
    </row>
    <row r="55" spans="1:23" ht="14" x14ac:dyDescent="0.25">
      <c r="A55" s="633"/>
      <c r="B55" s="1231"/>
      <c r="C55" s="1274"/>
      <c r="D55" s="1230"/>
      <c r="E55" s="1230"/>
      <c r="F55" s="1230"/>
      <c r="G55" s="1230"/>
      <c r="H55" s="781" t="s">
        <v>69</v>
      </c>
      <c r="I55" s="781" t="s">
        <v>70</v>
      </c>
      <c r="J55" s="781" t="s">
        <v>71</v>
      </c>
      <c r="K55" s="781" t="s">
        <v>72</v>
      </c>
      <c r="L55" s="781" t="s">
        <v>73</v>
      </c>
      <c r="M55" s="1230"/>
      <c r="N55" s="1230"/>
      <c r="O55" s="1278"/>
      <c r="U55" s="775" t="s">
        <v>144</v>
      </c>
    </row>
    <row r="56" spans="1:23" ht="28" x14ac:dyDescent="0.25">
      <c r="A56" s="633"/>
      <c r="B56" s="782">
        <v>1</v>
      </c>
      <c r="C56" s="783" t="s">
        <v>151</v>
      </c>
      <c r="D56" s="667" t="s">
        <v>152</v>
      </c>
      <c r="E56" s="431">
        <v>20</v>
      </c>
      <c r="F56" s="1253">
        <v>20</v>
      </c>
      <c r="G56" s="1254"/>
      <c r="H56" s="435">
        <v>20</v>
      </c>
      <c r="I56" s="435">
        <v>20</v>
      </c>
      <c r="J56" s="435">
        <v>20</v>
      </c>
      <c r="K56" s="435">
        <v>20</v>
      </c>
      <c r="L56" s="435">
        <v>20</v>
      </c>
      <c r="M56" s="620">
        <f>AVERAGE(H56:L56)</f>
        <v>20</v>
      </c>
      <c r="N56" s="620">
        <f>M56+'DB CALIPER'!AB68-U56</f>
        <v>19.993334333333333</v>
      </c>
      <c r="O56" s="620">
        <f>STDEV(H56:L56)</f>
        <v>0</v>
      </c>
      <c r="U56" s="778">
        <f>UB!Q9</f>
        <v>6.6666666666666662E-3</v>
      </c>
    </row>
    <row r="57" spans="1:23" ht="8.25" customHeight="1" x14ac:dyDescent="0.25">
      <c r="A57" s="256"/>
      <c r="B57" s="256"/>
      <c r="C57" s="646"/>
      <c r="D57" s="659"/>
      <c r="E57" s="657"/>
      <c r="F57" s="657"/>
      <c r="G57" s="657"/>
      <c r="H57" s="657"/>
      <c r="I57" s="270"/>
      <c r="J57" s="658"/>
      <c r="K57" s="253"/>
      <c r="L57" s="253"/>
      <c r="M57" s="636"/>
      <c r="N57" s="636"/>
      <c r="O57" s="633"/>
    </row>
    <row r="58" spans="1:23" ht="14.5" x14ac:dyDescent="0.25">
      <c r="A58" s="256"/>
      <c r="B58" s="256" t="str">
        <f>LK!C74</f>
        <v>e. Kalibrasi Sinyal ECG Normal</v>
      </c>
      <c r="C58" s="646"/>
      <c r="D58" s="659"/>
      <c r="E58" s="657"/>
      <c r="F58" s="657"/>
      <c r="G58" s="657"/>
      <c r="H58" s="657"/>
      <c r="I58" s="270"/>
      <c r="J58" s="658"/>
      <c r="K58" s="253"/>
      <c r="L58" s="253"/>
      <c r="M58" s="636"/>
      <c r="N58" s="636"/>
      <c r="O58" s="633"/>
    </row>
    <row r="59" spans="1:23" ht="15" customHeight="1" x14ac:dyDescent="0.25">
      <c r="A59" s="633"/>
      <c r="B59" s="1231" t="s">
        <v>29</v>
      </c>
      <c r="C59" s="1231" t="s">
        <v>30</v>
      </c>
      <c r="D59" s="1229" t="s">
        <v>56</v>
      </c>
      <c r="E59" s="1229" t="s">
        <v>150</v>
      </c>
      <c r="F59" s="1230" t="s">
        <v>153</v>
      </c>
      <c r="G59" s="1230"/>
      <c r="H59" s="1231" t="s">
        <v>68</v>
      </c>
      <c r="I59" s="1231"/>
      <c r="J59" s="1231"/>
      <c r="K59" s="1231"/>
      <c r="L59" s="1231"/>
      <c r="M59" s="1230" t="s">
        <v>141</v>
      </c>
      <c r="N59" s="1230" t="s">
        <v>142</v>
      </c>
      <c r="O59" s="1276" t="s">
        <v>143</v>
      </c>
    </row>
    <row r="60" spans="1:23" ht="14" x14ac:dyDescent="0.25">
      <c r="A60" s="633"/>
      <c r="B60" s="1231"/>
      <c r="C60" s="1274"/>
      <c r="D60" s="1230"/>
      <c r="E60" s="1230"/>
      <c r="F60" s="1230"/>
      <c r="G60" s="1230"/>
      <c r="H60" s="781" t="s">
        <v>69</v>
      </c>
      <c r="I60" s="781" t="s">
        <v>70</v>
      </c>
      <c r="J60" s="781" t="s">
        <v>71</v>
      </c>
      <c r="K60" s="781" t="s">
        <v>72</v>
      </c>
      <c r="L60" s="781" t="s">
        <v>73</v>
      </c>
      <c r="M60" s="1230"/>
      <c r="N60" s="1230"/>
      <c r="O60" s="1278"/>
      <c r="U60" s="775" t="s">
        <v>144</v>
      </c>
    </row>
    <row r="61" spans="1:23" ht="28" x14ac:dyDescent="0.25">
      <c r="A61" s="633"/>
      <c r="B61" s="782">
        <v>1</v>
      </c>
      <c r="C61" s="783" t="s">
        <v>94</v>
      </c>
      <c r="D61" s="667" t="s">
        <v>95</v>
      </c>
      <c r="E61" s="431">
        <v>10</v>
      </c>
      <c r="F61" s="1253">
        <v>20</v>
      </c>
      <c r="G61" s="1254"/>
      <c r="H61" s="435">
        <v>20</v>
      </c>
      <c r="I61" s="435">
        <v>20</v>
      </c>
      <c r="J61" s="435">
        <v>20</v>
      </c>
      <c r="K61" s="435">
        <v>20</v>
      </c>
      <c r="L61" s="435">
        <v>20</v>
      </c>
      <c r="M61" s="620">
        <f>AVERAGE(H61:L61)</f>
        <v>20</v>
      </c>
      <c r="N61" s="620">
        <f>M61+'DB CALIPER'!AG68-U61</f>
        <v>19.993334333333333</v>
      </c>
      <c r="O61" s="620">
        <f>STDEV(H61:L61)</f>
        <v>0</v>
      </c>
      <c r="U61" s="778">
        <f>UB!Q24</f>
        <v>6.6666666666666662E-3</v>
      </c>
    </row>
    <row r="62" spans="1:23" ht="12" customHeight="1" x14ac:dyDescent="0.25">
      <c r="A62" s="736"/>
      <c r="B62" s="736"/>
      <c r="C62" s="646"/>
      <c r="D62" s="659"/>
      <c r="E62" s="657"/>
      <c r="F62" s="657"/>
      <c r="G62" s="657"/>
      <c r="H62" s="657"/>
      <c r="I62" s="657"/>
      <c r="J62" s="658"/>
      <c r="K62" s="658"/>
      <c r="L62" s="658"/>
      <c r="M62" s="785"/>
    </row>
    <row r="63" spans="1:23" ht="14.5" x14ac:dyDescent="0.25">
      <c r="A63" s="687" t="s">
        <v>154</v>
      </c>
      <c r="B63" s="687" t="s">
        <v>155</v>
      </c>
      <c r="C63" s="688"/>
      <c r="D63" s="689"/>
      <c r="E63" s="689"/>
      <c r="F63" s="689"/>
      <c r="G63" s="689"/>
      <c r="H63" s="689"/>
      <c r="I63" s="689"/>
      <c r="J63" s="182"/>
      <c r="K63" s="182"/>
      <c r="L63" s="182"/>
      <c r="M63" s="108"/>
      <c r="N63" s="111"/>
      <c r="O63" s="111"/>
    </row>
    <row r="64" spans="1:23" ht="15" customHeight="1" x14ac:dyDescent="0.25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5">
      <c r="A65" s="179"/>
      <c r="B65" s="436" t="s">
        <v>567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5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4.5" x14ac:dyDescent="0.25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4.5" x14ac:dyDescent="0.25">
      <c r="A68" s="179"/>
      <c r="B68" s="183" t="str">
        <f>PENYELIA!Y20</f>
        <v>Alat tidak boleh digunakan pada instalasi tanpa dilengkapi grounding</v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4.5" x14ac:dyDescent="0.25">
      <c r="A69" s="179"/>
      <c r="B69" s="692"/>
      <c r="C69" s="442"/>
      <c r="D69" s="442"/>
      <c r="E69" s="442"/>
      <c r="F69" s="442"/>
      <c r="G69" s="442"/>
      <c r="H69" s="442"/>
      <c r="I69" s="442"/>
      <c r="J69" s="442"/>
      <c r="K69" s="442"/>
      <c r="L69" s="182"/>
      <c r="M69" s="108"/>
      <c r="N69" s="793"/>
      <c r="O69" s="793"/>
      <c r="Q69" s="786"/>
      <c r="R69" s="786"/>
      <c r="S69" s="786"/>
      <c r="U69" s="786"/>
    </row>
    <row r="70" spans="1:21" ht="12" customHeight="1" x14ac:dyDescent="0.25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3"/>
      <c r="O70" s="793"/>
      <c r="Q70" s="786"/>
      <c r="R70" s="786"/>
      <c r="S70" s="786"/>
      <c r="U70" s="786"/>
    </row>
    <row r="71" spans="1:21" ht="14.5" x14ac:dyDescent="0.25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3"/>
      <c r="O71" s="793"/>
      <c r="Q71" s="786"/>
      <c r="R71" s="786"/>
      <c r="S71" s="786"/>
      <c r="U71" s="786"/>
    </row>
    <row r="72" spans="1:21" ht="14.5" x14ac:dyDescent="0.25">
      <c r="A72" s="185"/>
      <c r="B72" s="1249" t="s">
        <v>207</v>
      </c>
      <c r="C72" s="1249"/>
      <c r="D72" s="1249"/>
      <c r="E72" s="1249"/>
      <c r="F72" s="1249"/>
      <c r="G72" s="1249"/>
      <c r="H72" s="1249"/>
      <c r="I72" s="1249"/>
      <c r="J72" s="1249"/>
      <c r="K72" s="1249"/>
      <c r="L72" s="1249"/>
      <c r="M72" s="109"/>
      <c r="N72" s="793"/>
      <c r="O72" s="793"/>
      <c r="Q72" s="786"/>
      <c r="R72" s="786"/>
      <c r="S72" s="786"/>
      <c r="U72" s="786"/>
    </row>
    <row r="73" spans="1:21" ht="14.5" x14ac:dyDescent="0.25">
      <c r="A73" s="185"/>
      <c r="B73" s="1249" t="s">
        <v>429</v>
      </c>
      <c r="C73" s="1249"/>
      <c r="D73" s="1249"/>
      <c r="E73" s="1249"/>
      <c r="F73" s="1249"/>
      <c r="G73" s="1249"/>
      <c r="H73" s="1249"/>
      <c r="I73" s="1249"/>
      <c r="J73" s="1249"/>
      <c r="K73" s="1249"/>
      <c r="L73" s="1249"/>
      <c r="M73" s="111"/>
      <c r="N73" s="111"/>
      <c r="O73" s="111"/>
    </row>
    <row r="74" spans="1:21" ht="14.5" x14ac:dyDescent="0.25">
      <c r="A74" s="185"/>
      <c r="B74" s="1249" t="s">
        <v>213</v>
      </c>
      <c r="C74" s="1249"/>
      <c r="D74" s="1249"/>
      <c r="E74" s="1249"/>
      <c r="F74" s="1249"/>
      <c r="G74" s="1249"/>
      <c r="H74" s="1249"/>
      <c r="I74" s="1249"/>
      <c r="J74" s="1249"/>
      <c r="K74" s="1249"/>
      <c r="L74" s="1249"/>
      <c r="M74" s="111"/>
      <c r="N74" s="111"/>
      <c r="O74" s="111"/>
    </row>
    <row r="75" spans="1:21" ht="14.5" x14ac:dyDescent="0.25">
      <c r="A75" s="185"/>
      <c r="B75" s="1249" t="s">
        <v>468</v>
      </c>
      <c r="C75" s="1249"/>
      <c r="D75" s="1249"/>
      <c r="E75" s="1249"/>
      <c r="F75" s="1249"/>
      <c r="G75" s="1249"/>
      <c r="H75" s="1249"/>
      <c r="I75" s="1249"/>
      <c r="J75" s="1249"/>
      <c r="K75" s="1249"/>
      <c r="L75" s="1249"/>
      <c r="M75" s="111"/>
      <c r="N75" s="111"/>
      <c r="O75" s="111"/>
    </row>
    <row r="76" spans="1:21" ht="9" customHeight="1" x14ac:dyDescent="0.25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4.5" x14ac:dyDescent="0.25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4.5" x14ac:dyDescent="0.25">
      <c r="A78" s="185"/>
      <c r="B78" s="1247" t="str">
        <f>LOOKUP(H2,'bank kata'!B4:B5,'bank kata'!C4:C5)</f>
        <v>Alat yang dikalibrasi dalam batas toleransi dan dinyatakan LAIK PAKAI, dimana hasil atau skor akhir sama dengan atau melampaui 70 % berdasarkan Keputusan Direktur Jenderal Pelayanan Kesehatan No : HK.02.02/V/0412/2020</v>
      </c>
      <c r="C78" s="1247"/>
      <c r="D78" s="1247"/>
      <c r="E78" s="1247"/>
      <c r="F78" s="1247"/>
      <c r="G78" s="1247"/>
      <c r="H78" s="1247"/>
      <c r="I78" s="1247"/>
      <c r="J78" s="1247"/>
      <c r="K78" s="1247"/>
      <c r="L78" s="1247"/>
      <c r="M78" s="111"/>
      <c r="N78" s="111"/>
      <c r="O78" s="111"/>
    </row>
    <row r="79" spans="1:21" ht="12" customHeight="1" x14ac:dyDescent="0.25">
      <c r="A79" s="185"/>
      <c r="B79" s="1247"/>
      <c r="C79" s="1247"/>
      <c r="D79" s="1247"/>
      <c r="E79" s="1247"/>
      <c r="F79" s="1247"/>
      <c r="G79" s="1247"/>
      <c r="H79" s="1247"/>
      <c r="I79" s="1247"/>
      <c r="J79" s="1247"/>
      <c r="K79" s="1247"/>
      <c r="L79" s="1247"/>
      <c r="M79" s="111"/>
      <c r="N79" s="111"/>
      <c r="O79" s="111"/>
    </row>
    <row r="80" spans="1:21" ht="8.25" customHeight="1" x14ac:dyDescent="0.25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4.5" x14ac:dyDescent="0.25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4.5" x14ac:dyDescent="0.25">
      <c r="A82" s="185"/>
      <c r="B82" s="1248" t="s">
        <v>166</v>
      </c>
      <c r="C82" s="1248"/>
      <c r="D82" s="1248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5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4.5" x14ac:dyDescent="0.25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4.5" x14ac:dyDescent="0.25">
      <c r="A85" s="185"/>
      <c r="B85" s="414" t="s">
        <v>168</v>
      </c>
      <c r="C85" s="409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5">
      <c r="S101" s="766"/>
    </row>
    <row r="102" spans="15:19" ht="14.5" x14ac:dyDescent="0.25">
      <c r="S102" s="787"/>
    </row>
    <row r="103" spans="15:19" ht="14.5" x14ac:dyDescent="0.25">
      <c r="S103" s="787"/>
    </row>
    <row r="104" spans="15:19" ht="14" x14ac:dyDescent="0.25">
      <c r="S104" s="788"/>
    </row>
    <row r="105" spans="15:19" ht="14" x14ac:dyDescent="0.25">
      <c r="S105" s="788"/>
    </row>
    <row r="107" spans="15:19" ht="14.5" x14ac:dyDescent="0.35">
      <c r="O107" s="789"/>
    </row>
    <row r="108" spans="15:19" ht="14.5" x14ac:dyDescent="0.25">
      <c r="P108" s="769"/>
    </row>
    <row r="109" spans="15:19" ht="14.5" x14ac:dyDescent="0.25">
      <c r="O109" s="678"/>
      <c r="P109" s="769"/>
    </row>
    <row r="110" spans="15:19" ht="14.5" x14ac:dyDescent="0.25">
      <c r="O110" s="678"/>
      <c r="P110" s="769"/>
    </row>
    <row r="111" spans="15:19" ht="14.5" x14ac:dyDescent="0.25">
      <c r="O111" s="678"/>
      <c r="P111" s="769"/>
    </row>
    <row r="112" spans="15:19" ht="14.5" x14ac:dyDescent="0.25">
      <c r="P112" s="769"/>
    </row>
    <row r="113" spans="2:28" ht="14.5" x14ac:dyDescent="0.25">
      <c r="P113" s="790"/>
    </row>
    <row r="114" spans="2:28" ht="14.5" x14ac:dyDescent="0.25">
      <c r="P114" s="790"/>
    </row>
    <row r="115" spans="2:28" ht="14.5" x14ac:dyDescent="0.25">
      <c r="P115" s="790"/>
    </row>
    <row r="116" spans="2:28" ht="14.5" x14ac:dyDescent="0.25">
      <c r="B116" s="255"/>
      <c r="P116" s="790"/>
    </row>
    <row r="117" spans="2:28" ht="14.5" x14ac:dyDescent="0.25">
      <c r="B117" s="255"/>
      <c r="P117" s="790"/>
    </row>
    <row r="118" spans="2:28" ht="14.5" x14ac:dyDescent="0.25">
      <c r="P118" s="790"/>
    </row>
    <row r="119" spans="2:28" ht="14.5" x14ac:dyDescent="0.25">
      <c r="P119" s="790"/>
      <c r="Q119" s="791"/>
      <c r="R119" s="791"/>
      <c r="S119" s="791"/>
      <c r="T119" s="791"/>
      <c r="U119" s="791"/>
      <c r="V119" s="791"/>
      <c r="W119" s="791"/>
      <c r="X119" s="791"/>
      <c r="Y119" s="791"/>
      <c r="Z119" s="791"/>
      <c r="AA119" s="791"/>
      <c r="AB119" s="791"/>
    </row>
    <row r="120" spans="2:28" ht="14.5" x14ac:dyDescent="0.25">
      <c r="P120" s="790"/>
      <c r="Q120" s="791"/>
      <c r="R120" s="791"/>
      <c r="S120" s="791"/>
      <c r="T120" s="791"/>
      <c r="U120" s="791"/>
      <c r="V120" s="791"/>
      <c r="W120" s="791"/>
      <c r="X120" s="791"/>
      <c r="Y120" s="791"/>
      <c r="Z120" s="791"/>
      <c r="AA120" s="791"/>
      <c r="AB120" s="791"/>
    </row>
    <row r="121" spans="2:28" ht="14.5" x14ac:dyDescent="0.25">
      <c r="P121" s="790"/>
    </row>
    <row r="122" spans="2:28" ht="14.5" x14ac:dyDescent="0.25">
      <c r="P122" s="790"/>
    </row>
    <row r="123" spans="2:28" ht="14.5" x14ac:dyDescent="0.25">
      <c r="P123" s="636"/>
    </row>
    <row r="124" spans="2:28" ht="14.5" x14ac:dyDescent="0.25">
      <c r="P124" s="636"/>
    </row>
    <row r="125" spans="2:28" ht="14.5" x14ac:dyDescent="0.25">
      <c r="P125" s="636"/>
    </row>
    <row r="126" spans="2:28" ht="14.5" x14ac:dyDescent="0.25">
      <c r="P126" s="636"/>
    </row>
    <row r="127" spans="2:28" ht="14.5" x14ac:dyDescent="0.25">
      <c r="P127" s="636"/>
    </row>
    <row r="128" spans="2:28" ht="14.5" x14ac:dyDescent="0.25">
      <c r="P128" s="636"/>
    </row>
    <row r="129" spans="2:16" ht="14.5" x14ac:dyDescent="0.25">
      <c r="P129" s="636"/>
    </row>
    <row r="130" spans="2:16" ht="14.5" x14ac:dyDescent="0.25">
      <c r="P130" s="636"/>
    </row>
    <row r="131" spans="2:16" ht="14.5" x14ac:dyDescent="0.25">
      <c r="B131" s="273"/>
      <c r="P131" s="636"/>
    </row>
    <row r="132" spans="2:16" ht="14.5" x14ac:dyDescent="0.25">
      <c r="B132" s="255"/>
      <c r="P132" s="636"/>
    </row>
    <row r="133" spans="2:16" ht="14.5" x14ac:dyDescent="0.25">
      <c r="B133" s="255"/>
      <c r="P133" s="636"/>
    </row>
    <row r="134" spans="2:16" ht="14.5" x14ac:dyDescent="0.25">
      <c r="B134" s="255"/>
      <c r="P134" s="636"/>
    </row>
    <row r="135" spans="2:16" ht="14.5" x14ac:dyDescent="0.25">
      <c r="B135" s="255"/>
      <c r="P135" s="105"/>
    </row>
    <row r="136" spans="2:16" ht="14.5" x14ac:dyDescent="0.25">
      <c r="B136" s="255"/>
      <c r="P136" s="105"/>
    </row>
    <row r="137" spans="2:16" ht="14.5" x14ac:dyDescent="0.25">
      <c r="B137" s="255"/>
      <c r="P137" s="105"/>
    </row>
    <row r="138" spans="2:16" ht="14.5" x14ac:dyDescent="0.25">
      <c r="B138" s="255"/>
      <c r="P138" s="105"/>
    </row>
    <row r="139" spans="2:16" ht="14.5" x14ac:dyDescent="0.35">
      <c r="B139" s="792"/>
      <c r="P139" s="105"/>
    </row>
    <row r="140" spans="2:16" ht="14.5" x14ac:dyDescent="0.35">
      <c r="B140" s="792"/>
      <c r="P140" s="105"/>
    </row>
    <row r="141" spans="2:16" ht="14.5" x14ac:dyDescent="0.25">
      <c r="B141" s="255"/>
      <c r="P141" s="105"/>
    </row>
    <row r="142" spans="2:16" ht="14.5" x14ac:dyDescent="0.25">
      <c r="B142" s="255"/>
      <c r="P142" s="105"/>
    </row>
    <row r="143" spans="2:16" ht="14.5" x14ac:dyDescent="0.25">
      <c r="B143" s="255"/>
      <c r="P143" s="105"/>
    </row>
    <row r="144" spans="2:16" ht="14.5" x14ac:dyDescent="0.25">
      <c r="B144" s="255"/>
      <c r="P144" s="105"/>
    </row>
    <row r="145" spans="2:2" x14ac:dyDescent="0.25">
      <c r="B145" s="633"/>
    </row>
    <row r="146" spans="2:2" x14ac:dyDescent="0.25">
      <c r="B146" s="633"/>
    </row>
    <row r="147" spans="2:2" x14ac:dyDescent="0.25">
      <c r="B147" s="633"/>
    </row>
    <row r="148" spans="2:2" x14ac:dyDescent="0.25">
      <c r="B148" s="633"/>
    </row>
    <row r="149" spans="2:2" x14ac:dyDescent="0.25">
      <c r="B149" s="633"/>
    </row>
    <row r="150" spans="2:2" x14ac:dyDescent="0.25">
      <c r="B150" s="633"/>
    </row>
    <row r="151" spans="2:2" x14ac:dyDescent="0.25">
      <c r="B151" s="633"/>
    </row>
    <row r="152" spans="2:2" x14ac:dyDescent="0.25">
      <c r="B152" s="633"/>
    </row>
    <row r="153" spans="2:2" x14ac:dyDescent="0.25">
      <c r="B153" s="633"/>
    </row>
    <row r="154" spans="2:2" ht="14" x14ac:dyDescent="0.25">
      <c r="B154" s="255"/>
    </row>
    <row r="155" spans="2:2" ht="14" x14ac:dyDescent="0.25">
      <c r="B155" s="255"/>
    </row>
    <row r="156" spans="2:2" ht="14" x14ac:dyDescent="0.25">
      <c r="B156" s="255"/>
    </row>
    <row r="157" spans="2:2" x14ac:dyDescent="0.25">
      <c r="B157" s="834"/>
    </row>
    <row r="158" spans="2:2" x14ac:dyDescent="0.25">
      <c r="B158" s="834"/>
    </row>
    <row r="159" spans="2:2" x14ac:dyDescent="0.25">
      <c r="B159" s="834"/>
    </row>
    <row r="160" spans="2:2" x14ac:dyDescent="0.25">
      <c r="B160" s="834"/>
    </row>
    <row r="161" spans="2:6" x14ac:dyDescent="0.25">
      <c r="B161" s="834"/>
    </row>
    <row r="162" spans="2:6" x14ac:dyDescent="0.25">
      <c r="B162" s="834"/>
    </row>
    <row r="163" spans="2:6" x14ac:dyDescent="0.25">
      <c r="B163" s="834"/>
    </row>
    <row r="164" spans="2:6" x14ac:dyDescent="0.25">
      <c r="B164" s="834"/>
    </row>
    <row r="165" spans="2:6" x14ac:dyDescent="0.25">
      <c r="B165" s="834"/>
    </row>
    <row r="166" spans="2:6" x14ac:dyDescent="0.25">
      <c r="B166" s="834"/>
    </row>
    <row r="167" spans="2:6" x14ac:dyDescent="0.25">
      <c r="B167" s="834"/>
    </row>
    <row r="168" spans="2:6" x14ac:dyDescent="0.25">
      <c r="B168" s="835"/>
    </row>
    <row r="169" spans="2:6" x14ac:dyDescent="0.25">
      <c r="F169" s="633"/>
    </row>
    <row r="170" spans="2:6" x14ac:dyDescent="0.25">
      <c r="F170" s="633"/>
    </row>
    <row r="179" spans="6:6" x14ac:dyDescent="0.25">
      <c r="F179" s="163" t="s">
        <v>61</v>
      </c>
    </row>
    <row r="180" spans="6:6" x14ac:dyDescent="0.25">
      <c r="F180" s="163" t="s">
        <v>196</v>
      </c>
    </row>
  </sheetData>
  <sheetProtection formatCells="0" formatColumns="0" formatRows="0" insertColumns="0" insertRows="0" deleteColumns="0" deleteRows="0"/>
  <mergeCells count="85"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I45:I46"/>
    <mergeCell ref="F45:H45"/>
    <mergeCell ref="F56:G56"/>
    <mergeCell ref="F59:G60"/>
    <mergeCell ref="F54:G55"/>
    <mergeCell ref="B78:L79"/>
    <mergeCell ref="B82:D82"/>
    <mergeCell ref="B72:L72"/>
    <mergeCell ref="B74:L74"/>
    <mergeCell ref="B75:L75"/>
    <mergeCell ref="B73:L73"/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</mergeCells>
  <phoneticPr fontId="52" type="noConversion"/>
  <dataValidations disablePrompts="1"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 B73:L73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160" zoomScale="85" zoomScaleNormal="85" zoomScaleSheetLayoutView="77" workbookViewId="0">
      <selection activeCell="O167" sqref="O167"/>
    </sheetView>
  </sheetViews>
  <sheetFormatPr defaultColWidth="9" defaultRowHeight="12.5" x14ac:dyDescent="0.25"/>
  <cols>
    <col min="1" max="7" width="9.6328125" style="448" customWidth="1"/>
    <col min="8" max="8" width="9.6328125" style="1010" customWidth="1"/>
    <col min="9" max="14" width="9.6328125" style="448" customWidth="1"/>
    <col min="15" max="15" width="14" style="448" customWidth="1"/>
    <col min="16" max="16" width="9.6328125" style="1010" customWidth="1"/>
    <col min="17" max="23" width="9.6328125" style="448" customWidth="1"/>
    <col min="24" max="24" width="9" style="1010"/>
    <col min="25" max="16384" width="9" style="448"/>
  </cols>
  <sheetData>
    <row r="1" spans="1:25" ht="48" customHeight="1" x14ac:dyDescent="0.25">
      <c r="A1" s="1290" t="s">
        <v>412</v>
      </c>
      <c r="B1" s="1291"/>
      <c r="C1" s="1291"/>
      <c r="D1" s="1291"/>
      <c r="E1" s="1291"/>
      <c r="F1" s="1291"/>
      <c r="G1" s="1291"/>
      <c r="H1" s="1291"/>
      <c r="I1" s="1291"/>
      <c r="J1" s="1291"/>
      <c r="K1" s="1291"/>
      <c r="L1" s="1291"/>
      <c r="M1" s="1291"/>
      <c r="N1" s="1291"/>
      <c r="O1" s="1291"/>
      <c r="P1" s="1291"/>
      <c r="Q1" s="1291"/>
      <c r="R1" s="1291"/>
      <c r="S1" s="1291"/>
      <c r="T1" s="1291"/>
      <c r="U1" s="1291"/>
      <c r="V1" s="1291"/>
      <c r="W1" s="1292"/>
      <c r="Y1" s="448" t="s">
        <v>55</v>
      </c>
    </row>
    <row r="2" spans="1:25" ht="25.5" customHeight="1" x14ac:dyDescent="0.25">
      <c r="A2" s="1293">
        <v>1</v>
      </c>
      <c r="B2" s="1296" t="str">
        <f>A166</f>
        <v>Electrical Safety Analyzer, Merek : Fluke, Model : ESA 620, SN : 1837056</v>
      </c>
      <c r="C2" s="1296"/>
      <c r="D2" s="1296"/>
      <c r="E2" s="1296"/>
      <c r="F2" s="1296"/>
      <c r="G2" s="1296"/>
      <c r="H2" s="1011"/>
      <c r="I2" s="1293">
        <v>2</v>
      </c>
      <c r="J2" s="1296" t="str">
        <f>A167</f>
        <v>Electrical Safety Analyzer, Merek : Fluke, Model : ESA 620, SN : 1834020</v>
      </c>
      <c r="K2" s="1296"/>
      <c r="L2" s="1296"/>
      <c r="M2" s="1296"/>
      <c r="N2" s="1296"/>
      <c r="O2" s="1296"/>
      <c r="P2" s="1011"/>
      <c r="Q2" s="1293">
        <v>3</v>
      </c>
      <c r="R2" s="1296" t="str">
        <f>A168</f>
        <v>Electrical Safety Analyzer, Merek : Fluke, Model : ESA 615, SN : 2853077</v>
      </c>
      <c r="S2" s="1296"/>
      <c r="T2" s="1296"/>
      <c r="U2" s="1296"/>
      <c r="V2" s="1296"/>
      <c r="W2" s="1296"/>
    </row>
    <row r="3" spans="1:25" ht="15" customHeight="1" x14ac:dyDescent="0.3">
      <c r="A3" s="1294"/>
      <c r="B3" s="1297" t="s">
        <v>232</v>
      </c>
      <c r="C3" s="1297"/>
      <c r="D3" s="1297"/>
      <c r="E3" s="1297"/>
      <c r="F3" s="1012"/>
      <c r="G3" s="1012"/>
      <c r="H3" s="1013"/>
      <c r="I3" s="1294"/>
      <c r="J3" s="1297" t="s">
        <v>232</v>
      </c>
      <c r="K3" s="1297"/>
      <c r="L3" s="1297"/>
      <c r="M3" s="1297"/>
      <c r="N3" s="1012"/>
      <c r="O3" s="1012"/>
      <c r="P3" s="1013"/>
      <c r="Q3" s="1294"/>
      <c r="R3" s="1297" t="s">
        <v>232</v>
      </c>
      <c r="S3" s="1297"/>
      <c r="T3" s="1297"/>
      <c r="U3" s="1297"/>
      <c r="V3" s="1014"/>
      <c r="W3" s="1014"/>
    </row>
    <row r="4" spans="1:25" ht="12.75" customHeight="1" x14ac:dyDescent="0.25">
      <c r="A4" s="1294"/>
      <c r="B4" s="1301" t="s">
        <v>238</v>
      </c>
      <c r="C4" s="1302"/>
      <c r="D4" s="1302"/>
      <c r="E4" s="1303"/>
      <c r="F4" s="1015" t="s">
        <v>413</v>
      </c>
      <c r="G4" s="1015" t="s">
        <v>367</v>
      </c>
      <c r="H4" s="1016"/>
      <c r="I4" s="1294"/>
      <c r="J4" s="1301" t="s">
        <v>238</v>
      </c>
      <c r="K4" s="1302"/>
      <c r="L4" s="1302"/>
      <c r="M4" s="1303"/>
      <c r="N4" s="1015" t="s">
        <v>413</v>
      </c>
      <c r="O4" s="1015" t="s">
        <v>367</v>
      </c>
      <c r="P4" s="1016"/>
      <c r="Q4" s="1294"/>
      <c r="R4" s="1301" t="s">
        <v>238</v>
      </c>
      <c r="S4" s="1302"/>
      <c r="T4" s="1302"/>
      <c r="U4" s="1303"/>
      <c r="V4" s="1015" t="s">
        <v>413</v>
      </c>
      <c r="W4" s="1015" t="s">
        <v>367</v>
      </c>
    </row>
    <row r="5" spans="1:25" ht="15" customHeight="1" x14ac:dyDescent="0.25">
      <c r="A5" s="1294"/>
      <c r="B5" s="1014" t="s">
        <v>414</v>
      </c>
      <c r="C5" s="1015">
        <v>2019</v>
      </c>
      <c r="D5" s="1015">
        <v>2019</v>
      </c>
      <c r="E5" s="1015">
        <v>2020</v>
      </c>
      <c r="F5" s="1015"/>
      <c r="G5" s="1015"/>
      <c r="H5" s="1016"/>
      <c r="I5" s="1294"/>
      <c r="J5" s="1014" t="s">
        <v>414</v>
      </c>
      <c r="K5" s="1015">
        <v>2017</v>
      </c>
      <c r="L5" s="1015">
        <v>2017</v>
      </c>
      <c r="M5" s="1015">
        <v>2019</v>
      </c>
      <c r="N5" s="1015"/>
      <c r="O5" s="1015"/>
      <c r="P5" s="1016"/>
      <c r="Q5" s="1294"/>
      <c r="R5" s="1014" t="s">
        <v>414</v>
      </c>
      <c r="S5" s="1015">
        <v>2018</v>
      </c>
      <c r="T5" s="1015">
        <v>2021</v>
      </c>
      <c r="U5" s="1015">
        <v>2022</v>
      </c>
      <c r="V5" s="1015"/>
      <c r="W5" s="1015"/>
    </row>
    <row r="6" spans="1:25" ht="15" customHeight="1" x14ac:dyDescent="0.25">
      <c r="A6" s="1294"/>
      <c r="B6" s="1017">
        <v>150</v>
      </c>
      <c r="C6" s="1018">
        <v>0.76</v>
      </c>
      <c r="D6" s="1018">
        <v>0.76</v>
      </c>
      <c r="E6" s="1018">
        <v>0.31</v>
      </c>
      <c r="F6" s="1019">
        <f t="shared" ref="F6:F11" si="0">0.5*(MAX(C6:E6)-MIN(C6:E6))</f>
        <v>0.22500000000000001</v>
      </c>
      <c r="G6" s="1020">
        <f>B6*$H$6</f>
        <v>1.8</v>
      </c>
      <c r="H6" s="1016">
        <f>1.2/100</f>
        <v>1.2E-2</v>
      </c>
      <c r="I6" s="1294"/>
      <c r="J6" s="1017">
        <v>150</v>
      </c>
      <c r="K6" s="1021">
        <v>0.23</v>
      </c>
      <c r="L6" s="1021">
        <v>0.23</v>
      </c>
      <c r="M6" s="1018">
        <v>0.15</v>
      </c>
      <c r="N6" s="1019">
        <f t="shared" ref="N6:N11" si="1">0.5*(MAX(K6:M6)-MIN(K6:M6))</f>
        <v>4.0000000000000008E-2</v>
      </c>
      <c r="O6" s="1020">
        <f>J6*$P$6</f>
        <v>1.8</v>
      </c>
      <c r="P6" s="1016">
        <f>1.2/100</f>
        <v>1.2E-2</v>
      </c>
      <c r="Q6" s="1294"/>
      <c r="R6" s="1022">
        <v>150</v>
      </c>
      <c r="S6" s="1021">
        <v>-7.0000000000000007E-2</v>
      </c>
      <c r="T6" s="1021">
        <v>-1.6</v>
      </c>
      <c r="U6" s="1021">
        <v>-1.43</v>
      </c>
      <c r="V6" s="1019">
        <f t="shared" ref="V6:V11" si="2">0.5*(MAX(S6:U6)-MIN(S6:U6))</f>
        <v>0.76500000000000001</v>
      </c>
      <c r="W6" s="1023">
        <f>R6*$X$6</f>
        <v>1.8</v>
      </c>
      <c r="X6" s="1010">
        <f>1.2/100</f>
        <v>1.2E-2</v>
      </c>
    </row>
    <row r="7" spans="1:25" ht="12.75" customHeight="1" x14ac:dyDescent="0.25">
      <c r="A7" s="1294"/>
      <c r="B7" s="1017">
        <v>180</v>
      </c>
      <c r="C7" s="1024">
        <v>-0.13</v>
      </c>
      <c r="D7" s="1024">
        <v>-0.13</v>
      </c>
      <c r="E7" s="1024">
        <v>0.1</v>
      </c>
      <c r="F7" s="1019">
        <f t="shared" si="0"/>
        <v>0.115</v>
      </c>
      <c r="G7" s="1020">
        <f t="shared" ref="G7:G11" si="3">B7*$H$6</f>
        <v>2.16</v>
      </c>
      <c r="H7" s="1016"/>
      <c r="I7" s="1294"/>
      <c r="J7" s="1017">
        <v>180</v>
      </c>
      <c r="K7" s="1021">
        <v>-0.06</v>
      </c>
      <c r="L7" s="1021">
        <v>-0.06</v>
      </c>
      <c r="M7" s="1024">
        <v>0.12</v>
      </c>
      <c r="N7" s="1019">
        <f t="shared" si="1"/>
        <v>0.09</v>
      </c>
      <c r="O7" s="1020">
        <f t="shared" ref="O7:O11" si="4">J7*$P$6</f>
        <v>2.16</v>
      </c>
      <c r="P7" s="1016"/>
      <c r="Q7" s="1294"/>
      <c r="R7" s="1025">
        <v>180</v>
      </c>
      <c r="S7" s="1021">
        <v>-0.13</v>
      </c>
      <c r="T7" s="1021">
        <v>-1.9</v>
      </c>
      <c r="U7" s="1021">
        <v>-1.81</v>
      </c>
      <c r="V7" s="1019">
        <f t="shared" si="2"/>
        <v>0.88500000000000001</v>
      </c>
      <c r="W7" s="1023">
        <f t="shared" ref="W7:W11" si="5">R7*$X$6</f>
        <v>2.16</v>
      </c>
    </row>
    <row r="8" spans="1:25" ht="12.75" customHeight="1" x14ac:dyDescent="0.25">
      <c r="A8" s="1294"/>
      <c r="B8" s="1017">
        <v>200</v>
      </c>
      <c r="C8" s="1024">
        <v>-0.16</v>
      </c>
      <c r="D8" s="1024">
        <v>-0.16</v>
      </c>
      <c r="E8" s="1024">
        <v>-0.04</v>
      </c>
      <c r="F8" s="1019">
        <f t="shared" si="0"/>
        <v>0.06</v>
      </c>
      <c r="G8" s="1020">
        <f t="shared" si="3"/>
        <v>2.4</v>
      </c>
      <c r="H8" s="1016"/>
      <c r="I8" s="1294"/>
      <c r="J8" s="1017">
        <v>200</v>
      </c>
      <c r="K8" s="1021">
        <v>-0.18</v>
      </c>
      <c r="L8" s="1021">
        <v>-0.18</v>
      </c>
      <c r="M8" s="1024">
        <v>0.06</v>
      </c>
      <c r="N8" s="1019">
        <f t="shared" si="1"/>
        <v>0.12</v>
      </c>
      <c r="O8" s="1020">
        <f t="shared" si="4"/>
        <v>2.4</v>
      </c>
      <c r="P8" s="1016"/>
      <c r="Q8" s="1294"/>
      <c r="R8" s="1025">
        <v>200</v>
      </c>
      <c r="S8" s="1021">
        <v>-0.26</v>
      </c>
      <c r="T8" s="1021">
        <v>-2.14</v>
      </c>
      <c r="U8" s="1021">
        <v>-2.0499999999999998</v>
      </c>
      <c r="V8" s="1019">
        <f t="shared" si="2"/>
        <v>0.94000000000000006</v>
      </c>
      <c r="W8" s="1023">
        <f t="shared" si="5"/>
        <v>2.4</v>
      </c>
    </row>
    <row r="9" spans="1:25" ht="12.75" customHeight="1" x14ac:dyDescent="0.25">
      <c r="A9" s="1294"/>
      <c r="B9" s="1017">
        <v>220</v>
      </c>
      <c r="C9" s="1024">
        <v>-0.18</v>
      </c>
      <c r="D9" s="1024">
        <v>-0.18</v>
      </c>
      <c r="E9" s="1024">
        <v>-0.28000000000000003</v>
      </c>
      <c r="F9" s="1019">
        <f t="shared" si="0"/>
        <v>5.0000000000000017E-2</v>
      </c>
      <c r="G9" s="1020">
        <f t="shared" si="3"/>
        <v>2.64</v>
      </c>
      <c r="H9" s="1016"/>
      <c r="I9" s="1294"/>
      <c r="J9" s="1017">
        <v>220</v>
      </c>
      <c r="K9" s="1021">
        <v>-0.03</v>
      </c>
      <c r="L9" s="1021">
        <v>-0.03</v>
      </c>
      <c r="M9" s="1024">
        <v>0.05</v>
      </c>
      <c r="N9" s="1019">
        <f t="shared" si="1"/>
        <v>0.04</v>
      </c>
      <c r="O9" s="1020">
        <f t="shared" si="4"/>
        <v>2.64</v>
      </c>
      <c r="P9" s="1016"/>
      <c r="Q9" s="1294"/>
      <c r="R9" s="1025">
        <v>220</v>
      </c>
      <c r="S9" s="1021">
        <v>-0.28999999999999998</v>
      </c>
      <c r="T9" s="1021">
        <v>-3.44</v>
      </c>
      <c r="U9" s="1021">
        <v>-2.29</v>
      </c>
      <c r="V9" s="1019">
        <f t="shared" si="2"/>
        <v>1.575</v>
      </c>
      <c r="W9" s="1023">
        <f t="shared" si="5"/>
        <v>2.64</v>
      </c>
    </row>
    <row r="10" spans="1:25" ht="12.75" customHeight="1" x14ac:dyDescent="0.25">
      <c r="A10" s="1294"/>
      <c r="B10" s="1017">
        <v>230</v>
      </c>
      <c r="C10" s="1024">
        <v>-0.26</v>
      </c>
      <c r="D10" s="1024">
        <v>-0.26</v>
      </c>
      <c r="E10" s="1024">
        <v>-0.2</v>
      </c>
      <c r="F10" s="1019">
        <f t="shared" si="0"/>
        <v>0.03</v>
      </c>
      <c r="G10" s="1020">
        <f t="shared" si="3"/>
        <v>2.7600000000000002</v>
      </c>
      <c r="H10" s="1016"/>
      <c r="I10" s="1294"/>
      <c r="J10" s="1017">
        <v>230</v>
      </c>
      <c r="K10" s="1021">
        <v>-10.02</v>
      </c>
      <c r="L10" s="1021">
        <v>-10.02</v>
      </c>
      <c r="M10" s="1024">
        <v>0.05</v>
      </c>
      <c r="N10" s="1019">
        <f t="shared" si="1"/>
        <v>5.0350000000000001</v>
      </c>
      <c r="O10" s="1020">
        <f t="shared" si="4"/>
        <v>2.7600000000000002</v>
      </c>
      <c r="P10" s="1016"/>
      <c r="Q10" s="1294"/>
      <c r="R10" s="1025">
        <v>230</v>
      </c>
      <c r="S10" s="1021">
        <v>-0.23</v>
      </c>
      <c r="T10" s="1021">
        <v>-2.52</v>
      </c>
      <c r="U10" s="1021">
        <v>-11.79</v>
      </c>
      <c r="V10" s="1019">
        <f t="shared" si="2"/>
        <v>5.7799999999999994</v>
      </c>
      <c r="W10" s="1023">
        <f t="shared" si="5"/>
        <v>2.7600000000000002</v>
      </c>
    </row>
    <row r="11" spans="1:25" ht="12.75" customHeight="1" x14ac:dyDescent="0.25">
      <c r="A11" s="1294"/>
      <c r="B11" s="1017">
        <v>250</v>
      </c>
      <c r="C11" s="1024">
        <v>9.9999999999999995E-7</v>
      </c>
      <c r="D11" s="1024">
        <v>9.9999999999999995E-7</v>
      </c>
      <c r="E11" s="1024">
        <v>9.9999999999999995E-7</v>
      </c>
      <c r="F11" s="1019">
        <f t="shared" si="0"/>
        <v>0</v>
      </c>
      <c r="G11" s="1020">
        <f t="shared" si="3"/>
        <v>3</v>
      </c>
      <c r="H11" s="1016"/>
      <c r="I11" s="1294"/>
      <c r="J11" s="1017">
        <v>250</v>
      </c>
      <c r="K11" s="1021">
        <v>9.9999999999999995E-7</v>
      </c>
      <c r="L11" s="1021">
        <v>9.9999999999999995E-7</v>
      </c>
      <c r="M11" s="1024">
        <v>9.9999999999999995E-7</v>
      </c>
      <c r="N11" s="1019">
        <f t="shared" si="1"/>
        <v>0</v>
      </c>
      <c r="O11" s="1020">
        <f t="shared" si="4"/>
        <v>3</v>
      </c>
      <c r="P11" s="1016"/>
      <c r="Q11" s="1294"/>
      <c r="R11" s="1025">
        <v>250</v>
      </c>
      <c r="S11" s="1021">
        <v>9.9999999999999995E-7</v>
      </c>
      <c r="T11" s="1026">
        <v>9.9999999999999995E-7</v>
      </c>
      <c r="U11" s="1026">
        <v>9.9999999999999995E-7</v>
      </c>
      <c r="V11" s="1019">
        <f t="shared" si="2"/>
        <v>0</v>
      </c>
      <c r="W11" s="1023">
        <f t="shared" si="5"/>
        <v>3</v>
      </c>
    </row>
    <row r="12" spans="1:25" ht="12.75" customHeight="1" x14ac:dyDescent="0.25">
      <c r="A12" s="1294"/>
      <c r="B12" s="1298" t="s">
        <v>415</v>
      </c>
      <c r="C12" s="1299"/>
      <c r="D12" s="1299"/>
      <c r="E12" s="1300"/>
      <c r="F12" s="1015" t="s">
        <v>413</v>
      </c>
      <c r="G12" s="1015" t="s">
        <v>367</v>
      </c>
      <c r="H12" s="1016"/>
      <c r="I12" s="1294"/>
      <c r="J12" s="1298" t="s">
        <v>415</v>
      </c>
      <c r="K12" s="1299"/>
      <c r="L12" s="1299"/>
      <c r="M12" s="1300"/>
      <c r="N12" s="1015" t="s">
        <v>413</v>
      </c>
      <c r="O12" s="1015" t="s">
        <v>367</v>
      </c>
      <c r="P12" s="1016"/>
      <c r="Q12" s="1294"/>
      <c r="R12" s="1298" t="s">
        <v>415</v>
      </c>
      <c r="S12" s="1299"/>
      <c r="T12" s="1299"/>
      <c r="U12" s="1300"/>
      <c r="V12" s="1015" t="s">
        <v>413</v>
      </c>
      <c r="W12" s="1015" t="s">
        <v>367</v>
      </c>
    </row>
    <row r="13" spans="1:25" ht="15" customHeight="1" x14ac:dyDescent="0.25">
      <c r="A13" s="1294"/>
      <c r="B13" s="1014" t="s">
        <v>416</v>
      </c>
      <c r="C13" s="1015">
        <f>C5</f>
        <v>2019</v>
      </c>
      <c r="D13" s="1015">
        <f>D5</f>
        <v>2019</v>
      </c>
      <c r="E13" s="1015">
        <f>E5</f>
        <v>2020</v>
      </c>
      <c r="F13" s="1015"/>
      <c r="G13" s="1015"/>
      <c r="H13" s="1016"/>
      <c r="I13" s="1294"/>
      <c r="J13" s="1014" t="s">
        <v>416</v>
      </c>
      <c r="K13" s="1015">
        <f>K5</f>
        <v>2017</v>
      </c>
      <c r="L13" s="1015">
        <f>L5</f>
        <v>2017</v>
      </c>
      <c r="M13" s="1015">
        <f>M5</f>
        <v>2019</v>
      </c>
      <c r="N13" s="1015"/>
      <c r="O13" s="1015"/>
      <c r="P13" s="1016"/>
      <c r="Q13" s="1294"/>
      <c r="R13" s="1014" t="s">
        <v>416</v>
      </c>
      <c r="S13" s="1015">
        <f>S5</f>
        <v>2018</v>
      </c>
      <c r="T13" s="1015">
        <f>T5</f>
        <v>2021</v>
      </c>
      <c r="U13" s="1015">
        <f>U5</f>
        <v>2022</v>
      </c>
      <c r="V13" s="1015"/>
      <c r="W13" s="1015"/>
    </row>
    <row r="14" spans="1:25" ht="12.75" customHeight="1" x14ac:dyDescent="0.25">
      <c r="A14" s="1294"/>
      <c r="B14" s="1027">
        <v>9.9999999999999995E-7</v>
      </c>
      <c r="C14" s="1027">
        <v>9.9999999999999995E-7</v>
      </c>
      <c r="D14" s="1027">
        <v>9.9999999999999995E-7</v>
      </c>
      <c r="E14" s="1028">
        <v>0</v>
      </c>
      <c r="F14" s="1019">
        <f t="shared" ref="F14:F19" si="6">0.5*(MAX(C14:E14)-MIN(C14:E14))</f>
        <v>4.9999999999999998E-7</v>
      </c>
      <c r="G14" s="1029">
        <f>B14*$H$14</f>
        <v>5.8999999999999999E-9</v>
      </c>
      <c r="H14" s="1016">
        <f>0.59/100</f>
        <v>5.8999999999999999E-3</v>
      </c>
      <c r="I14" s="1294"/>
      <c r="J14" s="1030">
        <v>9.9999999999999995E-7</v>
      </c>
      <c r="K14" s="1021">
        <v>9.9999999999999995E-7</v>
      </c>
      <c r="L14" s="1021">
        <v>9.9999999999999995E-7</v>
      </c>
      <c r="M14" s="1024">
        <v>9.9999999999999995E-7</v>
      </c>
      <c r="N14" s="1019">
        <f t="shared" ref="N14:N19" si="7">0.5*(MAX(K14:M14)-MIN(K14:M14))</f>
        <v>0</v>
      </c>
      <c r="O14" s="1029">
        <f>J14*$P$14</f>
        <v>5.8999999999999999E-9</v>
      </c>
      <c r="P14" s="1016">
        <f>0.59/100</f>
        <v>5.8999999999999999E-3</v>
      </c>
      <c r="Q14" s="1294"/>
      <c r="R14" s="1021">
        <v>9.9999999999999995E-7</v>
      </c>
      <c r="S14" s="1020">
        <v>9.9999999999999995E-7</v>
      </c>
      <c r="T14" s="1024">
        <v>9.9999999999999995E-7</v>
      </c>
      <c r="U14" s="1024">
        <v>9.9999999999999995E-7</v>
      </c>
      <c r="V14" s="1019">
        <f t="shared" ref="V14:V19" si="8">0.5*(MAX(S14:U14)-MIN(S14:U14))</f>
        <v>0</v>
      </c>
      <c r="W14" s="1029">
        <f>R14*$X$14</f>
        <v>5.8999999999999999E-9</v>
      </c>
      <c r="X14" s="1010">
        <f>0.59/100</f>
        <v>5.8999999999999999E-3</v>
      </c>
    </row>
    <row r="15" spans="1:25" ht="12.75" customHeight="1" x14ac:dyDescent="0.25">
      <c r="A15" s="1294"/>
      <c r="B15" s="1025">
        <v>50</v>
      </c>
      <c r="C15" s="1024">
        <v>-0.06</v>
      </c>
      <c r="D15" s="1024">
        <v>-0.06</v>
      </c>
      <c r="E15" s="1024">
        <v>0.1</v>
      </c>
      <c r="F15" s="1019">
        <f t="shared" si="6"/>
        <v>0.08</v>
      </c>
      <c r="G15" s="1029">
        <f t="shared" ref="G15:G19" si="9">B15*$H$14</f>
        <v>0.29499999999999998</v>
      </c>
      <c r="H15" s="1016"/>
      <c r="I15" s="1294"/>
      <c r="J15" s="1025">
        <v>50</v>
      </c>
      <c r="K15" s="1021">
        <v>0.1</v>
      </c>
      <c r="L15" s="1021">
        <v>0.1</v>
      </c>
      <c r="M15" s="1024">
        <v>0.1</v>
      </c>
      <c r="N15" s="1019">
        <f t="shared" si="7"/>
        <v>0</v>
      </c>
      <c r="O15" s="1029">
        <f>J15*$P$14</f>
        <v>0.29499999999999998</v>
      </c>
      <c r="P15" s="1016"/>
      <c r="Q15" s="1294"/>
      <c r="R15" s="1025">
        <v>50</v>
      </c>
      <c r="S15" s="1021">
        <v>2</v>
      </c>
      <c r="T15" s="1021">
        <v>2.1</v>
      </c>
      <c r="U15" s="1021">
        <v>9.1</v>
      </c>
      <c r="V15" s="1019">
        <f t="shared" si="8"/>
        <v>3.55</v>
      </c>
      <c r="W15" s="1029">
        <f t="shared" ref="W15:W19" si="10">R15*$X$14</f>
        <v>0.29499999999999998</v>
      </c>
    </row>
    <row r="16" spans="1:25" ht="12.75" customHeight="1" x14ac:dyDescent="0.25">
      <c r="A16" s="1294"/>
      <c r="B16" s="1025">
        <v>100</v>
      </c>
      <c r="C16" s="1024">
        <v>-0.06</v>
      </c>
      <c r="D16" s="1024">
        <v>-0.06</v>
      </c>
      <c r="E16" s="1024">
        <v>0.2</v>
      </c>
      <c r="F16" s="1019">
        <f t="shared" si="6"/>
        <v>0.13</v>
      </c>
      <c r="G16" s="1029">
        <f t="shared" si="9"/>
        <v>0.59</v>
      </c>
      <c r="H16" s="1016"/>
      <c r="I16" s="1294"/>
      <c r="J16" s="1025">
        <v>100</v>
      </c>
      <c r="K16" s="1021">
        <v>2.2000000000000002</v>
      </c>
      <c r="L16" s="1021">
        <v>2.2000000000000002</v>
      </c>
      <c r="M16" s="1024">
        <v>0.4</v>
      </c>
      <c r="N16" s="1019">
        <f t="shared" si="7"/>
        <v>0.90000000000000013</v>
      </c>
      <c r="O16" s="1029">
        <f t="shared" ref="O16:O19" si="11">J16*$P$14</f>
        <v>0.59</v>
      </c>
      <c r="P16" s="1016"/>
      <c r="Q16" s="1294"/>
      <c r="R16" s="1025">
        <v>100</v>
      </c>
      <c r="S16" s="1021">
        <v>2</v>
      </c>
      <c r="T16" s="1021">
        <v>2.2999999999999998</v>
      </c>
      <c r="U16" s="1021">
        <v>6</v>
      </c>
      <c r="V16" s="1019">
        <f t="shared" si="8"/>
        <v>2</v>
      </c>
      <c r="W16" s="1029">
        <f t="shared" si="10"/>
        <v>0.59</v>
      </c>
    </row>
    <row r="17" spans="1:24" ht="12.75" customHeight="1" x14ac:dyDescent="0.25">
      <c r="A17" s="1294"/>
      <c r="B17" s="1025">
        <v>200</v>
      </c>
      <c r="C17" s="1024">
        <v>0</v>
      </c>
      <c r="D17" s="1024">
        <v>0</v>
      </c>
      <c r="E17" s="1024">
        <v>0.4</v>
      </c>
      <c r="F17" s="1019">
        <f t="shared" si="6"/>
        <v>0.2</v>
      </c>
      <c r="G17" s="1029">
        <f t="shared" si="9"/>
        <v>1.18</v>
      </c>
      <c r="H17" s="1016"/>
      <c r="I17" s="1294"/>
      <c r="J17" s="1025">
        <v>200</v>
      </c>
      <c r="K17" s="1021">
        <v>3.3</v>
      </c>
      <c r="L17" s="1021">
        <v>3.3</v>
      </c>
      <c r="M17" s="1024">
        <v>0.7</v>
      </c>
      <c r="N17" s="1019">
        <f t="shared" si="7"/>
        <v>1.2999999999999998</v>
      </c>
      <c r="O17" s="1029">
        <f t="shared" si="11"/>
        <v>1.18</v>
      </c>
      <c r="P17" s="1016"/>
      <c r="Q17" s="1294"/>
      <c r="R17" s="1025">
        <v>200</v>
      </c>
      <c r="S17" s="1021">
        <v>3.6</v>
      </c>
      <c r="T17" s="1021">
        <v>2.5</v>
      </c>
      <c r="U17" s="1021">
        <v>-3.6</v>
      </c>
      <c r="V17" s="1019">
        <f t="shared" si="8"/>
        <v>3.6</v>
      </c>
      <c r="W17" s="1029">
        <f t="shared" si="10"/>
        <v>1.18</v>
      </c>
    </row>
    <row r="18" spans="1:24" ht="12.75" customHeight="1" x14ac:dyDescent="0.25">
      <c r="A18" s="1294"/>
      <c r="B18" s="1025">
        <v>500</v>
      </c>
      <c r="C18" s="1024">
        <v>-0.9</v>
      </c>
      <c r="D18" s="1024">
        <v>-0.9</v>
      </c>
      <c r="E18" s="1024">
        <v>3.8</v>
      </c>
      <c r="F18" s="1019">
        <f t="shared" si="6"/>
        <v>2.35</v>
      </c>
      <c r="G18" s="1029">
        <f t="shared" si="9"/>
        <v>2.9499999999999997</v>
      </c>
      <c r="H18" s="1016"/>
      <c r="I18" s="1294"/>
      <c r="J18" s="1025">
        <v>500</v>
      </c>
      <c r="K18" s="1021">
        <v>20</v>
      </c>
      <c r="L18" s="1021">
        <v>20</v>
      </c>
      <c r="M18" s="1024">
        <v>0.8</v>
      </c>
      <c r="N18" s="1019">
        <f t="shared" si="7"/>
        <v>9.6</v>
      </c>
      <c r="O18" s="1029">
        <f t="shared" si="11"/>
        <v>2.9499999999999997</v>
      </c>
      <c r="P18" s="1016"/>
      <c r="Q18" s="1294"/>
      <c r="R18" s="1025">
        <v>500</v>
      </c>
      <c r="S18" s="1021">
        <v>2.9</v>
      </c>
      <c r="T18" s="1021">
        <v>4.3</v>
      </c>
      <c r="U18" s="1021">
        <v>-18.8</v>
      </c>
      <c r="V18" s="1019">
        <f t="shared" si="8"/>
        <v>11.55</v>
      </c>
      <c r="W18" s="1029">
        <f t="shared" si="10"/>
        <v>2.9499999999999997</v>
      </c>
    </row>
    <row r="19" spans="1:24" ht="12.75" customHeight="1" x14ac:dyDescent="0.25">
      <c r="A19" s="1294"/>
      <c r="B19" s="1025">
        <v>1000</v>
      </c>
      <c r="C19" s="1024">
        <v>-3.0000000000000001E-3</v>
      </c>
      <c r="D19" s="1024">
        <v>-3.0000000000000001E-3</v>
      </c>
      <c r="E19" s="1024">
        <v>9</v>
      </c>
      <c r="F19" s="1019">
        <f t="shared" si="6"/>
        <v>4.5015000000000001</v>
      </c>
      <c r="G19" s="1029">
        <f t="shared" si="9"/>
        <v>5.8999999999999995</v>
      </c>
      <c r="H19" s="1016"/>
      <c r="I19" s="1294"/>
      <c r="J19" s="1025">
        <v>1000</v>
      </c>
      <c r="K19" s="1031">
        <v>2</v>
      </c>
      <c r="L19" s="1031">
        <v>2</v>
      </c>
      <c r="M19" s="1024">
        <v>8.0000000000000002E-3</v>
      </c>
      <c r="N19" s="1019">
        <f t="shared" si="7"/>
        <v>0.996</v>
      </c>
      <c r="O19" s="1029">
        <f t="shared" si="11"/>
        <v>5.8999999999999995</v>
      </c>
      <c r="P19" s="1016"/>
      <c r="Q19" s="1294"/>
      <c r="R19" s="1025">
        <v>1000</v>
      </c>
      <c r="S19" s="1021">
        <v>3</v>
      </c>
      <c r="T19" s="1021">
        <v>2</v>
      </c>
      <c r="U19" s="1021">
        <v>-47</v>
      </c>
      <c r="V19" s="1019">
        <f t="shared" si="8"/>
        <v>25</v>
      </c>
      <c r="W19" s="1029">
        <f t="shared" si="10"/>
        <v>5.8999999999999995</v>
      </c>
    </row>
    <row r="20" spans="1:24" ht="12.75" customHeight="1" x14ac:dyDescent="0.25">
      <c r="A20" s="1294"/>
      <c r="B20" s="1298" t="s">
        <v>310</v>
      </c>
      <c r="C20" s="1299"/>
      <c r="D20" s="1299"/>
      <c r="E20" s="1300"/>
      <c r="F20" s="1015" t="s">
        <v>413</v>
      </c>
      <c r="G20" s="1015" t="s">
        <v>367</v>
      </c>
      <c r="H20" s="1016"/>
      <c r="I20" s="1294"/>
      <c r="J20" s="1298" t="str">
        <f>B20</f>
        <v>Main-PE</v>
      </c>
      <c r="K20" s="1299"/>
      <c r="L20" s="1299"/>
      <c r="M20" s="1300"/>
      <c r="N20" s="1015" t="s">
        <v>413</v>
      </c>
      <c r="O20" s="1015" t="s">
        <v>367</v>
      </c>
      <c r="P20" s="1016"/>
      <c r="Q20" s="1294"/>
      <c r="R20" s="1298" t="str">
        <f>B20</f>
        <v>Main-PE</v>
      </c>
      <c r="S20" s="1299"/>
      <c r="T20" s="1299"/>
      <c r="U20" s="1300"/>
      <c r="V20" s="1015" t="s">
        <v>413</v>
      </c>
      <c r="W20" s="1015" t="s">
        <v>367</v>
      </c>
    </row>
    <row r="21" spans="1:24" ht="15" customHeight="1" x14ac:dyDescent="0.25">
      <c r="A21" s="1294"/>
      <c r="B21" s="1014" t="s">
        <v>417</v>
      </c>
      <c r="C21" s="1015">
        <v>2019</v>
      </c>
      <c r="D21" s="1015">
        <v>2019</v>
      </c>
      <c r="E21" s="1015">
        <v>2015</v>
      </c>
      <c r="F21" s="1015"/>
      <c r="G21" s="1015"/>
      <c r="H21" s="1016"/>
      <c r="I21" s="1294"/>
      <c r="J21" s="1014" t="s">
        <v>417</v>
      </c>
      <c r="K21" s="1015">
        <f>K5</f>
        <v>2017</v>
      </c>
      <c r="L21" s="1015">
        <f>L5</f>
        <v>2017</v>
      </c>
      <c r="M21" s="1015">
        <f>M5</f>
        <v>2019</v>
      </c>
      <c r="N21" s="1015"/>
      <c r="O21" s="1015"/>
      <c r="P21" s="1016"/>
      <c r="Q21" s="1294"/>
      <c r="R21" s="1014" t="s">
        <v>417</v>
      </c>
      <c r="S21" s="1015">
        <f>S5</f>
        <v>2018</v>
      </c>
      <c r="T21" s="1015">
        <f>T5</f>
        <v>2021</v>
      </c>
      <c r="U21" s="1015">
        <f>U5</f>
        <v>2022</v>
      </c>
      <c r="V21" s="1015"/>
      <c r="W21" s="1015"/>
    </row>
    <row r="22" spans="1:24" ht="12.75" customHeight="1" x14ac:dyDescent="0.25">
      <c r="A22" s="1294"/>
      <c r="B22" s="1025">
        <v>10</v>
      </c>
      <c r="C22" s="1021" t="s">
        <v>191</v>
      </c>
      <c r="D22" s="1021" t="s">
        <v>191</v>
      </c>
      <c r="E22" s="1021">
        <v>9.9999999999999995E-7</v>
      </c>
      <c r="F22" s="1019">
        <f t="shared" ref="F22:F25" si="12">0.5*(MAX(C22:E22)-MIN(C22:E22))</f>
        <v>0</v>
      </c>
      <c r="G22" s="1030">
        <v>1.4</v>
      </c>
      <c r="H22" s="1016"/>
      <c r="I22" s="1294"/>
      <c r="J22" s="1025">
        <v>10</v>
      </c>
      <c r="K22" s="1021">
        <v>9.9999999999999995E-7</v>
      </c>
      <c r="L22" s="1021">
        <v>9.9999999999999995E-7</v>
      </c>
      <c r="M22" s="1024">
        <v>0.1</v>
      </c>
      <c r="N22" s="1019">
        <f t="shared" ref="N22:N25" si="13">0.5*(MAX(K22:M22)-MIN(K22:M22))</f>
        <v>4.9999500000000002E-2</v>
      </c>
      <c r="O22" s="1021">
        <f>J22*$P$22</f>
        <v>5.8999999999999997E-2</v>
      </c>
      <c r="P22" s="1016">
        <f>0.59/100</f>
        <v>5.8999999999999999E-3</v>
      </c>
      <c r="Q22" s="1294"/>
      <c r="R22" s="1025">
        <v>10</v>
      </c>
      <c r="S22" s="1021">
        <v>9.9999999999999995E-7</v>
      </c>
      <c r="T22" s="1021">
        <v>0.26</v>
      </c>
      <c r="U22" s="1021">
        <v>0</v>
      </c>
      <c r="V22" s="1019">
        <f t="shared" ref="V22:V25" si="14">0.5*(MAX(S22:U22)-MIN(S22:U22))</f>
        <v>0.13</v>
      </c>
      <c r="W22" s="1030">
        <f>R22*$X$22</f>
        <v>0.17</v>
      </c>
      <c r="X22" s="1010">
        <f>1.7/100</f>
        <v>1.7000000000000001E-2</v>
      </c>
    </row>
    <row r="23" spans="1:24" ht="12.75" customHeight="1" x14ac:dyDescent="0.25">
      <c r="A23" s="1294"/>
      <c r="B23" s="1025">
        <v>20</v>
      </c>
      <c r="C23" s="1021" t="s">
        <v>191</v>
      </c>
      <c r="D23" s="1021" t="s">
        <v>191</v>
      </c>
      <c r="E23" s="1021">
        <v>9.9999999999999995E-7</v>
      </c>
      <c r="F23" s="1019">
        <f t="shared" si="12"/>
        <v>0</v>
      </c>
      <c r="G23" s="1030">
        <v>1.4</v>
      </c>
      <c r="H23" s="1016"/>
      <c r="I23" s="1294"/>
      <c r="J23" s="1025">
        <v>20</v>
      </c>
      <c r="K23" s="1021">
        <v>0.1</v>
      </c>
      <c r="L23" s="1021">
        <v>0.1</v>
      </c>
      <c r="M23" s="1024">
        <v>0.2</v>
      </c>
      <c r="N23" s="1019">
        <f t="shared" si="13"/>
        <v>0.05</v>
      </c>
      <c r="O23" s="1021">
        <f t="shared" ref="O23:O25" si="15">J23*$P$22</f>
        <v>0.11799999999999999</v>
      </c>
      <c r="P23" s="1016"/>
      <c r="Q23" s="1294"/>
      <c r="R23" s="1025">
        <v>20</v>
      </c>
      <c r="S23" s="1021">
        <v>0</v>
      </c>
      <c r="T23" s="1026">
        <v>9.9999999999999995E-7</v>
      </c>
      <c r="U23" s="1026">
        <v>0</v>
      </c>
      <c r="V23" s="1019">
        <f t="shared" si="14"/>
        <v>4.9999999999999998E-7</v>
      </c>
      <c r="W23" s="1030">
        <f t="shared" ref="W23:W25" si="16">R23*$X$22</f>
        <v>0.34</v>
      </c>
    </row>
    <row r="24" spans="1:24" ht="12.75" customHeight="1" x14ac:dyDescent="0.25">
      <c r="A24" s="1294"/>
      <c r="B24" s="1025">
        <v>50</v>
      </c>
      <c r="C24" s="1021" t="s">
        <v>191</v>
      </c>
      <c r="D24" s="1021" t="s">
        <v>191</v>
      </c>
      <c r="E24" s="1021">
        <v>9.9999999999999995E-7</v>
      </c>
      <c r="F24" s="1019">
        <f t="shared" si="12"/>
        <v>0</v>
      </c>
      <c r="G24" s="1030">
        <v>1.4</v>
      </c>
      <c r="H24" s="1016"/>
      <c r="I24" s="1294"/>
      <c r="J24" s="1025">
        <v>50</v>
      </c>
      <c r="K24" s="1021">
        <v>0.1</v>
      </c>
      <c r="L24" s="1021">
        <v>0.1</v>
      </c>
      <c r="M24" s="1024">
        <v>0.3</v>
      </c>
      <c r="N24" s="1019">
        <f t="shared" si="13"/>
        <v>9.9999999999999992E-2</v>
      </c>
      <c r="O24" s="1021">
        <f t="shared" si="15"/>
        <v>0.29499999999999998</v>
      </c>
      <c r="P24" s="1016"/>
      <c r="Q24" s="1294"/>
      <c r="R24" s="1025">
        <v>50</v>
      </c>
      <c r="S24" s="1021">
        <v>0.3</v>
      </c>
      <c r="T24" s="1021">
        <v>0.16</v>
      </c>
      <c r="U24" s="1021">
        <v>0.1</v>
      </c>
      <c r="V24" s="1019">
        <f t="shared" si="14"/>
        <v>9.9999999999999992E-2</v>
      </c>
      <c r="W24" s="1030">
        <f t="shared" si="16"/>
        <v>0.85000000000000009</v>
      </c>
    </row>
    <row r="25" spans="1:24" ht="12.75" customHeight="1" x14ac:dyDescent="0.25">
      <c r="A25" s="1294"/>
      <c r="B25" s="1025">
        <v>100</v>
      </c>
      <c r="C25" s="1021" t="s">
        <v>191</v>
      </c>
      <c r="D25" s="1021" t="s">
        <v>191</v>
      </c>
      <c r="E25" s="1021">
        <v>-0.3</v>
      </c>
      <c r="F25" s="1019">
        <f t="shared" si="12"/>
        <v>0</v>
      </c>
      <c r="G25" s="1030">
        <v>1.4</v>
      </c>
      <c r="H25" s="1016"/>
      <c r="I25" s="1294"/>
      <c r="J25" s="1025">
        <v>100</v>
      </c>
      <c r="K25" s="1021">
        <v>9.9999999999999995E-7</v>
      </c>
      <c r="L25" s="1021">
        <v>9.9999999999999995E-7</v>
      </c>
      <c r="M25" s="1024">
        <v>0.3</v>
      </c>
      <c r="N25" s="1019">
        <f t="shared" si="13"/>
        <v>0.14999950000000001</v>
      </c>
      <c r="O25" s="1021">
        <f t="shared" si="15"/>
        <v>0.59</v>
      </c>
      <c r="P25" s="1016"/>
      <c r="Q25" s="1294"/>
      <c r="R25" s="1025">
        <v>100</v>
      </c>
      <c r="S25" s="1021">
        <v>0.6</v>
      </c>
      <c r="T25" s="1021">
        <v>0.06</v>
      </c>
      <c r="U25" s="1021">
        <v>0.1</v>
      </c>
      <c r="V25" s="1019">
        <f t="shared" si="14"/>
        <v>0.27</v>
      </c>
      <c r="W25" s="1030">
        <f t="shared" si="16"/>
        <v>1.7000000000000002</v>
      </c>
    </row>
    <row r="26" spans="1:24" ht="12.75" customHeight="1" x14ac:dyDescent="0.25">
      <c r="A26" s="1294"/>
      <c r="B26" s="1298" t="s">
        <v>307</v>
      </c>
      <c r="C26" s="1299"/>
      <c r="D26" s="1299"/>
      <c r="E26" s="1300"/>
      <c r="F26" s="1015" t="s">
        <v>413</v>
      </c>
      <c r="G26" s="1015" t="s">
        <v>367</v>
      </c>
      <c r="H26" s="1016"/>
      <c r="I26" s="1294"/>
      <c r="J26" s="1298" t="str">
        <f>B26</f>
        <v>Resistance</v>
      </c>
      <c r="K26" s="1299"/>
      <c r="L26" s="1299"/>
      <c r="M26" s="1300"/>
      <c r="N26" s="1015" t="s">
        <v>413</v>
      </c>
      <c r="O26" s="1015" t="s">
        <v>367</v>
      </c>
      <c r="P26" s="1016"/>
      <c r="Q26" s="1294"/>
      <c r="R26" s="1298" t="str">
        <f>B26</f>
        <v>Resistance</v>
      </c>
      <c r="S26" s="1299"/>
      <c r="T26" s="1299"/>
      <c r="U26" s="1300"/>
      <c r="V26" s="1015" t="s">
        <v>413</v>
      </c>
      <c r="W26" s="1015" t="s">
        <v>367</v>
      </c>
    </row>
    <row r="27" spans="1:24" ht="15" customHeight="1" x14ac:dyDescent="0.25">
      <c r="A27" s="1294"/>
      <c r="B27" s="1014" t="s">
        <v>418</v>
      </c>
      <c r="C27" s="1015">
        <f>C5</f>
        <v>2019</v>
      </c>
      <c r="D27" s="1015">
        <f>D5</f>
        <v>2019</v>
      </c>
      <c r="E27" s="1015">
        <f>E5</f>
        <v>2020</v>
      </c>
      <c r="F27" s="1015"/>
      <c r="G27" s="1015"/>
      <c r="H27" s="1016"/>
      <c r="I27" s="1294"/>
      <c r="J27" s="1014" t="s">
        <v>418</v>
      </c>
      <c r="K27" s="1015">
        <f>K5</f>
        <v>2017</v>
      </c>
      <c r="L27" s="1015">
        <f>L5</f>
        <v>2017</v>
      </c>
      <c r="M27" s="1015">
        <f>M5</f>
        <v>2019</v>
      </c>
      <c r="N27" s="1015"/>
      <c r="O27" s="1015"/>
      <c r="P27" s="1016"/>
      <c r="Q27" s="1294"/>
      <c r="R27" s="1014" t="s">
        <v>418</v>
      </c>
      <c r="S27" s="1015">
        <f>S5</f>
        <v>2018</v>
      </c>
      <c r="T27" s="1015">
        <f>T5</f>
        <v>2021</v>
      </c>
      <c r="U27" s="1015">
        <f>U5</f>
        <v>2022</v>
      </c>
      <c r="V27" s="1015"/>
      <c r="W27" s="1015"/>
    </row>
    <row r="28" spans="1:24" ht="12.75" customHeight="1" x14ac:dyDescent="0.25">
      <c r="A28" s="1294"/>
      <c r="B28" s="1025">
        <v>0.01</v>
      </c>
      <c r="C28" s="1026">
        <v>9.9999999999999995E-7</v>
      </c>
      <c r="D28" s="1026">
        <v>9.9999999999999995E-7</v>
      </c>
      <c r="E28" s="1026">
        <v>9.9999999999999995E-7</v>
      </c>
      <c r="F28" s="1019">
        <f t="shared" ref="F28:F31" si="17">0.5*(MAX(C28:E28)-MIN(C28:E28))</f>
        <v>0</v>
      </c>
      <c r="G28" s="1025">
        <f>B28*$H$28</f>
        <v>1.2E-4</v>
      </c>
      <c r="H28" s="1016">
        <f>1.2/100</f>
        <v>1.2E-2</v>
      </c>
      <c r="I28" s="1294"/>
      <c r="J28" s="1025">
        <v>0.01</v>
      </c>
      <c r="K28" s="1031">
        <v>9.9999999999999995E-7</v>
      </c>
      <c r="L28" s="1031">
        <v>9.9999999999999995E-7</v>
      </c>
      <c r="M28" s="1026">
        <v>9.9999999999999995E-7</v>
      </c>
      <c r="N28" s="1019">
        <f t="shared" ref="N28:N31" si="18">0.5*(MAX(K28:M28)-MIN(K28:M28))</f>
        <v>0</v>
      </c>
      <c r="O28" s="1025">
        <f>J28*$P$28</f>
        <v>1.2E-4</v>
      </c>
      <c r="P28" s="1032">
        <f>1.2/100</f>
        <v>1.2E-2</v>
      </c>
      <c r="Q28" s="1294"/>
      <c r="R28" s="1025">
        <v>0.01</v>
      </c>
      <c r="S28" s="1031">
        <v>9.9999999999999995E-7</v>
      </c>
      <c r="T28" s="1026">
        <v>9.9999999999999995E-7</v>
      </c>
      <c r="U28" s="1026">
        <v>0</v>
      </c>
      <c r="V28" s="1019">
        <f t="shared" ref="V28:V31" si="19">0.5*(MAX(S28:U28)-MIN(S28:U28))</f>
        <v>4.9999999999999998E-7</v>
      </c>
      <c r="W28" s="1033">
        <f>R28*$X$28</f>
        <v>1.2E-4</v>
      </c>
      <c r="X28" s="1010">
        <f>1.2/100</f>
        <v>1.2E-2</v>
      </c>
    </row>
    <row r="29" spans="1:24" ht="12.75" customHeight="1" x14ac:dyDescent="0.25">
      <c r="A29" s="1294"/>
      <c r="B29" s="1025">
        <v>0.1</v>
      </c>
      <c r="C29" s="1026">
        <v>2E-3</v>
      </c>
      <c r="D29" s="1026">
        <v>2E-3</v>
      </c>
      <c r="E29" s="1026">
        <v>-1E-3</v>
      </c>
      <c r="F29" s="1019">
        <f t="shared" si="17"/>
        <v>1.5E-3</v>
      </c>
      <c r="G29" s="1025">
        <f t="shared" ref="G29:G31" si="20">B29*$H$28</f>
        <v>1.2000000000000001E-3</v>
      </c>
      <c r="H29" s="1016"/>
      <c r="I29" s="1294"/>
      <c r="J29" s="1025">
        <v>0.1</v>
      </c>
      <c r="K29" s="1031">
        <v>5.0000000000000001E-3</v>
      </c>
      <c r="L29" s="1031">
        <v>5.0000000000000001E-3</v>
      </c>
      <c r="M29" s="1026">
        <v>6.0000000000000001E-3</v>
      </c>
      <c r="N29" s="1019">
        <f t="shared" si="18"/>
        <v>5.0000000000000001E-4</v>
      </c>
      <c r="O29" s="1025">
        <f t="shared" ref="O29:O31" si="21">J29*$P$28</f>
        <v>1.2000000000000001E-3</v>
      </c>
      <c r="P29" s="1016"/>
      <c r="Q29" s="1294"/>
      <c r="R29" s="1025">
        <v>0.1</v>
      </c>
      <c r="S29" s="1031">
        <v>9.9999999999999995E-7</v>
      </c>
      <c r="T29" s="1026">
        <v>9.9999999999999995E-7</v>
      </c>
      <c r="U29" s="1026">
        <v>-2E-3</v>
      </c>
      <c r="V29" s="1019">
        <f t="shared" si="19"/>
        <v>1.0005000000000001E-3</v>
      </c>
      <c r="W29" s="1033">
        <f t="shared" ref="W29:W31" si="22">R29*$X$28</f>
        <v>1.2000000000000001E-3</v>
      </c>
    </row>
    <row r="30" spans="1:24" ht="12.75" customHeight="1" x14ac:dyDescent="0.25">
      <c r="A30" s="1294"/>
      <c r="B30" s="1025">
        <v>1</v>
      </c>
      <c r="C30" s="1026">
        <v>1.2E-2</v>
      </c>
      <c r="D30" s="1026">
        <v>1.2E-2</v>
      </c>
      <c r="E30" s="1026">
        <v>4.0000000000000001E-3</v>
      </c>
      <c r="F30" s="1019">
        <f t="shared" si="17"/>
        <v>4.0000000000000001E-3</v>
      </c>
      <c r="G30" s="1025">
        <f t="shared" si="20"/>
        <v>1.2E-2</v>
      </c>
      <c r="H30" s="1016"/>
      <c r="I30" s="1294"/>
      <c r="J30" s="1025">
        <v>1</v>
      </c>
      <c r="K30" s="1031">
        <v>5.5E-2</v>
      </c>
      <c r="L30" s="1031">
        <v>5.5E-2</v>
      </c>
      <c r="M30" s="1026">
        <v>4.4999999999999998E-2</v>
      </c>
      <c r="N30" s="1019">
        <f t="shared" si="18"/>
        <v>5.000000000000001E-3</v>
      </c>
      <c r="O30" s="1025">
        <f t="shared" si="21"/>
        <v>1.2E-2</v>
      </c>
      <c r="P30" s="1016"/>
      <c r="Q30" s="1294"/>
      <c r="R30" s="1025">
        <v>1</v>
      </c>
      <c r="S30" s="1031">
        <v>9.9999999999999995E-7</v>
      </c>
      <c r="T30" s="1031">
        <v>6.0000000000000001E-3</v>
      </c>
      <c r="U30" s="1031">
        <v>-1.2E-2</v>
      </c>
      <c r="V30" s="1019">
        <f t="shared" si="19"/>
        <v>9.0000000000000011E-3</v>
      </c>
      <c r="W30" s="1033">
        <f t="shared" si="22"/>
        <v>1.2E-2</v>
      </c>
    </row>
    <row r="31" spans="1:24" ht="12.75" customHeight="1" x14ac:dyDescent="0.25">
      <c r="A31" s="1295"/>
      <c r="B31" s="1025">
        <v>2</v>
      </c>
      <c r="C31" s="1026">
        <v>9.9999999999999995E-7</v>
      </c>
      <c r="D31" s="1026">
        <v>9.9999999999999995E-7</v>
      </c>
      <c r="E31" s="1026">
        <v>7.0000000000000001E-3</v>
      </c>
      <c r="F31" s="1019">
        <f t="shared" si="17"/>
        <v>3.4995E-3</v>
      </c>
      <c r="G31" s="1025">
        <f t="shared" si="20"/>
        <v>2.4E-2</v>
      </c>
      <c r="H31" s="1016"/>
      <c r="I31" s="1295"/>
      <c r="J31" s="1025">
        <v>2</v>
      </c>
      <c r="K31" s="1031">
        <v>9.9999999999999995E-7</v>
      </c>
      <c r="L31" s="1031">
        <v>9.9999999999999995E-7</v>
      </c>
      <c r="M31" s="1026">
        <v>9.9999999999999995E-7</v>
      </c>
      <c r="N31" s="1019">
        <f t="shared" si="18"/>
        <v>0</v>
      </c>
      <c r="O31" s="1034">
        <f t="shared" si="21"/>
        <v>2.4E-2</v>
      </c>
      <c r="P31" s="1016"/>
      <c r="Q31" s="1295"/>
      <c r="R31" s="1025">
        <v>2</v>
      </c>
      <c r="S31" s="1031">
        <v>9.9999999999999995E-7</v>
      </c>
      <c r="T31" s="1031">
        <v>1.2999999999999999E-2</v>
      </c>
      <c r="U31" s="1031">
        <v>-8.0000000000000002E-3</v>
      </c>
      <c r="V31" s="1019">
        <f t="shared" si="19"/>
        <v>1.0499999999999999E-2</v>
      </c>
      <c r="W31" s="1033">
        <f t="shared" si="22"/>
        <v>2.4E-2</v>
      </c>
    </row>
    <row r="32" spans="1:24" s="296" customFormat="1" ht="19.5" customHeight="1" x14ac:dyDescent="0.25">
      <c r="A32" s="1035"/>
      <c r="B32" s="1036"/>
      <c r="C32" s="1036"/>
      <c r="E32" s="1036"/>
      <c r="F32" s="1036"/>
      <c r="G32" s="1036"/>
      <c r="H32" s="1037"/>
      <c r="I32" s="1036"/>
      <c r="J32" s="1036"/>
      <c r="K32" s="1036"/>
      <c r="M32" s="1036"/>
      <c r="N32" s="1036"/>
      <c r="O32" s="1036"/>
      <c r="P32" s="1037"/>
      <c r="Q32" s="1036"/>
      <c r="R32" s="1036"/>
      <c r="S32" s="1036"/>
      <c r="U32" s="1036"/>
      <c r="V32" s="1036"/>
      <c r="W32" s="1038"/>
      <c r="X32" s="1039"/>
    </row>
    <row r="33" spans="1:24" ht="30" customHeight="1" x14ac:dyDescent="0.25">
      <c r="A33" s="1293">
        <v>4</v>
      </c>
      <c r="B33" s="1304" t="str">
        <f>A169</f>
        <v>Electrical Safety Analyzer, Merek : Fluke, Model : ESA 615, SN : 2853078</v>
      </c>
      <c r="C33" s="1304"/>
      <c r="D33" s="1304"/>
      <c r="E33" s="1304"/>
      <c r="F33" s="1304"/>
      <c r="G33" s="1304"/>
      <c r="H33" s="1040"/>
      <c r="I33" s="1293">
        <v>5</v>
      </c>
      <c r="J33" s="1296" t="str">
        <f>A170</f>
        <v>Electrical Safety Analyzer, Merek : Fluke, Model : ESA 615, SN : 3148907</v>
      </c>
      <c r="K33" s="1296"/>
      <c r="L33" s="1296"/>
      <c r="M33" s="1296"/>
      <c r="N33" s="1296"/>
      <c r="O33" s="1296"/>
      <c r="P33" s="1011"/>
      <c r="Q33" s="1293">
        <v>6</v>
      </c>
      <c r="R33" s="1304" t="str">
        <f>A171</f>
        <v>Electrical Safety Analyzer, Merek : Fluke, Model : ESA 615, SN : 3148908</v>
      </c>
      <c r="S33" s="1304"/>
      <c r="T33" s="1304"/>
      <c r="U33" s="1304"/>
      <c r="V33" s="1304"/>
      <c r="W33" s="1304"/>
    </row>
    <row r="34" spans="1:24" ht="15" customHeight="1" x14ac:dyDescent="0.3">
      <c r="A34" s="1294"/>
      <c r="B34" s="1305" t="s">
        <v>232</v>
      </c>
      <c r="C34" s="1305"/>
      <c r="D34" s="1305"/>
      <c r="E34" s="1305"/>
      <c r="F34" s="1041"/>
      <c r="G34" s="1041"/>
      <c r="H34" s="1013"/>
      <c r="I34" s="1294"/>
      <c r="J34" s="1305" t="s">
        <v>232</v>
      </c>
      <c r="K34" s="1305"/>
      <c r="L34" s="1305"/>
      <c r="M34" s="1305"/>
      <c r="N34" s="1041"/>
      <c r="O34" s="1041"/>
      <c r="P34" s="1013"/>
      <c r="Q34" s="1294"/>
      <c r="R34" s="1305" t="s">
        <v>232</v>
      </c>
      <c r="S34" s="1305"/>
      <c r="T34" s="1305"/>
      <c r="U34" s="1305"/>
      <c r="V34" s="1041"/>
      <c r="W34" s="1041"/>
    </row>
    <row r="35" spans="1:24" ht="12.75" customHeight="1" x14ac:dyDescent="0.25">
      <c r="A35" s="1294"/>
      <c r="B35" s="1301" t="s">
        <v>238</v>
      </c>
      <c r="C35" s="1302"/>
      <c r="D35" s="1302"/>
      <c r="E35" s="1303"/>
      <c r="F35" s="1015" t="s">
        <v>413</v>
      </c>
      <c r="G35" s="1015" t="s">
        <v>367</v>
      </c>
      <c r="H35" s="1016"/>
      <c r="I35" s="1294"/>
      <c r="J35" s="1301" t="s">
        <v>238</v>
      </c>
      <c r="K35" s="1302"/>
      <c r="L35" s="1302"/>
      <c r="M35" s="1303"/>
      <c r="N35" s="1015" t="s">
        <v>413</v>
      </c>
      <c r="O35" s="1015" t="s">
        <v>367</v>
      </c>
      <c r="P35" s="1016"/>
      <c r="Q35" s="1294"/>
      <c r="R35" s="1301" t="s">
        <v>238</v>
      </c>
      <c r="S35" s="1302"/>
      <c r="T35" s="1302"/>
      <c r="U35" s="1303"/>
      <c r="V35" s="1015" t="s">
        <v>413</v>
      </c>
      <c r="W35" s="1015" t="s">
        <v>367</v>
      </c>
    </row>
    <row r="36" spans="1:24" ht="15" customHeight="1" x14ac:dyDescent="0.25">
      <c r="A36" s="1294"/>
      <c r="B36" s="1014" t="s">
        <v>414</v>
      </c>
      <c r="C36" s="1015">
        <v>2019</v>
      </c>
      <c r="D36" s="1015">
        <v>2019</v>
      </c>
      <c r="E36" s="1015">
        <v>2021</v>
      </c>
      <c r="F36" s="1015"/>
      <c r="G36" s="1015"/>
      <c r="H36" s="1016"/>
      <c r="I36" s="1294"/>
      <c r="J36" s="1014" t="s">
        <v>414</v>
      </c>
      <c r="K36" s="1015">
        <v>2019</v>
      </c>
      <c r="L36" s="1015">
        <v>2019</v>
      </c>
      <c r="M36" s="1015">
        <v>2021</v>
      </c>
      <c r="N36" s="1015"/>
      <c r="O36" s="1015"/>
      <c r="P36" s="1016"/>
      <c r="Q36" s="1294"/>
      <c r="R36" s="1042" t="s">
        <v>414</v>
      </c>
      <c r="S36" s="1043">
        <v>2018</v>
      </c>
      <c r="T36" s="1043">
        <v>2019</v>
      </c>
      <c r="U36" s="1043">
        <v>2022</v>
      </c>
      <c r="V36" s="1015"/>
      <c r="W36" s="1015"/>
    </row>
    <row r="37" spans="1:24" ht="12.75" customHeight="1" x14ac:dyDescent="0.25">
      <c r="A37" s="1294"/>
      <c r="B37" s="1025">
        <v>150</v>
      </c>
      <c r="C37" s="1021">
        <v>0.11</v>
      </c>
      <c r="D37" s="1021">
        <v>0.11</v>
      </c>
      <c r="E37" s="1021">
        <v>-0.05</v>
      </c>
      <c r="F37" s="1019">
        <f>0.5*(MAX(C37:E37)-MIN(C37:E37))</f>
        <v>0.08</v>
      </c>
      <c r="G37" s="1029">
        <f>B37*$H$37</f>
        <v>1.8</v>
      </c>
      <c r="H37" s="1016">
        <f>1.2/100</f>
        <v>1.2E-2</v>
      </c>
      <c r="I37" s="1294"/>
      <c r="J37" s="1044">
        <v>150</v>
      </c>
      <c r="K37" s="1021">
        <v>0.02</v>
      </c>
      <c r="L37" s="1021">
        <v>0.02</v>
      </c>
      <c r="M37" s="1021">
        <v>0.25</v>
      </c>
      <c r="N37" s="1019">
        <f t="shared" ref="N37:N42" si="23">0.5*(MAX(K37:M37)-MIN(K37:M37))</f>
        <v>0.115</v>
      </c>
      <c r="O37" s="1029">
        <f>J37*$P$37</f>
        <v>1.8</v>
      </c>
      <c r="P37" s="1016">
        <f>1.2/100</f>
        <v>1.2E-2</v>
      </c>
      <c r="Q37" s="1294"/>
      <c r="R37" s="1017">
        <v>150</v>
      </c>
      <c r="S37" s="1021">
        <v>0.03</v>
      </c>
      <c r="T37" s="1021">
        <v>-0.15</v>
      </c>
      <c r="U37" s="1021">
        <v>0.15</v>
      </c>
      <c r="V37" s="1019">
        <f t="shared" ref="V37:V42" si="24">0.5*(MAX(S37:U37)-MIN(S37:U37))</f>
        <v>0.15</v>
      </c>
      <c r="W37" s="1023">
        <f>R37*$X$37</f>
        <v>1.8</v>
      </c>
      <c r="X37" s="1010">
        <f>1.2/100</f>
        <v>1.2E-2</v>
      </c>
    </row>
    <row r="38" spans="1:24" ht="12.75" customHeight="1" x14ac:dyDescent="0.25">
      <c r="A38" s="1294"/>
      <c r="B38" s="1025">
        <v>180</v>
      </c>
      <c r="C38" s="1021">
        <v>0.03</v>
      </c>
      <c r="D38" s="1021">
        <v>0.03</v>
      </c>
      <c r="E38" s="1021">
        <v>-0.04</v>
      </c>
      <c r="F38" s="1019">
        <f t="shared" ref="F38:F42" si="25">0.5*(MAX(C38:E38)-MIN(C38:E38))</f>
        <v>3.5000000000000003E-2</v>
      </c>
      <c r="G38" s="1029">
        <f t="shared" ref="G38:G42" si="26">B38*$H$37</f>
        <v>2.16</v>
      </c>
      <c r="H38" s="1016"/>
      <c r="I38" s="1294"/>
      <c r="J38" s="1044">
        <v>180</v>
      </c>
      <c r="K38" s="1021">
        <v>0.1</v>
      </c>
      <c r="L38" s="1021">
        <v>0.1</v>
      </c>
      <c r="M38" s="1021">
        <v>0.09</v>
      </c>
      <c r="N38" s="1019">
        <f t="shared" si="23"/>
        <v>5.0000000000000044E-3</v>
      </c>
      <c r="O38" s="1029">
        <f t="shared" ref="O38:O42" si="27">J38*$P$37</f>
        <v>2.16</v>
      </c>
      <c r="P38" s="1016"/>
      <c r="Q38" s="1294"/>
      <c r="R38" s="1017">
        <v>180</v>
      </c>
      <c r="S38" s="1021">
        <v>0</v>
      </c>
      <c r="T38" s="1021">
        <v>-0.11</v>
      </c>
      <c r="U38" s="1021">
        <v>0.17</v>
      </c>
      <c r="V38" s="1019">
        <f t="shared" si="24"/>
        <v>0.14000000000000001</v>
      </c>
      <c r="W38" s="1023">
        <f t="shared" ref="W38:W42" si="28">R38*$X$37</f>
        <v>2.16</v>
      </c>
    </row>
    <row r="39" spans="1:24" ht="12.75" customHeight="1" x14ac:dyDescent="0.25">
      <c r="A39" s="1294"/>
      <c r="B39" s="1025">
        <v>200</v>
      </c>
      <c r="C39" s="1021">
        <v>0.05</v>
      </c>
      <c r="D39" s="1021">
        <v>0.05</v>
      </c>
      <c r="E39" s="1021">
        <v>-6.7000000000000004E-2</v>
      </c>
      <c r="F39" s="1019">
        <f t="shared" si="25"/>
        <v>5.8500000000000003E-2</v>
      </c>
      <c r="G39" s="1029">
        <f t="shared" si="26"/>
        <v>2.4</v>
      </c>
      <c r="H39" s="1016"/>
      <c r="I39" s="1294"/>
      <c r="J39" s="1044">
        <v>200</v>
      </c>
      <c r="K39" s="1021">
        <v>-0.03</v>
      </c>
      <c r="L39" s="1021">
        <v>-0.03</v>
      </c>
      <c r="M39" s="1021">
        <v>0.18</v>
      </c>
      <c r="N39" s="1019">
        <f t="shared" si="23"/>
        <v>0.105</v>
      </c>
      <c r="O39" s="1029">
        <f t="shared" si="27"/>
        <v>2.4</v>
      </c>
      <c r="P39" s="1016"/>
      <c r="Q39" s="1294"/>
      <c r="R39" s="1017">
        <v>200</v>
      </c>
      <c r="S39" s="1021">
        <v>0.05</v>
      </c>
      <c r="T39" s="1021">
        <v>-0.1</v>
      </c>
      <c r="U39" s="1021">
        <v>0.1</v>
      </c>
      <c r="V39" s="1019">
        <f t="shared" si="24"/>
        <v>0.1</v>
      </c>
      <c r="W39" s="1023">
        <f t="shared" si="28"/>
        <v>2.4</v>
      </c>
    </row>
    <row r="40" spans="1:24" ht="12.75" customHeight="1" x14ac:dyDescent="0.25">
      <c r="A40" s="1294"/>
      <c r="B40" s="1025">
        <v>220</v>
      </c>
      <c r="C40" s="1021">
        <v>0.1</v>
      </c>
      <c r="D40" s="1021">
        <v>0.1</v>
      </c>
      <c r="E40" s="1021">
        <v>9.9999999999999995E-7</v>
      </c>
      <c r="F40" s="1019">
        <f t="shared" si="25"/>
        <v>4.9999500000000002E-2</v>
      </c>
      <c r="G40" s="1029">
        <f t="shared" si="26"/>
        <v>2.64</v>
      </c>
      <c r="H40" s="1016"/>
      <c r="I40" s="1294"/>
      <c r="J40" s="1044">
        <v>220</v>
      </c>
      <c r="K40" s="1021">
        <v>0.38</v>
      </c>
      <c r="L40" s="1021">
        <v>0.38</v>
      </c>
      <c r="M40" s="1021">
        <v>0.56000000000000005</v>
      </c>
      <c r="N40" s="1019">
        <f t="shared" si="23"/>
        <v>9.0000000000000024E-2</v>
      </c>
      <c r="O40" s="1029">
        <f t="shared" si="27"/>
        <v>2.64</v>
      </c>
      <c r="P40" s="1016"/>
      <c r="Q40" s="1294"/>
      <c r="R40" s="1017">
        <v>220</v>
      </c>
      <c r="S40" s="1021">
        <v>0.05</v>
      </c>
      <c r="T40" s="1021">
        <v>-0.13</v>
      </c>
      <c r="U40" s="1021">
        <v>7.0000000000000007E-2</v>
      </c>
      <c r="V40" s="1019">
        <f t="shared" si="24"/>
        <v>0.1</v>
      </c>
      <c r="W40" s="1023">
        <f t="shared" si="28"/>
        <v>2.64</v>
      </c>
    </row>
    <row r="41" spans="1:24" ht="12.75" customHeight="1" x14ac:dyDescent="0.25">
      <c r="A41" s="1294"/>
      <c r="B41" s="1025">
        <v>230</v>
      </c>
      <c r="C41" s="1021">
        <v>0.36799999999999999</v>
      </c>
      <c r="D41" s="1021">
        <v>0.36799999999999999</v>
      </c>
      <c r="E41" s="1021">
        <v>-0.11</v>
      </c>
      <c r="F41" s="1019">
        <f t="shared" si="25"/>
        <v>0.23899999999999999</v>
      </c>
      <c r="G41" s="1029">
        <f t="shared" si="26"/>
        <v>2.7600000000000002</v>
      </c>
      <c r="H41" s="1016"/>
      <c r="I41" s="1294"/>
      <c r="J41" s="1044">
        <v>230</v>
      </c>
      <c r="K41" s="1021">
        <v>-0.16</v>
      </c>
      <c r="L41" s="1021">
        <v>-0.16</v>
      </c>
      <c r="M41" s="1021">
        <v>0.73</v>
      </c>
      <c r="N41" s="1019">
        <f t="shared" si="23"/>
        <v>0.44500000000000001</v>
      </c>
      <c r="O41" s="1029">
        <f t="shared" si="27"/>
        <v>2.7600000000000002</v>
      </c>
      <c r="P41" s="1016"/>
      <c r="Q41" s="1294"/>
      <c r="R41" s="1017">
        <v>230</v>
      </c>
      <c r="S41" s="1021">
        <v>-0.05</v>
      </c>
      <c r="T41" s="1021">
        <v>-0.15</v>
      </c>
      <c r="U41" s="1021">
        <v>0.08</v>
      </c>
      <c r="V41" s="1019">
        <f t="shared" si="24"/>
        <v>0.11499999999999999</v>
      </c>
      <c r="W41" s="1023">
        <f t="shared" si="28"/>
        <v>2.7600000000000002</v>
      </c>
    </row>
    <row r="42" spans="1:24" ht="12.75" customHeight="1" x14ac:dyDescent="0.25">
      <c r="A42" s="1294"/>
      <c r="B42" s="1025">
        <v>250</v>
      </c>
      <c r="C42" s="1021">
        <v>9.9999999999999995E-7</v>
      </c>
      <c r="D42" s="1021">
        <v>9.9999999999999995E-7</v>
      </c>
      <c r="E42" s="1026">
        <v>9.9999999999999995E-7</v>
      </c>
      <c r="F42" s="1019">
        <f t="shared" si="25"/>
        <v>0</v>
      </c>
      <c r="G42" s="1029">
        <f t="shared" si="26"/>
        <v>3</v>
      </c>
      <c r="H42" s="1016"/>
      <c r="I42" s="1294"/>
      <c r="J42" s="1044">
        <v>250</v>
      </c>
      <c r="K42" s="1021">
        <v>9.9999999999999995E-7</v>
      </c>
      <c r="L42" s="1021">
        <v>9.9999999999999995E-7</v>
      </c>
      <c r="M42" s="1021">
        <v>9.9999999999999995E-7</v>
      </c>
      <c r="N42" s="1019">
        <f t="shared" si="23"/>
        <v>0</v>
      </c>
      <c r="O42" s="1029">
        <f t="shared" si="27"/>
        <v>3</v>
      </c>
      <c r="P42" s="1016"/>
      <c r="Q42" s="1294"/>
      <c r="R42" s="1017">
        <v>250</v>
      </c>
      <c r="S42" s="1021">
        <v>9.9999999999999995E-7</v>
      </c>
      <c r="T42" s="1021">
        <v>9.9999999999999995E-7</v>
      </c>
      <c r="U42" s="1021">
        <v>9.9999999999999995E-7</v>
      </c>
      <c r="V42" s="1019">
        <f t="shared" si="24"/>
        <v>0</v>
      </c>
      <c r="W42" s="1023">
        <f t="shared" si="28"/>
        <v>3</v>
      </c>
    </row>
    <row r="43" spans="1:24" ht="12.75" customHeight="1" x14ac:dyDescent="0.25">
      <c r="A43" s="1294"/>
      <c r="B43" s="1298" t="s">
        <v>415</v>
      </c>
      <c r="C43" s="1299"/>
      <c r="D43" s="1299"/>
      <c r="E43" s="1300"/>
      <c r="F43" s="1015" t="s">
        <v>413</v>
      </c>
      <c r="G43" s="1015" t="s">
        <v>367</v>
      </c>
      <c r="H43" s="1016"/>
      <c r="I43" s="1294"/>
      <c r="J43" s="1298" t="s">
        <v>415</v>
      </c>
      <c r="K43" s="1299"/>
      <c r="L43" s="1299"/>
      <c r="M43" s="1300"/>
      <c r="N43" s="1015" t="s">
        <v>413</v>
      </c>
      <c r="O43" s="1015" t="s">
        <v>367</v>
      </c>
      <c r="P43" s="1016"/>
      <c r="Q43" s="1294"/>
      <c r="R43" s="1298" t="s">
        <v>415</v>
      </c>
      <c r="S43" s="1299"/>
      <c r="T43" s="1299"/>
      <c r="U43" s="1300"/>
      <c r="V43" s="1015" t="s">
        <v>413</v>
      </c>
      <c r="W43" s="1015" t="s">
        <v>367</v>
      </c>
    </row>
    <row r="44" spans="1:24" ht="15" customHeight="1" x14ac:dyDescent="0.25">
      <c r="A44" s="1294"/>
      <c r="B44" s="1014" t="s">
        <v>416</v>
      </c>
      <c r="C44" s="1015">
        <f>C36</f>
        <v>2019</v>
      </c>
      <c r="D44" s="1015">
        <f>D36</f>
        <v>2019</v>
      </c>
      <c r="E44" s="1015">
        <f>E36</f>
        <v>2021</v>
      </c>
      <c r="F44" s="1015"/>
      <c r="G44" s="1015"/>
      <c r="H44" s="1016"/>
      <c r="I44" s="1294"/>
      <c r="J44" s="1014" t="s">
        <v>416</v>
      </c>
      <c r="K44" s="1015">
        <f>K36</f>
        <v>2019</v>
      </c>
      <c r="L44" s="1015">
        <f>L36</f>
        <v>2019</v>
      </c>
      <c r="M44" s="1015">
        <f>M36</f>
        <v>2021</v>
      </c>
      <c r="N44" s="1015"/>
      <c r="O44" s="1015"/>
      <c r="P44" s="1016"/>
      <c r="Q44" s="1294"/>
      <c r="R44" s="1014" t="s">
        <v>416</v>
      </c>
      <c r="S44" s="1015">
        <f>S36</f>
        <v>2018</v>
      </c>
      <c r="T44" s="1015">
        <f>T36</f>
        <v>2019</v>
      </c>
      <c r="U44" s="1015">
        <f>U36</f>
        <v>2022</v>
      </c>
      <c r="V44" s="1015"/>
      <c r="W44" s="1015"/>
    </row>
    <row r="45" spans="1:24" ht="12.75" customHeight="1" x14ac:dyDescent="0.25">
      <c r="A45" s="1294"/>
      <c r="B45" s="1025">
        <v>0</v>
      </c>
      <c r="C45" s="1020">
        <v>9.9999999999999995E-7</v>
      </c>
      <c r="D45" s="1020">
        <v>9.9999999999999995E-7</v>
      </c>
      <c r="E45" s="1024">
        <v>9.9999999999999995E-7</v>
      </c>
      <c r="F45" s="1019">
        <f>0.5*(MAX(C45:E45)-MIN(C45:E45))</f>
        <v>0</v>
      </c>
      <c r="G45" s="1029">
        <f>B45*$H$45</f>
        <v>0</v>
      </c>
      <c r="H45" s="1016">
        <f>0.59/100</f>
        <v>5.8999999999999999E-3</v>
      </c>
      <c r="I45" s="1294"/>
      <c r="J45" s="1045">
        <v>1.0000000000000001E-5</v>
      </c>
      <c r="K45" s="1023">
        <v>9.9999999999999995E-7</v>
      </c>
      <c r="L45" s="1023">
        <v>9.9999999999999995E-7</v>
      </c>
      <c r="M45" s="1023">
        <v>9.9999999999999995E-7</v>
      </c>
      <c r="N45" s="1019">
        <f t="shared" ref="N45:N50" si="29">0.5*(MAX(K45:M45)-MIN(K45:M45))</f>
        <v>0</v>
      </c>
      <c r="O45" s="1029">
        <f>J45*$P$45</f>
        <v>5.9000000000000006E-8</v>
      </c>
      <c r="P45" s="1016">
        <f>0.59/100</f>
        <v>5.8999999999999999E-3</v>
      </c>
      <c r="Q45" s="1294"/>
      <c r="R45" s="1030">
        <v>9.9999999999999995E-7</v>
      </c>
      <c r="S45" s="1023">
        <v>9.9999999999999995E-7</v>
      </c>
      <c r="T45" s="1023">
        <v>9.9999999999999995E-7</v>
      </c>
      <c r="U45" s="1023">
        <v>9.9999999999999995E-7</v>
      </c>
      <c r="V45" s="1019">
        <f t="shared" ref="V45:V50" si="30">0.5*(MAX(S45:U45)-MIN(S45:U45))</f>
        <v>0</v>
      </c>
      <c r="W45" s="1029">
        <f>R45*$X$45</f>
        <v>5.8999999999999999E-9</v>
      </c>
      <c r="X45" s="1010">
        <f>0.59/100</f>
        <v>5.8999999999999999E-3</v>
      </c>
    </row>
    <row r="46" spans="1:24" ht="12.75" customHeight="1" x14ac:dyDescent="0.25">
      <c r="A46" s="1294"/>
      <c r="B46" s="1025">
        <v>50</v>
      </c>
      <c r="C46" s="1021">
        <v>0.2</v>
      </c>
      <c r="D46" s="1021">
        <v>0.2</v>
      </c>
      <c r="E46" s="1021">
        <v>0.4</v>
      </c>
      <c r="F46" s="1019">
        <f t="shared" ref="F46:F50" si="31">0.5*(MAX(C46:E46)-MIN(C46:E46))</f>
        <v>0.1</v>
      </c>
      <c r="G46" s="1029">
        <f t="shared" ref="G46:G50" si="32">B46*$H$45</f>
        <v>0.29499999999999998</v>
      </c>
      <c r="H46" s="1016"/>
      <c r="I46" s="1294"/>
      <c r="J46" s="1044">
        <v>50</v>
      </c>
      <c r="K46" s="1021">
        <v>-0.33</v>
      </c>
      <c r="L46" s="1021">
        <v>-0.33</v>
      </c>
      <c r="M46" s="1021">
        <v>1.2</v>
      </c>
      <c r="N46" s="1019">
        <f t="shared" si="29"/>
        <v>0.76500000000000001</v>
      </c>
      <c r="O46" s="1029">
        <f t="shared" ref="O46:O50" si="33">J46*$P$45</f>
        <v>0.29499999999999998</v>
      </c>
      <c r="P46" s="1016"/>
      <c r="Q46" s="1294"/>
      <c r="R46" s="1025">
        <v>50</v>
      </c>
      <c r="S46" s="1021">
        <v>2.1</v>
      </c>
      <c r="T46" s="1021">
        <v>2.6</v>
      </c>
      <c r="U46" s="1030">
        <v>19.100000000000001</v>
      </c>
      <c r="V46" s="1019">
        <f t="shared" si="30"/>
        <v>8.5</v>
      </c>
      <c r="W46" s="1029">
        <f t="shared" ref="W46:W50" si="34">R46*$X$45</f>
        <v>0.29499999999999998</v>
      </c>
    </row>
    <row r="47" spans="1:24" ht="12.75" customHeight="1" x14ac:dyDescent="0.25">
      <c r="A47" s="1294"/>
      <c r="B47" s="1025">
        <v>100</v>
      </c>
      <c r="C47" s="1021">
        <v>0.3</v>
      </c>
      <c r="D47" s="1021">
        <v>0.3</v>
      </c>
      <c r="E47" s="1021">
        <v>0.4</v>
      </c>
      <c r="F47" s="1019">
        <f t="shared" si="31"/>
        <v>5.0000000000000017E-2</v>
      </c>
      <c r="G47" s="1029">
        <f t="shared" si="32"/>
        <v>0.59</v>
      </c>
      <c r="H47" s="1016"/>
      <c r="I47" s="1294"/>
      <c r="J47" s="1044">
        <v>100</v>
      </c>
      <c r="K47" s="1021">
        <v>-0.42</v>
      </c>
      <c r="L47" s="1021">
        <v>-0.42</v>
      </c>
      <c r="M47" s="1021">
        <v>3.9</v>
      </c>
      <c r="N47" s="1019">
        <f t="shared" si="29"/>
        <v>2.16</v>
      </c>
      <c r="O47" s="1029">
        <f t="shared" si="33"/>
        <v>0.59</v>
      </c>
      <c r="P47" s="1016"/>
      <c r="Q47" s="1294"/>
      <c r="R47" s="1025">
        <v>100</v>
      </c>
      <c r="S47" s="1021">
        <v>2.2999999999999998</v>
      </c>
      <c r="T47" s="1021">
        <v>2.6</v>
      </c>
      <c r="U47" s="1030">
        <v>18.399999999999999</v>
      </c>
      <c r="V47" s="1019">
        <f t="shared" si="30"/>
        <v>8.0499999999999989</v>
      </c>
      <c r="W47" s="1029">
        <f t="shared" si="34"/>
        <v>0.59</v>
      </c>
    </row>
    <row r="48" spans="1:24" ht="12.75" customHeight="1" x14ac:dyDescent="0.25">
      <c r="A48" s="1294"/>
      <c r="B48" s="1025">
        <v>200</v>
      </c>
      <c r="C48" s="1021">
        <v>1.4</v>
      </c>
      <c r="D48" s="1021">
        <v>1.4</v>
      </c>
      <c r="E48" s="1026">
        <v>9.9999999999999995E-7</v>
      </c>
      <c r="F48" s="1019">
        <f t="shared" si="31"/>
        <v>0.6999995</v>
      </c>
      <c r="G48" s="1029">
        <f t="shared" si="32"/>
        <v>1.18</v>
      </c>
      <c r="H48" s="1016"/>
      <c r="I48" s="1294"/>
      <c r="J48" s="1044">
        <v>200</v>
      </c>
      <c r="K48" s="1021">
        <v>1.3</v>
      </c>
      <c r="L48" s="1021">
        <v>1.3</v>
      </c>
      <c r="M48" s="1026">
        <v>9.9999999999999995E-7</v>
      </c>
      <c r="N48" s="1019">
        <f t="shared" si="29"/>
        <v>0.64999950000000006</v>
      </c>
      <c r="O48" s="1029">
        <f t="shared" si="33"/>
        <v>1.18</v>
      </c>
      <c r="P48" s="1016"/>
      <c r="Q48" s="1294"/>
      <c r="R48" s="1025">
        <v>200</v>
      </c>
      <c r="S48" s="1021">
        <v>0.2</v>
      </c>
      <c r="T48" s="1021">
        <v>3.1</v>
      </c>
      <c r="U48" s="1030">
        <v>14.4</v>
      </c>
      <c r="V48" s="1019">
        <f t="shared" si="30"/>
        <v>7.1000000000000005</v>
      </c>
      <c r="W48" s="1029">
        <f t="shared" si="34"/>
        <v>1.18</v>
      </c>
    </row>
    <row r="49" spans="1:24" ht="12.75" customHeight="1" x14ac:dyDescent="0.25">
      <c r="A49" s="1294"/>
      <c r="B49" s="1025">
        <v>500</v>
      </c>
      <c r="C49" s="1021">
        <v>2.8</v>
      </c>
      <c r="D49" s="1021">
        <v>2.8</v>
      </c>
      <c r="E49" s="1021">
        <v>1.5</v>
      </c>
      <c r="F49" s="1019">
        <f t="shared" si="31"/>
        <v>0.64999999999999991</v>
      </c>
      <c r="G49" s="1029">
        <f t="shared" si="32"/>
        <v>2.9499999999999997</v>
      </c>
      <c r="H49" s="1016"/>
      <c r="I49" s="1294"/>
      <c r="J49" s="1044">
        <v>500</v>
      </c>
      <c r="K49" s="1021">
        <v>0.7</v>
      </c>
      <c r="L49" s="1021">
        <v>0.7</v>
      </c>
      <c r="M49" s="1021">
        <v>9.3000000000000007</v>
      </c>
      <c r="N49" s="1019">
        <f t="shared" si="29"/>
        <v>4.3000000000000007</v>
      </c>
      <c r="O49" s="1029">
        <f t="shared" si="33"/>
        <v>2.9499999999999997</v>
      </c>
      <c r="P49" s="1016"/>
      <c r="Q49" s="1294"/>
      <c r="R49" s="1025">
        <v>500</v>
      </c>
      <c r="S49" s="1021">
        <v>2.8</v>
      </c>
      <c r="T49" s="1021">
        <v>3.9</v>
      </c>
      <c r="U49" s="1030">
        <v>6.2</v>
      </c>
      <c r="V49" s="1019">
        <f t="shared" si="30"/>
        <v>1.7000000000000002</v>
      </c>
      <c r="W49" s="1029">
        <f t="shared" si="34"/>
        <v>2.9499999999999997</v>
      </c>
    </row>
    <row r="50" spans="1:24" ht="12.75" customHeight="1" x14ac:dyDescent="0.25">
      <c r="A50" s="1294"/>
      <c r="B50" s="1025">
        <v>1000</v>
      </c>
      <c r="C50" s="1021">
        <v>1.2E-2</v>
      </c>
      <c r="D50" s="1021">
        <v>1.2E-2</v>
      </c>
      <c r="E50" s="1021">
        <v>2</v>
      </c>
      <c r="F50" s="1019">
        <f t="shared" si="31"/>
        <v>0.99399999999999999</v>
      </c>
      <c r="G50" s="1029">
        <f t="shared" si="32"/>
        <v>5.8999999999999995</v>
      </c>
      <c r="H50" s="1016"/>
      <c r="I50" s="1294"/>
      <c r="J50" s="1044">
        <v>1000</v>
      </c>
      <c r="K50" s="1021">
        <v>9.9999999999999995E-7</v>
      </c>
      <c r="L50" s="1021">
        <v>9.9999999999999995E-7</v>
      </c>
      <c r="M50" s="1021">
        <v>-110</v>
      </c>
      <c r="N50" s="1019">
        <f t="shared" si="29"/>
        <v>55.000000499999999</v>
      </c>
      <c r="O50" s="1029">
        <f t="shared" si="33"/>
        <v>5.8999999999999995</v>
      </c>
      <c r="P50" s="1016"/>
      <c r="Q50" s="1294"/>
      <c r="R50" s="1025">
        <v>1000</v>
      </c>
      <c r="S50" s="1031">
        <v>13</v>
      </c>
      <c r="T50" s="1031">
        <v>5.0000000000000001E-3</v>
      </c>
      <c r="U50" s="1030">
        <v>-11</v>
      </c>
      <c r="V50" s="1019">
        <f t="shared" si="30"/>
        <v>12</v>
      </c>
      <c r="W50" s="1029">
        <f t="shared" si="34"/>
        <v>5.8999999999999995</v>
      </c>
    </row>
    <row r="51" spans="1:24" ht="12.75" customHeight="1" x14ac:dyDescent="0.25">
      <c r="A51" s="1294"/>
      <c r="B51" s="1298" t="str">
        <f>B20</f>
        <v>Main-PE</v>
      </c>
      <c r="C51" s="1299"/>
      <c r="D51" s="1299"/>
      <c r="E51" s="1300"/>
      <c r="F51" s="1015" t="s">
        <v>413</v>
      </c>
      <c r="G51" s="1015" t="s">
        <v>367</v>
      </c>
      <c r="H51" s="1016"/>
      <c r="I51" s="1294"/>
      <c r="J51" s="1298" t="str">
        <f>B51</f>
        <v>Main-PE</v>
      </c>
      <c r="K51" s="1299"/>
      <c r="L51" s="1299"/>
      <c r="M51" s="1300"/>
      <c r="N51" s="1015" t="s">
        <v>413</v>
      </c>
      <c r="O51" s="1015" t="s">
        <v>367</v>
      </c>
      <c r="P51" s="1016"/>
      <c r="Q51" s="1294"/>
      <c r="R51" s="1298" t="str">
        <f>J51</f>
        <v>Main-PE</v>
      </c>
      <c r="S51" s="1299"/>
      <c r="T51" s="1299"/>
      <c r="U51" s="1300"/>
      <c r="V51" s="1015" t="s">
        <v>413</v>
      </c>
      <c r="W51" s="1015" t="s">
        <v>367</v>
      </c>
    </row>
    <row r="52" spans="1:24" ht="15" customHeight="1" x14ac:dyDescent="0.25">
      <c r="A52" s="1294"/>
      <c r="B52" s="1014" t="s">
        <v>417</v>
      </c>
      <c r="C52" s="1015">
        <f>C36</f>
        <v>2019</v>
      </c>
      <c r="D52" s="1015">
        <f>D36</f>
        <v>2019</v>
      </c>
      <c r="E52" s="1015">
        <f>E36</f>
        <v>2021</v>
      </c>
      <c r="F52" s="1015"/>
      <c r="G52" s="1015"/>
      <c r="H52" s="1016"/>
      <c r="I52" s="1294"/>
      <c r="J52" s="1014" t="s">
        <v>417</v>
      </c>
      <c r="K52" s="1015">
        <f>K36</f>
        <v>2019</v>
      </c>
      <c r="L52" s="1015">
        <f>L36</f>
        <v>2019</v>
      </c>
      <c r="M52" s="1015">
        <f>M36</f>
        <v>2021</v>
      </c>
      <c r="N52" s="1015"/>
      <c r="O52" s="1015"/>
      <c r="P52" s="1016"/>
      <c r="Q52" s="1294"/>
      <c r="R52" s="1014" t="s">
        <v>417</v>
      </c>
      <c r="S52" s="1015">
        <f>S36</f>
        <v>2018</v>
      </c>
      <c r="T52" s="1015">
        <f>T36</f>
        <v>2019</v>
      </c>
      <c r="U52" s="1015">
        <f>U36</f>
        <v>2022</v>
      </c>
      <c r="V52" s="1015"/>
      <c r="W52" s="1015"/>
    </row>
    <row r="53" spans="1:24" ht="12.75" customHeight="1" x14ac:dyDescent="0.25">
      <c r="A53" s="1294"/>
      <c r="B53" s="1025">
        <v>10</v>
      </c>
      <c r="C53" s="1021">
        <v>0.1</v>
      </c>
      <c r="D53" s="1021">
        <v>0.1</v>
      </c>
      <c r="E53" s="1026">
        <v>9.9999999999999995E-7</v>
      </c>
      <c r="F53" s="1019">
        <f>0.5*(MAX(C53:E53)-MIN(C53:E53))</f>
        <v>4.9999500000000002E-2</v>
      </c>
      <c r="G53" s="1030">
        <f>B53*$H$53</f>
        <v>0.17</v>
      </c>
      <c r="H53" s="1016">
        <f>1.7/100</f>
        <v>1.7000000000000001E-2</v>
      </c>
      <c r="I53" s="1294"/>
      <c r="J53" s="1025">
        <v>10</v>
      </c>
      <c r="K53" s="1021">
        <v>0.1</v>
      </c>
      <c r="L53" s="1021">
        <v>0.1</v>
      </c>
      <c r="M53" s="1021">
        <v>9.9999999999999995E-7</v>
      </c>
      <c r="N53" s="1019">
        <f>0.5*(MAX(K53:M53)-MIN(K53:M53))</f>
        <v>4.9999500000000002E-2</v>
      </c>
      <c r="O53" s="1030">
        <f>J53*$P$53</f>
        <v>0.17</v>
      </c>
      <c r="P53" s="1016">
        <f>1.7/100</f>
        <v>1.7000000000000001E-2</v>
      </c>
      <c r="Q53" s="1294"/>
      <c r="R53" s="1025">
        <v>9.9999999999999995E-7</v>
      </c>
      <c r="S53" s="1021">
        <v>9.9999999999999995E-7</v>
      </c>
      <c r="T53" s="1021">
        <v>0.1</v>
      </c>
      <c r="U53" s="1021">
        <v>0.1</v>
      </c>
      <c r="V53" s="1019">
        <f t="shared" ref="V53:V56" si="35">0.5*(MAX(S53:U53)-MIN(S53:U53))</f>
        <v>4.9999500000000002E-2</v>
      </c>
      <c r="W53" s="1030">
        <f>R53*$X$53</f>
        <v>1.7E-8</v>
      </c>
      <c r="X53" s="1010">
        <f>1.7/100</f>
        <v>1.7000000000000001E-2</v>
      </c>
    </row>
    <row r="54" spans="1:24" ht="12.75" customHeight="1" x14ac:dyDescent="0.25">
      <c r="A54" s="1294"/>
      <c r="B54" s="1025">
        <v>20</v>
      </c>
      <c r="C54" s="1021">
        <v>0.2</v>
      </c>
      <c r="D54" s="1021">
        <v>0.2</v>
      </c>
      <c r="E54" s="1021">
        <v>0.1</v>
      </c>
      <c r="F54" s="1019">
        <f t="shared" ref="F54:F56" si="36">0.5*(MAX(C54:E54)-MIN(C54:E54))</f>
        <v>0.05</v>
      </c>
      <c r="G54" s="1030">
        <f t="shared" ref="G54:G56" si="37">B54*$H$53</f>
        <v>0.34</v>
      </c>
      <c r="H54" s="1016"/>
      <c r="I54" s="1294"/>
      <c r="J54" s="1025">
        <v>20</v>
      </c>
      <c r="K54" s="1021">
        <v>0.1</v>
      </c>
      <c r="L54" s="1021">
        <v>0.1</v>
      </c>
      <c r="M54" s="1021">
        <v>0.1</v>
      </c>
      <c r="N54" s="1019">
        <f>0.5*(MAX(K54:M54)-MIN(K54:M54))</f>
        <v>0</v>
      </c>
      <c r="O54" s="1030">
        <f t="shared" ref="O54:O56" si="38">J54*$P$53</f>
        <v>0.34</v>
      </c>
      <c r="P54" s="1016"/>
      <c r="Q54" s="1294"/>
      <c r="R54" s="1025">
        <v>20</v>
      </c>
      <c r="S54" s="1021">
        <v>0.1</v>
      </c>
      <c r="T54" s="1021">
        <v>0.1</v>
      </c>
      <c r="U54" s="1021">
        <v>0.1</v>
      </c>
      <c r="V54" s="1019">
        <f t="shared" si="35"/>
        <v>0</v>
      </c>
      <c r="W54" s="1030">
        <f t="shared" ref="W54:W56" si="39">R54*$X$53</f>
        <v>0.34</v>
      </c>
    </row>
    <row r="55" spans="1:24" ht="12.75" customHeight="1" x14ac:dyDescent="0.25">
      <c r="A55" s="1294"/>
      <c r="B55" s="1025">
        <v>50</v>
      </c>
      <c r="C55" s="1021">
        <v>0.5</v>
      </c>
      <c r="D55" s="1021">
        <v>0.5</v>
      </c>
      <c r="E55" s="1021">
        <v>0.4</v>
      </c>
      <c r="F55" s="1019">
        <f t="shared" si="36"/>
        <v>4.9999999999999989E-2</v>
      </c>
      <c r="G55" s="1030">
        <f t="shared" si="37"/>
        <v>0.85000000000000009</v>
      </c>
      <c r="H55" s="1016"/>
      <c r="I55" s="1294"/>
      <c r="J55" s="1025">
        <v>50</v>
      </c>
      <c r="K55" s="1021">
        <v>0.4</v>
      </c>
      <c r="L55" s="1021">
        <v>0.4</v>
      </c>
      <c r="M55" s="1021">
        <v>0.6</v>
      </c>
      <c r="N55" s="1019">
        <f>0.5*(MAX(K55:M55)-MIN(K55:M55))</f>
        <v>9.9999999999999978E-2</v>
      </c>
      <c r="O55" s="1030">
        <f t="shared" si="38"/>
        <v>0.85000000000000009</v>
      </c>
      <c r="P55" s="1016"/>
      <c r="Q55" s="1294"/>
      <c r="R55" s="1025">
        <v>50</v>
      </c>
      <c r="S55" s="1021">
        <v>0.3</v>
      </c>
      <c r="T55" s="1021">
        <v>0.3</v>
      </c>
      <c r="U55" s="1021">
        <v>0.3</v>
      </c>
      <c r="V55" s="1019">
        <f t="shared" si="35"/>
        <v>0</v>
      </c>
      <c r="W55" s="1030">
        <f t="shared" si="39"/>
        <v>0.85000000000000009</v>
      </c>
    </row>
    <row r="56" spans="1:24" ht="12.75" customHeight="1" x14ac:dyDescent="0.25">
      <c r="A56" s="1294"/>
      <c r="B56" s="1025">
        <v>100</v>
      </c>
      <c r="C56" s="1021">
        <v>1</v>
      </c>
      <c r="D56" s="1021">
        <v>1</v>
      </c>
      <c r="E56" s="1021">
        <v>1.4</v>
      </c>
      <c r="F56" s="1019">
        <f t="shared" si="36"/>
        <v>0.19999999999999996</v>
      </c>
      <c r="G56" s="1030">
        <f t="shared" si="37"/>
        <v>1.7000000000000002</v>
      </c>
      <c r="H56" s="1016"/>
      <c r="I56" s="1294"/>
      <c r="J56" s="1025">
        <v>100</v>
      </c>
      <c r="K56" s="1021">
        <v>0.8</v>
      </c>
      <c r="L56" s="1021">
        <v>0.8</v>
      </c>
      <c r="M56" s="1021">
        <v>1.5</v>
      </c>
      <c r="N56" s="1019">
        <f>0.5*(MAX(K56:M56)-MIN(K56:M56))</f>
        <v>0.35</v>
      </c>
      <c r="O56" s="1030">
        <f t="shared" si="38"/>
        <v>1.7000000000000002</v>
      </c>
      <c r="P56" s="1016"/>
      <c r="Q56" s="1294"/>
      <c r="R56" s="1025">
        <v>100</v>
      </c>
      <c r="S56" s="1021">
        <v>0.9</v>
      </c>
      <c r="T56" s="1021">
        <v>0.6</v>
      </c>
      <c r="U56" s="1021">
        <v>0.6</v>
      </c>
      <c r="V56" s="1019">
        <f t="shared" si="35"/>
        <v>0.15000000000000002</v>
      </c>
      <c r="W56" s="1030">
        <f t="shared" si="39"/>
        <v>1.7000000000000002</v>
      </c>
    </row>
    <row r="57" spans="1:24" ht="12.75" customHeight="1" x14ac:dyDescent="0.25">
      <c r="A57" s="1294"/>
      <c r="B57" s="1298" t="str">
        <f>B26</f>
        <v>Resistance</v>
      </c>
      <c r="C57" s="1299"/>
      <c r="D57" s="1299"/>
      <c r="E57" s="1300"/>
      <c r="F57" s="1015" t="s">
        <v>413</v>
      </c>
      <c r="G57" s="1015" t="s">
        <v>367</v>
      </c>
      <c r="H57" s="1016"/>
      <c r="I57" s="1294"/>
      <c r="J57" s="1298" t="str">
        <f>B57</f>
        <v>Resistance</v>
      </c>
      <c r="K57" s="1299"/>
      <c r="L57" s="1299"/>
      <c r="M57" s="1300"/>
      <c r="N57" s="1015" t="s">
        <v>413</v>
      </c>
      <c r="O57" s="1015" t="s">
        <v>367</v>
      </c>
      <c r="P57" s="1016"/>
      <c r="Q57" s="1294"/>
      <c r="R57" s="1298" t="str">
        <f>J57</f>
        <v>Resistance</v>
      </c>
      <c r="S57" s="1299"/>
      <c r="T57" s="1299"/>
      <c r="U57" s="1300"/>
      <c r="V57" s="1015" t="s">
        <v>413</v>
      </c>
      <c r="W57" s="1015" t="s">
        <v>367</v>
      </c>
    </row>
    <row r="58" spans="1:24" ht="15" customHeight="1" x14ac:dyDescent="0.25">
      <c r="A58" s="1294"/>
      <c r="B58" s="1014" t="s">
        <v>418</v>
      </c>
      <c r="C58" s="1015">
        <f>C36</f>
        <v>2019</v>
      </c>
      <c r="D58" s="1015">
        <f>D36</f>
        <v>2019</v>
      </c>
      <c r="E58" s="1015">
        <f>E36</f>
        <v>2021</v>
      </c>
      <c r="F58" s="1015"/>
      <c r="G58" s="1015"/>
      <c r="H58" s="1016"/>
      <c r="I58" s="1294"/>
      <c r="J58" s="1014" t="s">
        <v>418</v>
      </c>
      <c r="K58" s="1015">
        <f>K36</f>
        <v>2019</v>
      </c>
      <c r="L58" s="1015">
        <f>L36</f>
        <v>2019</v>
      </c>
      <c r="M58" s="1015">
        <f>M36</f>
        <v>2021</v>
      </c>
      <c r="N58" s="1015"/>
      <c r="O58" s="1015"/>
      <c r="P58" s="1016"/>
      <c r="Q58" s="1294"/>
      <c r="R58" s="1014" t="s">
        <v>418</v>
      </c>
      <c r="S58" s="1015">
        <f>S36</f>
        <v>2018</v>
      </c>
      <c r="T58" s="1015">
        <f>T36</f>
        <v>2019</v>
      </c>
      <c r="U58" s="1015">
        <f>U36</f>
        <v>2022</v>
      </c>
      <c r="V58" s="1015"/>
      <c r="W58" s="1015"/>
    </row>
    <row r="59" spans="1:24" ht="12.75" customHeight="1" x14ac:dyDescent="0.25">
      <c r="A59" s="1294"/>
      <c r="B59" s="1025">
        <v>0.01</v>
      </c>
      <c r="C59" s="1031">
        <v>9.9999999999999995E-7</v>
      </c>
      <c r="D59" s="1031">
        <v>9.9999999999999995E-7</v>
      </c>
      <c r="E59" s="1026">
        <v>9.9999999999999995E-7</v>
      </c>
      <c r="F59" s="1019">
        <f>0.5*(MAX(C59:E59)-MIN(C59:E59))</f>
        <v>0</v>
      </c>
      <c r="G59" s="1025">
        <f>B59*$H$59</f>
        <v>1.2E-4</v>
      </c>
      <c r="H59" s="1016">
        <f>1.2/100</f>
        <v>1.2E-2</v>
      </c>
      <c r="I59" s="1294"/>
      <c r="J59" s="1044">
        <v>0.01</v>
      </c>
      <c r="K59" s="1031">
        <v>9.9999999999999995E-7</v>
      </c>
      <c r="L59" s="1031">
        <v>9.9999999999999995E-7</v>
      </c>
      <c r="M59" s="1031">
        <v>9.9999999999999995E-7</v>
      </c>
      <c r="N59" s="1019">
        <f>0.5*(MAX(K59:M59)-MIN(K59:M59))</f>
        <v>0</v>
      </c>
      <c r="O59" s="1025">
        <f>J59*$P$59</f>
        <v>1.2E-4</v>
      </c>
      <c r="P59" s="1016">
        <f>1.2/100</f>
        <v>1.2E-2</v>
      </c>
      <c r="Q59" s="1294"/>
      <c r="R59" s="1025">
        <v>0.01</v>
      </c>
      <c r="S59" s="1031">
        <v>9.9999999999999995E-7</v>
      </c>
      <c r="T59" s="1031">
        <v>9.9999999999999995E-7</v>
      </c>
      <c r="U59" s="1031">
        <v>9.9999999999999995E-7</v>
      </c>
      <c r="V59" s="1019">
        <f t="shared" ref="V59:V62" si="40">0.5*(MAX(S59:U59)-MIN(S59:U59))</f>
        <v>0</v>
      </c>
      <c r="W59" s="1025">
        <f>R59*$X$59</f>
        <v>1.2E-4</v>
      </c>
      <c r="X59" s="1046">
        <f>1.2/100</f>
        <v>1.2E-2</v>
      </c>
    </row>
    <row r="60" spans="1:24" ht="12.75" customHeight="1" x14ac:dyDescent="0.25">
      <c r="A60" s="1294"/>
      <c r="B60" s="1025">
        <v>0.1</v>
      </c>
      <c r="C60" s="1031">
        <v>9.9999999999999995E-7</v>
      </c>
      <c r="D60" s="1031">
        <v>9.9999999999999995E-7</v>
      </c>
      <c r="E60" s="1031">
        <v>-2E-3</v>
      </c>
      <c r="F60" s="1019">
        <f t="shared" ref="F60:F62" si="41">0.5*(MAX(C60:E60)-MIN(C60:E60))</f>
        <v>1.0005000000000001E-3</v>
      </c>
      <c r="G60" s="1025">
        <f t="shared" ref="G60:G62" si="42">B60*$H$59</f>
        <v>1.2000000000000001E-3</v>
      </c>
      <c r="H60" s="1016"/>
      <c r="I60" s="1294"/>
      <c r="J60" s="1044">
        <v>0.1</v>
      </c>
      <c r="K60" s="1031">
        <v>2E-3</v>
      </c>
      <c r="L60" s="1031">
        <v>2E-3</v>
      </c>
      <c r="M60" s="1031">
        <v>5.0000000000000001E-3</v>
      </c>
      <c r="N60" s="1019">
        <f>0.5*(MAX(K60:M60)-MIN(K60:M60))</f>
        <v>1.5E-3</v>
      </c>
      <c r="O60" s="1025">
        <f t="shared" ref="O60:O62" si="43">J60*$P$59</f>
        <v>1.2000000000000001E-3</v>
      </c>
      <c r="P60" s="1016"/>
      <c r="Q60" s="1294"/>
      <c r="R60" s="1025">
        <v>0.1</v>
      </c>
      <c r="S60" s="1031">
        <v>1E-3</v>
      </c>
      <c r="T60" s="1031">
        <v>-2E-3</v>
      </c>
      <c r="U60" s="1031">
        <v>-3.0000000000000001E-3</v>
      </c>
      <c r="V60" s="1019">
        <f t="shared" si="40"/>
        <v>2E-3</v>
      </c>
      <c r="W60" s="1025">
        <f t="shared" ref="W60:W62" si="44">R60*$X$59</f>
        <v>1.2000000000000001E-3</v>
      </c>
    </row>
    <row r="61" spans="1:24" ht="12.75" customHeight="1" x14ac:dyDescent="0.25">
      <c r="A61" s="1294"/>
      <c r="B61" s="1025">
        <v>1</v>
      </c>
      <c r="C61" s="1031">
        <v>-1E-3</v>
      </c>
      <c r="D61" s="1031">
        <v>-1E-3</v>
      </c>
      <c r="E61" s="1031">
        <v>-8.0000000000000002E-3</v>
      </c>
      <c r="F61" s="1019">
        <f t="shared" si="41"/>
        <v>3.5000000000000001E-3</v>
      </c>
      <c r="G61" s="1025">
        <f t="shared" si="42"/>
        <v>1.2E-2</v>
      </c>
      <c r="H61" s="1016"/>
      <c r="I61" s="1294"/>
      <c r="J61" s="1044">
        <v>1</v>
      </c>
      <c r="K61" s="1031">
        <v>1.2E-2</v>
      </c>
      <c r="L61" s="1031">
        <v>1.2E-2</v>
      </c>
      <c r="M61" s="1031">
        <v>1.7999999999999999E-2</v>
      </c>
      <c r="N61" s="1019">
        <f t="shared" ref="N61:N62" si="45">0.5*(MAX(K61:M61)-MIN(K61:M61))</f>
        <v>2.9999999999999992E-3</v>
      </c>
      <c r="O61" s="1025">
        <f t="shared" si="43"/>
        <v>1.2E-2</v>
      </c>
      <c r="P61" s="1016"/>
      <c r="Q61" s="1294"/>
      <c r="R61" s="1025">
        <v>1</v>
      </c>
      <c r="S61" s="1031">
        <v>2E-3</v>
      </c>
      <c r="T61" s="1031">
        <v>-1E-3</v>
      </c>
      <c r="U61" s="1031">
        <v>-7.0000000000000001E-3</v>
      </c>
      <c r="V61" s="1019">
        <f t="shared" si="40"/>
        <v>4.5000000000000005E-3</v>
      </c>
      <c r="W61" s="1025">
        <f t="shared" si="44"/>
        <v>1.2E-2</v>
      </c>
    </row>
    <row r="62" spans="1:24" ht="12.75" customHeight="1" x14ac:dyDescent="0.25">
      <c r="A62" s="1295"/>
      <c r="B62" s="1025">
        <v>2</v>
      </c>
      <c r="C62" s="1031">
        <v>9.9999999999999995E-7</v>
      </c>
      <c r="D62" s="1031">
        <v>9.9999999999999995E-7</v>
      </c>
      <c r="E62" s="1031">
        <v>-7.0000000000000001E-3</v>
      </c>
      <c r="F62" s="1019">
        <f t="shared" si="41"/>
        <v>3.5005000000000001E-3</v>
      </c>
      <c r="G62" s="1025">
        <f t="shared" si="42"/>
        <v>2.4E-2</v>
      </c>
      <c r="H62" s="1016" t="s">
        <v>55</v>
      </c>
      <c r="I62" s="1295"/>
      <c r="J62" s="1044">
        <v>2</v>
      </c>
      <c r="K62" s="1031">
        <v>9.9999999999999995E-7</v>
      </c>
      <c r="L62" s="1031">
        <v>9.9999999999999995E-7</v>
      </c>
      <c r="M62" s="1031">
        <v>0.113</v>
      </c>
      <c r="N62" s="1019">
        <f t="shared" si="45"/>
        <v>5.6499500000000001E-2</v>
      </c>
      <c r="O62" s="1025">
        <f t="shared" si="43"/>
        <v>2.4E-2</v>
      </c>
      <c r="P62" s="1016"/>
      <c r="Q62" s="1295"/>
      <c r="R62" s="1025">
        <v>2</v>
      </c>
      <c r="S62" s="1031">
        <v>0</v>
      </c>
      <c r="T62" s="1026">
        <v>9.9999999999999995E-7</v>
      </c>
      <c r="U62" s="1026">
        <v>-7.0000000000000001E-3</v>
      </c>
      <c r="V62" s="1019">
        <f t="shared" si="40"/>
        <v>3.5005000000000001E-3</v>
      </c>
      <c r="W62" s="1025">
        <f t="shared" si="44"/>
        <v>2.4E-2</v>
      </c>
    </row>
    <row r="63" spans="1:24" s="296" customFormat="1" ht="15.5" x14ac:dyDescent="0.25">
      <c r="A63" s="1047"/>
      <c r="B63" s="1048"/>
      <c r="C63" s="1049"/>
      <c r="E63" s="1049"/>
      <c r="F63" s="1049"/>
      <c r="G63" s="1049"/>
      <c r="H63" s="1037"/>
      <c r="I63" s="1050"/>
      <c r="J63" s="1051"/>
      <c r="K63" s="1049"/>
      <c r="M63" s="1049"/>
      <c r="N63" s="1049"/>
      <c r="O63" s="1049"/>
      <c r="P63" s="1037"/>
      <c r="Q63" s="1050"/>
      <c r="R63" s="1048"/>
      <c r="S63" s="1049"/>
      <c r="U63" s="1036"/>
      <c r="V63" s="1036"/>
      <c r="W63" s="1038"/>
      <c r="X63" s="1039"/>
    </row>
    <row r="64" spans="1:24" ht="30" customHeight="1" x14ac:dyDescent="0.25">
      <c r="A64" s="1293">
        <v>7</v>
      </c>
      <c r="B64" s="1304" t="str">
        <f>A172</f>
        <v>Electrical Safety Analyzer, Merek : Fluke, Model : ESA 615, SN : 3699030</v>
      </c>
      <c r="C64" s="1304"/>
      <c r="D64" s="1304"/>
      <c r="E64" s="1304"/>
      <c r="F64" s="1304"/>
      <c r="G64" s="1304"/>
      <c r="H64" s="1011"/>
      <c r="I64" s="1293">
        <v>8</v>
      </c>
      <c r="J64" s="1296" t="str">
        <f>A173</f>
        <v>Electrical Safety Analyzer, Merek : Fluke, Model : ESA 615, SN : 4670010</v>
      </c>
      <c r="K64" s="1296"/>
      <c r="L64" s="1296"/>
      <c r="M64" s="1296"/>
      <c r="N64" s="1296"/>
      <c r="O64" s="1296"/>
      <c r="P64" s="1011"/>
      <c r="Q64" s="1293">
        <v>9</v>
      </c>
      <c r="R64" s="1296" t="str">
        <f>A174</f>
        <v>Electrical Safety Analyzer, Merek : Fluke, Model : ESA 615, SN : 4669058</v>
      </c>
      <c r="S64" s="1296"/>
      <c r="T64" s="1296"/>
      <c r="U64" s="1296"/>
      <c r="V64" s="1296"/>
      <c r="W64" s="1296"/>
    </row>
    <row r="65" spans="1:26" ht="15" customHeight="1" x14ac:dyDescent="0.3">
      <c r="A65" s="1294"/>
      <c r="B65" s="1305" t="s">
        <v>232</v>
      </c>
      <c r="C65" s="1305"/>
      <c r="D65" s="1305"/>
      <c r="E65" s="1305"/>
      <c r="F65" s="1041"/>
      <c r="G65" s="1041"/>
      <c r="H65" s="1013"/>
      <c r="I65" s="1294"/>
      <c r="J65" s="1306" t="s">
        <v>232</v>
      </c>
      <c r="K65" s="1307"/>
      <c r="L65" s="1307"/>
      <c r="M65" s="1308"/>
      <c r="N65" s="1042"/>
      <c r="O65" s="1042"/>
      <c r="P65" s="1013"/>
      <c r="Q65" s="1294"/>
      <c r="R65" s="1305" t="s">
        <v>232</v>
      </c>
      <c r="S65" s="1305"/>
      <c r="T65" s="1305"/>
      <c r="U65" s="1305"/>
      <c r="V65" s="1042"/>
      <c r="W65" s="1042"/>
    </row>
    <row r="66" spans="1:26" ht="12.75" customHeight="1" x14ac:dyDescent="0.25">
      <c r="A66" s="1294"/>
      <c r="B66" s="1301" t="s">
        <v>238</v>
      </c>
      <c r="C66" s="1302"/>
      <c r="D66" s="1302"/>
      <c r="E66" s="1303"/>
      <c r="F66" s="1015" t="s">
        <v>413</v>
      </c>
      <c r="G66" s="1015" t="s">
        <v>367</v>
      </c>
      <c r="H66" s="1016"/>
      <c r="I66" s="1294"/>
      <c r="J66" s="1301" t="s">
        <v>238</v>
      </c>
      <c r="K66" s="1302"/>
      <c r="L66" s="1302"/>
      <c r="M66" s="1303"/>
      <c r="N66" s="1015" t="s">
        <v>413</v>
      </c>
      <c r="O66" s="1015" t="s">
        <v>367</v>
      </c>
      <c r="P66" s="1016"/>
      <c r="Q66" s="1294"/>
      <c r="R66" s="1301" t="s">
        <v>238</v>
      </c>
      <c r="S66" s="1302"/>
      <c r="T66" s="1302"/>
      <c r="U66" s="1303"/>
      <c r="V66" s="1015" t="s">
        <v>413</v>
      </c>
      <c r="W66" s="1015" t="s">
        <v>367</v>
      </c>
    </row>
    <row r="67" spans="1:26" ht="15" customHeight="1" x14ac:dyDescent="0.25">
      <c r="A67" s="1294"/>
      <c r="B67" s="1014" t="s">
        <v>414</v>
      </c>
      <c r="C67" s="1015">
        <v>2019</v>
      </c>
      <c r="D67" s="1015">
        <v>2020</v>
      </c>
      <c r="E67" s="1015">
        <v>2022</v>
      </c>
      <c r="F67" s="1015"/>
      <c r="G67" s="1015"/>
      <c r="H67" s="1016"/>
      <c r="I67" s="1294"/>
      <c r="J67" s="1014" t="s">
        <v>414</v>
      </c>
      <c r="K67" s="1015">
        <v>2019</v>
      </c>
      <c r="L67" s="1015">
        <v>2020</v>
      </c>
      <c r="M67" s="1015">
        <v>2022</v>
      </c>
      <c r="N67" s="1015"/>
      <c r="O67" s="1015"/>
      <c r="P67" s="1016"/>
      <c r="Q67" s="1294"/>
      <c r="R67" s="1014" t="s">
        <v>414</v>
      </c>
      <c r="S67" s="1015">
        <v>2019</v>
      </c>
      <c r="T67" s="1015">
        <v>2020</v>
      </c>
      <c r="U67" s="1015">
        <v>2022</v>
      </c>
      <c r="V67" s="1015"/>
      <c r="W67" s="1015"/>
    </row>
    <row r="68" spans="1:26" ht="12.75" customHeight="1" x14ac:dyDescent="0.25">
      <c r="A68" s="1294"/>
      <c r="B68" s="1017">
        <v>150</v>
      </c>
      <c r="C68" s="1018">
        <v>0.21</v>
      </c>
      <c r="D68" s="1018">
        <v>0.21</v>
      </c>
      <c r="E68" s="1018">
        <v>0.36</v>
      </c>
      <c r="F68" s="1019">
        <f t="shared" ref="F68:F73" si="46">0.5*(MAX(C68:E68)-MIN(C68:E68))</f>
        <v>7.4999999999999997E-2</v>
      </c>
      <c r="G68" s="1023">
        <f>B68*$H$68</f>
        <v>1.8</v>
      </c>
      <c r="H68" s="1016">
        <f>1.2/100</f>
        <v>1.2E-2</v>
      </c>
      <c r="I68" s="1294"/>
      <c r="J68" s="1017">
        <v>150</v>
      </c>
      <c r="K68" s="1020">
        <v>9.9999999999999995E-7</v>
      </c>
      <c r="L68" s="1018">
        <v>-0.17</v>
      </c>
      <c r="M68" s="1018">
        <v>-0.08</v>
      </c>
      <c r="N68" s="1019">
        <f>0.5*(MAX(K68:M68)-MIN(K68:M68))</f>
        <v>8.5000500000000007E-2</v>
      </c>
      <c r="O68" s="1018">
        <f>J68*$P$68</f>
        <v>1.8</v>
      </c>
      <c r="P68" s="1016">
        <f>1.2/100</f>
        <v>1.2E-2</v>
      </c>
      <c r="Q68" s="1294"/>
      <c r="R68" s="1017">
        <v>150</v>
      </c>
      <c r="S68" s="1020">
        <v>9.9999999999999995E-7</v>
      </c>
      <c r="T68" s="1018">
        <v>-0.24</v>
      </c>
      <c r="U68" s="1018">
        <v>-0.17</v>
      </c>
      <c r="V68" s="1019">
        <f t="shared" ref="V68:V73" si="47">0.5*(MAX(S68:U68)-MIN(S68:U68))</f>
        <v>0.1200005</v>
      </c>
      <c r="W68" s="1018">
        <f>R68*$X$68</f>
        <v>1.8</v>
      </c>
      <c r="X68" s="1010">
        <f>1.2/100</f>
        <v>1.2E-2</v>
      </c>
    </row>
    <row r="69" spans="1:26" ht="12.75" customHeight="1" x14ac:dyDescent="0.25">
      <c r="A69" s="1294"/>
      <c r="B69" s="1017">
        <v>180</v>
      </c>
      <c r="C69" s="1024">
        <v>0.33</v>
      </c>
      <c r="D69" s="1024">
        <v>0.33</v>
      </c>
      <c r="E69" s="1024">
        <v>0.46</v>
      </c>
      <c r="F69" s="1019">
        <f t="shared" si="46"/>
        <v>6.5000000000000002E-2</v>
      </c>
      <c r="G69" s="1023">
        <f t="shared" ref="G69:G73" si="48">B69*$H$68</f>
        <v>2.16</v>
      </c>
      <c r="H69" s="1016"/>
      <c r="I69" s="1294"/>
      <c r="J69" s="1017">
        <v>180</v>
      </c>
      <c r="K69" s="1020">
        <v>9.9999999999999995E-7</v>
      </c>
      <c r="L69" s="1024">
        <v>-0.22</v>
      </c>
      <c r="M69" s="1024">
        <v>-0.2</v>
      </c>
      <c r="N69" s="1019">
        <f t="shared" ref="N69:N73" si="49">0.5*(MAX(K69:M69)-MIN(K69:M69))</f>
        <v>0.1100005</v>
      </c>
      <c r="O69" s="1018">
        <f t="shared" ref="O69:O73" si="50">J69*$P$68</f>
        <v>2.16</v>
      </c>
      <c r="P69" s="1016"/>
      <c r="Q69" s="1294"/>
      <c r="R69" s="1017">
        <v>180</v>
      </c>
      <c r="S69" s="1020">
        <v>9.9999999999999995E-7</v>
      </c>
      <c r="T69" s="1024">
        <v>-0.14000000000000001</v>
      </c>
      <c r="U69" s="1024">
        <v>-0.39</v>
      </c>
      <c r="V69" s="1019">
        <f t="shared" si="47"/>
        <v>0.19500049999999999</v>
      </c>
      <c r="W69" s="1018">
        <f t="shared" ref="W69:W72" si="51">R69*$X$68</f>
        <v>2.16</v>
      </c>
    </row>
    <row r="70" spans="1:26" ht="12.75" customHeight="1" x14ac:dyDescent="0.25">
      <c r="A70" s="1294"/>
      <c r="B70" s="1017">
        <v>200</v>
      </c>
      <c r="C70" s="1024">
        <v>0.34</v>
      </c>
      <c r="D70" s="1024">
        <v>0.34</v>
      </c>
      <c r="E70" s="1024">
        <v>0.52</v>
      </c>
      <c r="F70" s="1019">
        <f t="shared" si="46"/>
        <v>0.09</v>
      </c>
      <c r="G70" s="1023">
        <f t="shared" si="48"/>
        <v>2.4</v>
      </c>
      <c r="H70" s="1016"/>
      <c r="I70" s="1294"/>
      <c r="J70" s="1017">
        <v>200</v>
      </c>
      <c r="K70" s="1020">
        <v>9.9999999999999995E-7</v>
      </c>
      <c r="L70" s="1052">
        <v>-0.33</v>
      </c>
      <c r="M70" s="1052">
        <v>-0.25</v>
      </c>
      <c r="N70" s="1019">
        <f t="shared" si="49"/>
        <v>0.16500049999999999</v>
      </c>
      <c r="O70" s="1018">
        <f t="shared" si="50"/>
        <v>2.4</v>
      </c>
      <c r="P70" s="1016"/>
      <c r="Q70" s="1294"/>
      <c r="R70" s="1017">
        <v>200</v>
      </c>
      <c r="S70" s="1020">
        <v>9.9999999999999995E-7</v>
      </c>
      <c r="T70" s="1024">
        <v>-0.33</v>
      </c>
      <c r="U70" s="1024">
        <v>-0.23</v>
      </c>
      <c r="V70" s="1019">
        <f t="shared" si="47"/>
        <v>0.16500049999999999</v>
      </c>
      <c r="W70" s="1018">
        <f t="shared" si="51"/>
        <v>2.4</v>
      </c>
    </row>
    <row r="71" spans="1:26" ht="12.75" customHeight="1" x14ac:dyDescent="0.25">
      <c r="A71" s="1294"/>
      <c r="B71" s="1017">
        <v>220</v>
      </c>
      <c r="C71" s="1024">
        <v>0.37</v>
      </c>
      <c r="D71" s="1024">
        <v>0.37</v>
      </c>
      <c r="E71" s="1024">
        <v>0.57999999999999996</v>
      </c>
      <c r="F71" s="1019">
        <f t="shared" si="46"/>
        <v>0.10499999999999998</v>
      </c>
      <c r="G71" s="1023">
        <f t="shared" si="48"/>
        <v>2.64</v>
      </c>
      <c r="H71" s="1016"/>
      <c r="I71" s="1294"/>
      <c r="J71" s="1017">
        <v>220</v>
      </c>
      <c r="K71" s="1020">
        <v>9.9999999999999995E-7</v>
      </c>
      <c r="L71" s="1024">
        <v>-0.39</v>
      </c>
      <c r="M71" s="1024">
        <v>-0.28999999999999998</v>
      </c>
      <c r="N71" s="1019">
        <f t="shared" si="49"/>
        <v>0.19500049999999999</v>
      </c>
      <c r="O71" s="1018">
        <f t="shared" si="50"/>
        <v>2.64</v>
      </c>
      <c r="P71" s="1016"/>
      <c r="Q71" s="1294"/>
      <c r="R71" s="1017">
        <v>220</v>
      </c>
      <c r="S71" s="1020">
        <v>9.9999999999999995E-7</v>
      </c>
      <c r="T71" s="1024">
        <v>-0.45</v>
      </c>
      <c r="U71" s="1024">
        <v>-0.16</v>
      </c>
      <c r="V71" s="1019">
        <f t="shared" si="47"/>
        <v>0.22500049999999999</v>
      </c>
      <c r="W71" s="1018">
        <f t="shared" si="51"/>
        <v>2.64</v>
      </c>
    </row>
    <row r="72" spans="1:26" ht="12.75" customHeight="1" x14ac:dyDescent="0.25">
      <c r="A72" s="1294"/>
      <c r="B72" s="1017">
        <v>230</v>
      </c>
      <c r="C72" s="1024">
        <v>0.47</v>
      </c>
      <c r="D72" s="1024">
        <v>0.47</v>
      </c>
      <c r="E72" s="1024">
        <v>0.47</v>
      </c>
      <c r="F72" s="1019">
        <f t="shared" si="46"/>
        <v>0</v>
      </c>
      <c r="G72" s="1023">
        <f t="shared" si="48"/>
        <v>2.7600000000000002</v>
      </c>
      <c r="H72" s="1016"/>
      <c r="I72" s="1294"/>
      <c r="J72" s="1017">
        <v>230</v>
      </c>
      <c r="K72" s="1020">
        <v>9.9999999999999995E-7</v>
      </c>
      <c r="L72" s="1053">
        <v>-0.39</v>
      </c>
      <c r="M72" s="1053">
        <v>-0.34</v>
      </c>
      <c r="N72" s="1019">
        <f t="shared" si="49"/>
        <v>0.19500049999999999</v>
      </c>
      <c r="O72" s="1018">
        <f t="shared" si="50"/>
        <v>2.7600000000000002</v>
      </c>
      <c r="P72" s="1016"/>
      <c r="Q72" s="1294"/>
      <c r="R72" s="1017">
        <v>230</v>
      </c>
      <c r="S72" s="1020">
        <v>9.9999999999999995E-7</v>
      </c>
      <c r="T72" s="1024">
        <v>-0.54</v>
      </c>
      <c r="U72" s="1024">
        <v>-0.15</v>
      </c>
      <c r="V72" s="1019">
        <f t="shared" si="47"/>
        <v>0.27000050000000003</v>
      </c>
      <c r="W72" s="1018">
        <f t="shared" si="51"/>
        <v>2.7600000000000002</v>
      </c>
    </row>
    <row r="73" spans="1:26" ht="12.75" customHeight="1" x14ac:dyDescent="0.25">
      <c r="A73" s="1294"/>
      <c r="B73" s="1017">
        <v>250</v>
      </c>
      <c r="C73" s="1024">
        <v>9.9999999999999995E-7</v>
      </c>
      <c r="D73" s="1024">
        <v>9.9999999999999995E-7</v>
      </c>
      <c r="E73" s="1024">
        <v>9.9999999999999995E-7</v>
      </c>
      <c r="F73" s="1019">
        <f t="shared" si="46"/>
        <v>0</v>
      </c>
      <c r="G73" s="1023">
        <f t="shared" si="48"/>
        <v>3</v>
      </c>
      <c r="H73" s="1016"/>
      <c r="I73" s="1294"/>
      <c r="J73" s="1017">
        <v>250</v>
      </c>
      <c r="K73" s="1020">
        <v>9.9999999999999995E-7</v>
      </c>
      <c r="L73" s="1024">
        <v>9.9999999999999995E-7</v>
      </c>
      <c r="M73" s="1024">
        <v>9.9999999999999995E-7</v>
      </c>
      <c r="N73" s="1019">
        <f t="shared" si="49"/>
        <v>0</v>
      </c>
      <c r="O73" s="1018">
        <f t="shared" si="50"/>
        <v>3</v>
      </c>
      <c r="P73" s="1016"/>
      <c r="Q73" s="1294"/>
      <c r="R73" s="1017">
        <v>250</v>
      </c>
      <c r="S73" s="1020">
        <v>9.9999999999999995E-7</v>
      </c>
      <c r="T73" s="1024">
        <v>9.9999999999999995E-7</v>
      </c>
      <c r="U73" s="1024">
        <v>9.9999999999999995E-7</v>
      </c>
      <c r="V73" s="1019">
        <f t="shared" si="47"/>
        <v>0</v>
      </c>
      <c r="W73" s="1024" t="s">
        <v>191</v>
      </c>
    </row>
    <row r="74" spans="1:26" ht="12.75" customHeight="1" x14ac:dyDescent="0.25">
      <c r="A74" s="1294"/>
      <c r="B74" s="1298" t="s">
        <v>415</v>
      </c>
      <c r="C74" s="1299"/>
      <c r="D74" s="1299"/>
      <c r="E74" s="1300"/>
      <c r="F74" s="1015" t="s">
        <v>413</v>
      </c>
      <c r="G74" s="1015" t="s">
        <v>367</v>
      </c>
      <c r="H74" s="1016"/>
      <c r="I74" s="1294"/>
      <c r="J74" s="1298" t="s">
        <v>415</v>
      </c>
      <c r="K74" s="1299"/>
      <c r="L74" s="1299"/>
      <c r="M74" s="1300"/>
      <c r="N74" s="1015" t="s">
        <v>413</v>
      </c>
      <c r="O74" s="1015" t="s">
        <v>367</v>
      </c>
      <c r="P74" s="1016"/>
      <c r="Q74" s="1294"/>
      <c r="R74" s="1298" t="s">
        <v>415</v>
      </c>
      <c r="S74" s="1299"/>
      <c r="T74" s="1299"/>
      <c r="U74" s="1300"/>
      <c r="V74" s="1015" t="s">
        <v>413</v>
      </c>
      <c r="W74" s="1015" t="s">
        <v>367</v>
      </c>
      <c r="Z74" s="930"/>
    </row>
    <row r="75" spans="1:26" ht="15" customHeight="1" x14ac:dyDescent="0.25">
      <c r="A75" s="1294"/>
      <c r="B75" s="1014" t="s">
        <v>416</v>
      </c>
      <c r="C75" s="1015">
        <f>C67</f>
        <v>2019</v>
      </c>
      <c r="D75" s="1015">
        <f>D67</f>
        <v>2020</v>
      </c>
      <c r="E75" s="1015">
        <f>E67</f>
        <v>2022</v>
      </c>
      <c r="F75" s="1015"/>
      <c r="G75" s="1015"/>
      <c r="H75" s="1016"/>
      <c r="I75" s="1294"/>
      <c r="J75" s="1014" t="s">
        <v>416</v>
      </c>
      <c r="K75" s="1015">
        <f>K67</f>
        <v>2019</v>
      </c>
      <c r="L75" s="1015">
        <f>L67</f>
        <v>2020</v>
      </c>
      <c r="M75" s="1015">
        <f>M67</f>
        <v>2022</v>
      </c>
      <c r="N75" s="1015"/>
      <c r="O75" s="1015"/>
      <c r="P75" s="1016"/>
      <c r="Q75" s="1294"/>
      <c r="R75" s="1014" t="s">
        <v>416</v>
      </c>
      <c r="S75" s="1015">
        <f>S67</f>
        <v>2019</v>
      </c>
      <c r="T75" s="1015">
        <f>T67</f>
        <v>2020</v>
      </c>
      <c r="U75" s="1015">
        <f>U67</f>
        <v>2022</v>
      </c>
      <c r="V75" s="1015"/>
      <c r="W75" s="1015"/>
    </row>
    <row r="76" spans="1:26" ht="12.75" customHeight="1" x14ac:dyDescent="0.25">
      <c r="A76" s="1294"/>
      <c r="B76" s="1030">
        <v>9.9999999999999995E-7</v>
      </c>
      <c r="C76" s="1054">
        <v>9.9999999999999995E-7</v>
      </c>
      <c r="D76" s="1054">
        <v>9.9999999999999995E-7</v>
      </c>
      <c r="E76" s="1054">
        <v>9.9999999999999995E-7</v>
      </c>
      <c r="F76" s="1019">
        <f t="shared" ref="F76:F81" si="52">0.5*(MAX(C76:E76)-MIN(C76:E76))</f>
        <v>0</v>
      </c>
      <c r="G76" s="1029">
        <f>B76*$H$76</f>
        <v>5.8999999999999999E-9</v>
      </c>
      <c r="H76" s="1016">
        <f>0.59/100</f>
        <v>5.8999999999999999E-3</v>
      </c>
      <c r="I76" s="1294"/>
      <c r="J76" s="1030">
        <v>9.9999999999999995E-7</v>
      </c>
      <c r="K76" s="1021">
        <v>9.9999999999999995E-7</v>
      </c>
      <c r="L76" s="1026">
        <v>9.9999999999999995E-7</v>
      </c>
      <c r="M76" s="1026">
        <v>9.9999999999999995E-7</v>
      </c>
      <c r="N76" s="1019">
        <f t="shared" ref="N76:N81" si="53">0.5*(MAX(K76:M76)-MIN(K76:M76))</f>
        <v>0</v>
      </c>
      <c r="O76" s="1028">
        <f>J76*$P$76</f>
        <v>5.8999999999999999E-9</v>
      </c>
      <c r="P76" s="1016">
        <f>0.59/100</f>
        <v>5.8999999999999999E-3</v>
      </c>
      <c r="Q76" s="1294"/>
      <c r="R76" s="1030">
        <v>9.9999999999999995E-7</v>
      </c>
      <c r="S76" s="1021">
        <v>9.9999999999999995E-7</v>
      </c>
      <c r="T76" s="1026">
        <v>9.9999999999999995E-7</v>
      </c>
      <c r="U76" s="1026">
        <v>9.9999999999999995E-7</v>
      </c>
      <c r="V76" s="1019">
        <f t="shared" ref="V76:V81" si="54">0.5*(MAX(S76:U76)-MIN(S76:U76))</f>
        <v>0</v>
      </c>
      <c r="W76" s="1028">
        <f>R76*$X$76</f>
        <v>5.8999999999999999E-9</v>
      </c>
      <c r="X76" s="1010">
        <f>0.59/100</f>
        <v>5.8999999999999999E-3</v>
      </c>
    </row>
    <row r="77" spans="1:26" ht="12.75" customHeight="1" x14ac:dyDescent="0.25">
      <c r="A77" s="1294"/>
      <c r="B77" s="1025">
        <v>50</v>
      </c>
      <c r="C77" s="1024">
        <v>1.7</v>
      </c>
      <c r="D77" s="1024">
        <v>1.7</v>
      </c>
      <c r="E77" s="1024">
        <v>1.9</v>
      </c>
      <c r="F77" s="1019">
        <f t="shared" si="52"/>
        <v>9.9999999999999978E-2</v>
      </c>
      <c r="G77" s="1029">
        <f t="shared" ref="G77:G81" si="55">B77*$H$76</f>
        <v>0.29499999999999998</v>
      </c>
      <c r="H77" s="1016"/>
      <c r="I77" s="1294"/>
      <c r="J77" s="1025">
        <v>50</v>
      </c>
      <c r="K77" s="1021">
        <v>9.9999999999999995E-7</v>
      </c>
      <c r="L77" s="1024">
        <v>1.7</v>
      </c>
      <c r="M77" s="1024">
        <v>9.1999999999999993</v>
      </c>
      <c r="N77" s="1019">
        <f t="shared" si="53"/>
        <v>4.5999995</v>
      </c>
      <c r="O77" s="1028">
        <f t="shared" ref="O77:O81" si="56">J77*$P$76</f>
        <v>0.29499999999999998</v>
      </c>
      <c r="P77" s="1016"/>
      <c r="Q77" s="1294"/>
      <c r="R77" s="1025">
        <v>50</v>
      </c>
      <c r="S77" s="1021">
        <v>9.9999999999999995E-7</v>
      </c>
      <c r="T77" s="1024">
        <v>2.1</v>
      </c>
      <c r="U77" s="1024">
        <v>5</v>
      </c>
      <c r="V77" s="1019">
        <f t="shared" si="54"/>
        <v>2.4999994999999999</v>
      </c>
      <c r="W77" s="1028">
        <f t="shared" ref="W77:W81" si="57">R77*$X$76</f>
        <v>0.29499999999999998</v>
      </c>
    </row>
    <row r="78" spans="1:26" ht="12.75" customHeight="1" x14ac:dyDescent="0.25">
      <c r="A78" s="1294"/>
      <c r="B78" s="1025">
        <v>100</v>
      </c>
      <c r="C78" s="1024">
        <v>1.7</v>
      </c>
      <c r="D78" s="1024">
        <v>1.7</v>
      </c>
      <c r="E78" s="1024">
        <v>1.7</v>
      </c>
      <c r="F78" s="1019">
        <f t="shared" si="52"/>
        <v>0</v>
      </c>
      <c r="G78" s="1029">
        <f t="shared" si="55"/>
        <v>0.59</v>
      </c>
      <c r="H78" s="1016"/>
      <c r="I78" s="1294"/>
      <c r="J78" s="1025">
        <v>100</v>
      </c>
      <c r="K78" s="1021">
        <v>9.9999999999999995E-7</v>
      </c>
      <c r="L78" s="1024">
        <v>3.4</v>
      </c>
      <c r="M78" s="1024">
        <v>7.7</v>
      </c>
      <c r="N78" s="1019">
        <f t="shared" si="53"/>
        <v>3.8499995</v>
      </c>
      <c r="O78" s="1028">
        <f t="shared" si="56"/>
        <v>0.59</v>
      </c>
      <c r="P78" s="1016"/>
      <c r="Q78" s="1294"/>
      <c r="R78" s="1025">
        <v>100</v>
      </c>
      <c r="S78" s="1021">
        <v>9.9999999999999995E-7</v>
      </c>
      <c r="T78" s="1024">
        <v>3.7</v>
      </c>
      <c r="U78" s="1024">
        <v>0.7</v>
      </c>
      <c r="V78" s="1019">
        <f t="shared" si="54"/>
        <v>1.8499995</v>
      </c>
      <c r="W78" s="1028">
        <f t="shared" si="57"/>
        <v>0.59</v>
      </c>
    </row>
    <row r="79" spans="1:26" ht="12.75" customHeight="1" x14ac:dyDescent="0.25">
      <c r="A79" s="1294"/>
      <c r="B79" s="1025">
        <v>200</v>
      </c>
      <c r="C79" s="1024">
        <v>0.4</v>
      </c>
      <c r="D79" s="1024">
        <v>0.4</v>
      </c>
      <c r="E79" s="1024">
        <v>1.5</v>
      </c>
      <c r="F79" s="1019">
        <f t="shared" si="52"/>
        <v>0.55000000000000004</v>
      </c>
      <c r="G79" s="1029">
        <f t="shared" si="55"/>
        <v>1.18</v>
      </c>
      <c r="H79" s="1016"/>
      <c r="I79" s="1294"/>
      <c r="J79" s="1025">
        <v>500</v>
      </c>
      <c r="K79" s="1021">
        <v>9.9999999999999995E-7</v>
      </c>
      <c r="L79" s="1024">
        <v>7.2</v>
      </c>
      <c r="M79" s="1024">
        <v>-0.2</v>
      </c>
      <c r="N79" s="1019">
        <f t="shared" si="53"/>
        <v>3.7</v>
      </c>
      <c r="O79" s="1028">
        <f t="shared" si="56"/>
        <v>2.9499999999999997</v>
      </c>
      <c r="P79" s="1016"/>
      <c r="Q79" s="1294"/>
      <c r="R79" s="1025">
        <v>500</v>
      </c>
      <c r="S79" s="1021">
        <v>9.9999999999999995E-7</v>
      </c>
      <c r="T79" s="1024">
        <v>8.3000000000000007</v>
      </c>
      <c r="U79" s="1024">
        <v>-31.8</v>
      </c>
      <c r="V79" s="1019">
        <f t="shared" si="54"/>
        <v>20.05</v>
      </c>
      <c r="W79" s="1028">
        <f t="shared" si="57"/>
        <v>2.9499999999999997</v>
      </c>
    </row>
    <row r="80" spans="1:26" ht="12.75" customHeight="1" x14ac:dyDescent="0.25">
      <c r="A80" s="1294"/>
      <c r="B80" s="1025">
        <v>500</v>
      </c>
      <c r="C80" s="1024">
        <v>3</v>
      </c>
      <c r="D80" s="1024">
        <v>3</v>
      </c>
      <c r="E80" s="1024">
        <v>0.9</v>
      </c>
      <c r="F80" s="1019">
        <f t="shared" si="52"/>
        <v>1.05</v>
      </c>
      <c r="G80" s="1029">
        <f t="shared" si="55"/>
        <v>2.9499999999999997</v>
      </c>
      <c r="H80" s="1016"/>
      <c r="I80" s="1294"/>
      <c r="J80" s="1025">
        <v>500</v>
      </c>
      <c r="K80" s="1021">
        <v>9.9999999999999995E-7</v>
      </c>
      <c r="L80" s="1024">
        <v>7.2</v>
      </c>
      <c r="M80" s="1024">
        <v>-25.1</v>
      </c>
      <c r="N80" s="1019">
        <f t="shared" si="53"/>
        <v>16.150000000000002</v>
      </c>
      <c r="O80" s="1028">
        <f t="shared" si="56"/>
        <v>2.9499999999999997</v>
      </c>
      <c r="P80" s="1016"/>
      <c r="Q80" s="1294"/>
      <c r="R80" s="1025">
        <v>500</v>
      </c>
      <c r="S80" s="1021">
        <v>9.9999999999999995E-7</v>
      </c>
      <c r="T80" s="1024">
        <v>8.3000000000000007</v>
      </c>
      <c r="U80" s="1024">
        <v>-31.8</v>
      </c>
      <c r="V80" s="1019">
        <f t="shared" si="54"/>
        <v>20.05</v>
      </c>
      <c r="W80" s="1028">
        <f t="shared" si="57"/>
        <v>2.9499999999999997</v>
      </c>
    </row>
    <row r="81" spans="1:24" ht="12.75" customHeight="1" x14ac:dyDescent="0.25">
      <c r="A81" s="1294"/>
      <c r="B81" s="1025">
        <v>1000</v>
      </c>
      <c r="C81" s="1024">
        <v>5</v>
      </c>
      <c r="D81" s="1024">
        <v>4</v>
      </c>
      <c r="E81" s="1055">
        <v>-1</v>
      </c>
      <c r="F81" s="1019">
        <f t="shared" si="52"/>
        <v>3</v>
      </c>
      <c r="G81" s="1029">
        <f t="shared" si="55"/>
        <v>5.8999999999999995</v>
      </c>
      <c r="H81" s="1016"/>
      <c r="I81" s="1294"/>
      <c r="J81" s="1025">
        <v>1000</v>
      </c>
      <c r="K81" s="1021">
        <v>9.9999999999999995E-7</v>
      </c>
      <c r="L81" s="1024">
        <v>80</v>
      </c>
      <c r="M81" s="1024">
        <v>66</v>
      </c>
      <c r="N81" s="1019">
        <f t="shared" si="53"/>
        <v>39.999999500000001</v>
      </c>
      <c r="O81" s="1028">
        <f t="shared" si="56"/>
        <v>5.8999999999999995</v>
      </c>
      <c r="P81" s="1016"/>
      <c r="Q81" s="1294"/>
      <c r="R81" s="1025">
        <v>1000</v>
      </c>
      <c r="S81" s="1021">
        <v>9.9999999999999995E-7</v>
      </c>
      <c r="T81" s="1024">
        <v>-97</v>
      </c>
      <c r="U81" s="1024">
        <v>-74</v>
      </c>
      <c r="V81" s="1019">
        <f t="shared" si="54"/>
        <v>48.500000499999999</v>
      </c>
      <c r="W81" s="1028">
        <f t="shared" si="57"/>
        <v>5.8999999999999995</v>
      </c>
    </row>
    <row r="82" spans="1:24" ht="12.75" customHeight="1" x14ac:dyDescent="0.25">
      <c r="A82" s="1294"/>
      <c r="B82" s="1298" t="s">
        <v>310</v>
      </c>
      <c r="C82" s="1299"/>
      <c r="D82" s="1299"/>
      <c r="E82" s="1300"/>
      <c r="F82" s="1015" t="s">
        <v>413</v>
      </c>
      <c r="G82" s="1015" t="s">
        <v>367</v>
      </c>
      <c r="H82" s="1016"/>
      <c r="I82" s="1294"/>
      <c r="J82" s="1298" t="s">
        <v>310</v>
      </c>
      <c r="K82" s="1299"/>
      <c r="L82" s="1299"/>
      <c r="M82" s="1300"/>
      <c r="N82" s="1015" t="s">
        <v>413</v>
      </c>
      <c r="O82" s="1015" t="s">
        <v>367</v>
      </c>
      <c r="P82" s="1016"/>
      <c r="Q82" s="1294"/>
      <c r="R82" s="1298" t="str">
        <f>B82</f>
        <v>Main-PE</v>
      </c>
      <c r="S82" s="1299"/>
      <c r="T82" s="1299"/>
      <c r="U82" s="1300"/>
      <c r="V82" s="1015" t="s">
        <v>413</v>
      </c>
      <c r="W82" s="1015" t="s">
        <v>367</v>
      </c>
    </row>
    <row r="83" spans="1:24" ht="15" customHeight="1" x14ac:dyDescent="0.25">
      <c r="A83" s="1294"/>
      <c r="B83" s="1014" t="s">
        <v>417</v>
      </c>
      <c r="C83" s="1015">
        <f>C75</f>
        <v>2019</v>
      </c>
      <c r="D83" s="1015">
        <f>D75</f>
        <v>2020</v>
      </c>
      <c r="E83" s="1015">
        <f>E75</f>
        <v>2022</v>
      </c>
      <c r="F83" s="1015"/>
      <c r="G83" s="1015"/>
      <c r="H83" s="1016"/>
      <c r="I83" s="1294"/>
      <c r="J83" s="1014" t="s">
        <v>417</v>
      </c>
      <c r="K83" s="1015">
        <f>K67</f>
        <v>2019</v>
      </c>
      <c r="L83" s="1015">
        <f>L67</f>
        <v>2020</v>
      </c>
      <c r="M83" s="1015">
        <f>M67</f>
        <v>2022</v>
      </c>
      <c r="N83" s="1015"/>
      <c r="O83" s="1015"/>
      <c r="P83" s="1016"/>
      <c r="Q83" s="1294"/>
      <c r="R83" s="1014" t="s">
        <v>417</v>
      </c>
      <c r="S83" s="1015">
        <f>S67</f>
        <v>2019</v>
      </c>
      <c r="T83" s="1015">
        <f>T67</f>
        <v>2020</v>
      </c>
      <c r="U83" s="1015">
        <f>U67</f>
        <v>2022</v>
      </c>
      <c r="V83" s="1015"/>
      <c r="W83" s="1015"/>
    </row>
    <row r="84" spans="1:24" ht="12.75" customHeight="1" x14ac:dyDescent="0.25">
      <c r="A84" s="1294"/>
      <c r="B84" s="1025">
        <v>10</v>
      </c>
      <c r="C84" s="1021" t="s">
        <v>191</v>
      </c>
      <c r="D84" s="1026">
        <v>9.9999999999999995E-7</v>
      </c>
      <c r="E84" s="1026">
        <v>9.9999999999999995E-7</v>
      </c>
      <c r="F84" s="1019">
        <f t="shared" ref="F84:F87" si="58">0.5*(MAX(C84:E84)-MIN(C84:E84))</f>
        <v>0</v>
      </c>
      <c r="G84" s="1030">
        <f>B84*$H$84</f>
        <v>0.17</v>
      </c>
      <c r="H84" s="1016">
        <f>1.7/100</f>
        <v>1.7000000000000001E-2</v>
      </c>
      <c r="I84" s="1294"/>
      <c r="J84" s="1025">
        <v>10</v>
      </c>
      <c r="K84" s="1021">
        <v>9.9999999999999995E-7</v>
      </c>
      <c r="L84" s="1021">
        <v>9.9999999999999995E-7</v>
      </c>
      <c r="M84" s="1056">
        <v>9.9999999999999995E-7</v>
      </c>
      <c r="N84" s="1019">
        <f t="shared" ref="N84:N87" si="59">0.5*(MAX(K84:M84)-MIN(K84:M84))</f>
        <v>0</v>
      </c>
      <c r="O84" s="1024">
        <f>J84*$P$84</f>
        <v>0.17</v>
      </c>
      <c r="P84" s="1016">
        <f>1.7/100</f>
        <v>1.7000000000000001E-2</v>
      </c>
      <c r="Q84" s="1294"/>
      <c r="R84" s="1025">
        <v>10</v>
      </c>
      <c r="S84" s="1021">
        <v>9.9999999999999995E-7</v>
      </c>
      <c r="T84" s="1026">
        <v>9.9999999999999995E-7</v>
      </c>
      <c r="U84" s="1026">
        <v>9.9999999999999995E-7</v>
      </c>
      <c r="V84" s="1019">
        <f t="shared" ref="V84:V87" si="60">0.5*(MAX(S84:U84)-MIN(S84:U84))</f>
        <v>0</v>
      </c>
      <c r="W84" s="1024">
        <f>R84*$X$84</f>
        <v>0.17</v>
      </c>
      <c r="X84" s="1010">
        <v>1.7000000000000001E-2</v>
      </c>
    </row>
    <row r="85" spans="1:24" ht="12.75" customHeight="1" x14ac:dyDescent="0.25">
      <c r="A85" s="1294"/>
      <c r="B85" s="1025">
        <v>20</v>
      </c>
      <c r="C85" s="1021" t="s">
        <v>191</v>
      </c>
      <c r="D85" s="1021">
        <v>0.1</v>
      </c>
      <c r="E85" s="1021">
        <v>0.1</v>
      </c>
      <c r="F85" s="1019">
        <f t="shared" si="58"/>
        <v>0</v>
      </c>
      <c r="G85" s="1030">
        <f t="shared" ref="G85:G87" si="61">B85*$H$84</f>
        <v>0.34</v>
      </c>
      <c r="H85" s="1016"/>
      <c r="I85" s="1294"/>
      <c r="J85" s="1025">
        <v>20</v>
      </c>
      <c r="K85" s="1021">
        <v>9.9999999999999995E-7</v>
      </c>
      <c r="L85" s="1021">
        <v>9.9999999999999995E-7</v>
      </c>
      <c r="M85" s="1056">
        <v>9.9999999999999995E-7</v>
      </c>
      <c r="N85" s="1019">
        <f t="shared" si="59"/>
        <v>0</v>
      </c>
      <c r="O85" s="1024">
        <f t="shared" ref="O85:O86" si="62">J85*$P$84</f>
        <v>0.34</v>
      </c>
      <c r="P85" s="1016"/>
      <c r="Q85" s="1294"/>
      <c r="R85" s="1025">
        <v>20</v>
      </c>
      <c r="S85" s="1021">
        <v>9.9999999999999995E-7</v>
      </c>
      <c r="T85" s="1026">
        <v>9.9999999999999995E-7</v>
      </c>
      <c r="U85" s="1026">
        <v>9.9999999999999995E-7</v>
      </c>
      <c r="V85" s="1019">
        <f t="shared" si="60"/>
        <v>0</v>
      </c>
      <c r="W85" s="1024">
        <f t="shared" ref="W85:W86" si="63">R85*$X$84</f>
        <v>0.34</v>
      </c>
    </row>
    <row r="86" spans="1:24" ht="12.75" customHeight="1" x14ac:dyDescent="0.25">
      <c r="A86" s="1294"/>
      <c r="B86" s="1025">
        <v>50</v>
      </c>
      <c r="C86" s="1021" t="s">
        <v>191</v>
      </c>
      <c r="D86" s="1021">
        <v>0.4</v>
      </c>
      <c r="E86" s="1021">
        <v>0.5</v>
      </c>
      <c r="F86" s="1019">
        <f t="shared" si="58"/>
        <v>4.9999999999999989E-2</v>
      </c>
      <c r="G86" s="1030">
        <f t="shared" si="61"/>
        <v>0.85000000000000009</v>
      </c>
      <c r="H86" s="1016"/>
      <c r="I86" s="1294"/>
      <c r="J86" s="1025">
        <v>50</v>
      </c>
      <c r="K86" s="1021">
        <v>9.9999999999999995E-7</v>
      </c>
      <c r="L86" s="1021">
        <v>9.9999999999999995E-7</v>
      </c>
      <c r="M86" s="1056">
        <v>0.2</v>
      </c>
      <c r="N86" s="1019">
        <f t="shared" si="59"/>
        <v>9.9999500000000005E-2</v>
      </c>
      <c r="O86" s="1024">
        <f t="shared" si="62"/>
        <v>0.85000000000000009</v>
      </c>
      <c r="P86" s="1016"/>
      <c r="Q86" s="1294"/>
      <c r="R86" s="1025">
        <v>50</v>
      </c>
      <c r="S86" s="1021">
        <v>9.9999999999999995E-7</v>
      </c>
      <c r="T86" s="1026">
        <v>9.9999999999999995E-7</v>
      </c>
      <c r="U86" s="1026">
        <v>0.2</v>
      </c>
      <c r="V86" s="1019">
        <f t="shared" si="60"/>
        <v>9.9999500000000005E-2</v>
      </c>
      <c r="W86" s="1024">
        <f t="shared" si="63"/>
        <v>0.85000000000000009</v>
      </c>
    </row>
    <row r="87" spans="1:24" ht="12.75" customHeight="1" x14ac:dyDescent="0.25">
      <c r="A87" s="1294"/>
      <c r="B87" s="1025">
        <v>100</v>
      </c>
      <c r="C87" s="1021" t="s">
        <v>191</v>
      </c>
      <c r="D87" s="1021">
        <v>1.4</v>
      </c>
      <c r="E87" s="1021">
        <v>0.9</v>
      </c>
      <c r="F87" s="1019">
        <f t="shared" si="58"/>
        <v>0.24999999999999994</v>
      </c>
      <c r="G87" s="1030">
        <f t="shared" si="61"/>
        <v>1.7000000000000002</v>
      </c>
      <c r="H87" s="1016"/>
      <c r="I87" s="1294"/>
      <c r="J87" s="1025">
        <v>100</v>
      </c>
      <c r="K87" s="1021">
        <v>9.9999999999999995E-7</v>
      </c>
      <c r="L87" s="1021">
        <v>9.9999999999999995E-7</v>
      </c>
      <c r="M87" s="1056">
        <v>0.6</v>
      </c>
      <c r="N87" s="1019">
        <f t="shared" si="59"/>
        <v>0.29999949999999997</v>
      </c>
      <c r="O87" s="1024">
        <f>J87*$P$84</f>
        <v>1.7000000000000002</v>
      </c>
      <c r="P87" s="1016"/>
      <c r="Q87" s="1294"/>
      <c r="R87" s="1025">
        <v>100</v>
      </c>
      <c r="S87" s="1021">
        <v>9.9999999999999995E-7</v>
      </c>
      <c r="T87" s="1026">
        <v>9.9999999999999995E-7</v>
      </c>
      <c r="U87" s="1026">
        <v>0.4</v>
      </c>
      <c r="V87" s="1019">
        <f t="shared" si="60"/>
        <v>0.19999950000000002</v>
      </c>
      <c r="W87" s="1024">
        <f>R87*$X$84</f>
        <v>1.7000000000000002</v>
      </c>
    </row>
    <row r="88" spans="1:24" ht="12.75" customHeight="1" x14ac:dyDescent="0.25">
      <c r="A88" s="1294"/>
      <c r="B88" s="1298" t="s">
        <v>307</v>
      </c>
      <c r="C88" s="1299"/>
      <c r="D88" s="1299"/>
      <c r="E88" s="1300"/>
      <c r="F88" s="1015" t="s">
        <v>413</v>
      </c>
      <c r="G88" s="1015" t="s">
        <v>367</v>
      </c>
      <c r="H88" s="1016"/>
      <c r="I88" s="1294"/>
      <c r="J88" s="1298" t="s">
        <v>307</v>
      </c>
      <c r="K88" s="1299"/>
      <c r="L88" s="1299"/>
      <c r="M88" s="1300"/>
      <c r="N88" s="1015" t="s">
        <v>413</v>
      </c>
      <c r="O88" s="1015" t="s">
        <v>367</v>
      </c>
      <c r="P88" s="1016"/>
      <c r="Q88" s="1294"/>
      <c r="R88" s="1298" t="str">
        <f>B88</f>
        <v>Resistance</v>
      </c>
      <c r="S88" s="1299"/>
      <c r="T88" s="1299"/>
      <c r="U88" s="1300"/>
      <c r="V88" s="1015" t="s">
        <v>413</v>
      </c>
      <c r="W88" s="1015" t="s">
        <v>367</v>
      </c>
    </row>
    <row r="89" spans="1:24" ht="15" customHeight="1" x14ac:dyDescent="0.25">
      <c r="A89" s="1294"/>
      <c r="B89" s="1014" t="s">
        <v>418</v>
      </c>
      <c r="C89" s="1015">
        <f>C67</f>
        <v>2019</v>
      </c>
      <c r="D89" s="1015">
        <f>D67</f>
        <v>2020</v>
      </c>
      <c r="E89" s="1015">
        <f>E67</f>
        <v>2022</v>
      </c>
      <c r="F89" s="1015"/>
      <c r="G89" s="1015"/>
      <c r="H89" s="1016"/>
      <c r="I89" s="1294"/>
      <c r="J89" s="1014" t="s">
        <v>418</v>
      </c>
      <c r="K89" s="1015">
        <f>K67</f>
        <v>2019</v>
      </c>
      <c r="L89" s="1015">
        <f>L67</f>
        <v>2020</v>
      </c>
      <c r="M89" s="1015">
        <f>M67</f>
        <v>2022</v>
      </c>
      <c r="N89" s="1015"/>
      <c r="O89" s="1015"/>
      <c r="P89" s="1016"/>
      <c r="Q89" s="1294"/>
      <c r="R89" s="1014" t="s">
        <v>418</v>
      </c>
      <c r="S89" s="1015">
        <f>S67</f>
        <v>2019</v>
      </c>
      <c r="T89" s="1015">
        <f>T67</f>
        <v>2020</v>
      </c>
      <c r="U89" s="1015">
        <f>U67</f>
        <v>2022</v>
      </c>
      <c r="V89" s="1015"/>
      <c r="W89" s="1015"/>
    </row>
    <row r="90" spans="1:24" ht="12.75" customHeight="1" x14ac:dyDescent="0.25">
      <c r="A90" s="1294"/>
      <c r="B90" s="1025">
        <v>0.01</v>
      </c>
      <c r="C90" s="1026">
        <v>9.9999999999999995E-7</v>
      </c>
      <c r="D90" s="1026">
        <v>9.9999999999999995E-7</v>
      </c>
      <c r="E90" s="1026">
        <v>9.9999999999999995E-7</v>
      </c>
      <c r="F90" s="1019">
        <f t="shared" ref="F90:F93" si="64">0.5*(MAX(C90:E90)-MIN(C90:E90))</f>
        <v>0</v>
      </c>
      <c r="G90" s="1025">
        <f>B90*$H$90</f>
        <v>1.2E-4</v>
      </c>
      <c r="H90" s="1016">
        <f>1.2/100</f>
        <v>1.2E-2</v>
      </c>
      <c r="I90" s="1294"/>
      <c r="J90" s="1025">
        <v>0.01</v>
      </c>
      <c r="K90" s="1025">
        <v>9.9999999999999995E-7</v>
      </c>
      <c r="L90" s="1026">
        <v>9.9999999999999995E-7</v>
      </c>
      <c r="M90" s="1026">
        <v>9.9999999999999995E-7</v>
      </c>
      <c r="N90" s="1019">
        <f t="shared" ref="N90:N93" si="65">0.5*(MAX(K90:M90)-MIN(K90:M90))</f>
        <v>0</v>
      </c>
      <c r="O90" s="1057">
        <f>J90*$P$90</f>
        <v>1.2E-4</v>
      </c>
      <c r="P90" s="1016">
        <f>1.2/100</f>
        <v>1.2E-2</v>
      </c>
      <c r="Q90" s="1294"/>
      <c r="R90" s="1025">
        <v>0.01</v>
      </c>
      <c r="S90" s="1025">
        <v>9.9999999999999995E-7</v>
      </c>
      <c r="T90" s="1026">
        <v>9.9999999999999995E-7</v>
      </c>
      <c r="U90" s="1026">
        <v>9.9999999999999995E-7</v>
      </c>
      <c r="V90" s="1019">
        <f t="shared" ref="V90:V93" si="66">0.5*(MAX(S90:U90)-MIN(S90:U90))</f>
        <v>0</v>
      </c>
      <c r="W90" s="1058">
        <f>R90*$X$90</f>
        <v>1.2E-4</v>
      </c>
      <c r="X90" s="1010">
        <f>1.2/100</f>
        <v>1.2E-2</v>
      </c>
    </row>
    <row r="91" spans="1:24" ht="12.75" customHeight="1" x14ac:dyDescent="0.25">
      <c r="A91" s="1294"/>
      <c r="B91" s="1025">
        <v>0.1</v>
      </c>
      <c r="C91" s="1026">
        <v>9.9999999999999995E-7</v>
      </c>
      <c r="D91" s="1026">
        <v>9.9999999999999995E-7</v>
      </c>
      <c r="E91" s="1026">
        <v>2E-3</v>
      </c>
      <c r="F91" s="1019">
        <f t="shared" si="64"/>
        <v>9.9949999999999995E-4</v>
      </c>
      <c r="G91" s="1025">
        <f t="shared" ref="G91:G93" si="67">B91*$H$90</f>
        <v>1.2000000000000001E-3</v>
      </c>
      <c r="H91" s="1016"/>
      <c r="I91" s="1294"/>
      <c r="J91" s="1025">
        <v>0.1</v>
      </c>
      <c r="K91" s="1025">
        <v>9.9999999999999995E-7</v>
      </c>
      <c r="L91" s="1026">
        <v>-2E-3</v>
      </c>
      <c r="M91" s="1026">
        <v>1E-3</v>
      </c>
      <c r="N91" s="1019">
        <f t="shared" si="65"/>
        <v>1.5E-3</v>
      </c>
      <c r="O91" s="1057">
        <f t="shared" ref="O91:O93" si="68">J91*$P$90</f>
        <v>1.2000000000000001E-3</v>
      </c>
      <c r="P91" s="1016"/>
      <c r="Q91" s="1294"/>
      <c r="R91" s="1025">
        <v>0.1</v>
      </c>
      <c r="S91" s="1025">
        <v>9.9999999999999995E-7</v>
      </c>
      <c r="T91" s="1026">
        <v>-3.0000000000000001E-3</v>
      </c>
      <c r="U91" s="1026">
        <v>-1E-3</v>
      </c>
      <c r="V91" s="1019">
        <f t="shared" si="66"/>
        <v>1.5005000000000001E-3</v>
      </c>
      <c r="W91" s="1058">
        <f t="shared" ref="W91:W93" si="69">R91*$X$90</f>
        <v>1.2000000000000001E-3</v>
      </c>
    </row>
    <row r="92" spans="1:24" ht="12.75" customHeight="1" x14ac:dyDescent="0.25">
      <c r="A92" s="1294"/>
      <c r="B92" s="1025">
        <v>1</v>
      </c>
      <c r="C92" s="1026">
        <v>-2.3E-3</v>
      </c>
      <c r="D92" s="1026">
        <v>-2.3E-3</v>
      </c>
      <c r="E92" s="1026">
        <v>2E-3</v>
      </c>
      <c r="F92" s="1019">
        <f t="shared" si="64"/>
        <v>2.15E-3</v>
      </c>
      <c r="G92" s="1025">
        <f t="shared" si="67"/>
        <v>1.2E-2</v>
      </c>
      <c r="H92" s="1016"/>
      <c r="I92" s="1294"/>
      <c r="J92" s="1025">
        <v>1</v>
      </c>
      <c r="K92" s="1025">
        <v>9.9999999999999995E-7</v>
      </c>
      <c r="L92" s="1026">
        <v>-1E-3</v>
      </c>
      <c r="M92" s="1026">
        <v>9.9999999999999995E-7</v>
      </c>
      <c r="N92" s="1019">
        <f t="shared" si="65"/>
        <v>5.0049999999999997E-4</v>
      </c>
      <c r="O92" s="1057">
        <f t="shared" si="68"/>
        <v>1.2E-2</v>
      </c>
      <c r="P92" s="1016"/>
      <c r="Q92" s="1294"/>
      <c r="R92" s="1025">
        <v>1</v>
      </c>
      <c r="S92" s="1025">
        <v>9.9999999999999995E-7</v>
      </c>
      <c r="T92" s="1026">
        <v>-1E-3</v>
      </c>
      <c r="U92" s="1026">
        <v>5.0000000000000001E-3</v>
      </c>
      <c r="V92" s="1019">
        <f t="shared" si="66"/>
        <v>3.0000000000000001E-3</v>
      </c>
      <c r="W92" s="1058">
        <f t="shared" si="69"/>
        <v>1.2E-2</v>
      </c>
    </row>
    <row r="93" spans="1:24" ht="12.75" customHeight="1" x14ac:dyDescent="0.25">
      <c r="A93" s="1295"/>
      <c r="B93" s="1025">
        <v>2</v>
      </c>
      <c r="C93" s="1026">
        <v>9.9999999999999995E-7</v>
      </c>
      <c r="D93" s="1026">
        <v>9.9999999999999995E-7</v>
      </c>
      <c r="E93" s="1026">
        <v>-1E-3</v>
      </c>
      <c r="F93" s="1019">
        <f t="shared" si="64"/>
        <v>5.0049999999999997E-4</v>
      </c>
      <c r="G93" s="1025">
        <f t="shared" si="67"/>
        <v>2.4E-2</v>
      </c>
      <c r="H93" s="1016"/>
      <c r="I93" s="1295"/>
      <c r="J93" s="1025">
        <v>2</v>
      </c>
      <c r="K93" s="1025">
        <v>9.9999999999999995E-7</v>
      </c>
      <c r="L93" s="1026">
        <v>-6.0000000000000001E-3</v>
      </c>
      <c r="M93" s="1026">
        <v>9.9999999999999995E-7</v>
      </c>
      <c r="N93" s="1019">
        <f t="shared" si="65"/>
        <v>3.0005000000000001E-3</v>
      </c>
      <c r="O93" s="1057">
        <f t="shared" si="68"/>
        <v>2.4E-2</v>
      </c>
      <c r="P93" s="1016"/>
      <c r="Q93" s="1295"/>
      <c r="R93" s="1025">
        <v>2</v>
      </c>
      <c r="S93" s="1025">
        <v>9.9999999999999995E-7</v>
      </c>
      <c r="T93" s="1026">
        <v>-6.0000000000000001E-3</v>
      </c>
      <c r="U93" s="1026">
        <v>5.0000000000000001E-3</v>
      </c>
      <c r="V93" s="1019">
        <f t="shared" si="66"/>
        <v>5.4999999999999997E-3</v>
      </c>
      <c r="W93" s="1058">
        <f t="shared" si="69"/>
        <v>2.4E-2</v>
      </c>
    </row>
    <row r="94" spans="1:24" s="296" customFormat="1" ht="15.5" x14ac:dyDescent="0.25">
      <c r="A94" s="1047"/>
      <c r="B94" s="1048"/>
      <c r="C94" s="1049"/>
      <c r="E94" s="1049"/>
      <c r="F94" s="1049"/>
      <c r="G94" s="1049"/>
      <c r="H94" s="1037"/>
      <c r="I94" s="1050"/>
      <c r="J94" s="1051"/>
      <c r="K94" s="1049"/>
      <c r="M94" s="1049"/>
      <c r="N94" s="1049"/>
      <c r="O94" s="1049"/>
      <c r="P94" s="1037"/>
      <c r="Q94" s="1050"/>
      <c r="R94" s="1048"/>
      <c r="S94" s="1049"/>
      <c r="U94" s="1036"/>
      <c r="V94" s="1036"/>
      <c r="W94" s="1038"/>
      <c r="X94" s="1039"/>
    </row>
    <row r="95" spans="1:24" ht="30" customHeight="1" x14ac:dyDescent="0.25">
      <c r="A95" s="1293">
        <v>10</v>
      </c>
      <c r="B95" s="1304" t="str">
        <f>A175</f>
        <v>Electrical Safety Analyzer, Merek : Fluke, Model : ESA 615, SN : --</v>
      </c>
      <c r="C95" s="1304"/>
      <c r="D95" s="1304"/>
      <c r="E95" s="1304"/>
      <c r="F95" s="1304"/>
      <c r="G95" s="1304"/>
      <c r="H95" s="1011"/>
      <c r="I95" s="1293">
        <v>11</v>
      </c>
      <c r="J95" s="1312" t="str">
        <f>A176</f>
        <v>Electrical Safety Analyzer 11</v>
      </c>
      <c r="K95" s="1312"/>
      <c r="L95" s="1312"/>
      <c r="M95" s="1312"/>
      <c r="N95" s="1312"/>
      <c r="O95" s="1312"/>
      <c r="P95" s="1011"/>
      <c r="Q95" s="1293">
        <v>12</v>
      </c>
      <c r="R95" s="1312" t="str">
        <f>A177</f>
        <v>Electrical Safety Analyzer 12</v>
      </c>
      <c r="S95" s="1312"/>
      <c r="T95" s="1312"/>
      <c r="U95" s="1312"/>
      <c r="V95" s="1312"/>
      <c r="W95" s="1312"/>
    </row>
    <row r="96" spans="1:24" ht="15" customHeight="1" x14ac:dyDescent="0.3">
      <c r="A96" s="1294"/>
      <c r="B96" s="1305" t="s">
        <v>232</v>
      </c>
      <c r="C96" s="1305"/>
      <c r="D96" s="1305"/>
      <c r="E96" s="1305"/>
      <c r="F96" s="1041"/>
      <c r="G96" s="1041"/>
      <c r="H96" s="1013"/>
      <c r="I96" s="1294"/>
      <c r="J96" s="1297" t="s">
        <v>232</v>
      </c>
      <c r="K96" s="1297"/>
      <c r="L96" s="1297"/>
      <c r="M96" s="1297"/>
      <c r="N96" s="1042"/>
      <c r="O96" s="1042"/>
      <c r="P96" s="1013"/>
      <c r="Q96" s="1294"/>
      <c r="R96" s="1305" t="s">
        <v>232</v>
      </c>
      <c r="S96" s="1305"/>
      <c r="T96" s="1305"/>
      <c r="U96" s="1305"/>
      <c r="V96" s="1042"/>
      <c r="W96" s="1042"/>
    </row>
    <row r="97" spans="1:23" ht="12.75" customHeight="1" x14ac:dyDescent="0.25">
      <c r="A97" s="1294"/>
      <c r="B97" s="1301" t="s">
        <v>238</v>
      </c>
      <c r="C97" s="1302"/>
      <c r="D97" s="1302"/>
      <c r="E97" s="1303"/>
      <c r="F97" s="1015" t="s">
        <v>413</v>
      </c>
      <c r="G97" s="1015" t="s">
        <v>367</v>
      </c>
      <c r="H97" s="1016"/>
      <c r="I97" s="1294"/>
      <c r="J97" s="1309" t="s">
        <v>238</v>
      </c>
      <c r="K97" s="1310"/>
      <c r="L97" s="1310"/>
      <c r="M97" s="1311"/>
      <c r="N97" s="1015" t="s">
        <v>413</v>
      </c>
      <c r="O97" s="1015" t="s">
        <v>367</v>
      </c>
      <c r="P97" s="1016"/>
      <c r="Q97" s="1294"/>
      <c r="R97" s="1301" t="s">
        <v>238</v>
      </c>
      <c r="S97" s="1302"/>
      <c r="T97" s="1302"/>
      <c r="U97" s="1303"/>
      <c r="V97" s="1015" t="s">
        <v>413</v>
      </c>
      <c r="W97" s="1015" t="s">
        <v>367</v>
      </c>
    </row>
    <row r="98" spans="1:23" ht="15" customHeight="1" x14ac:dyDescent="0.25">
      <c r="A98" s="1294"/>
      <c r="B98" s="1014" t="s">
        <v>414</v>
      </c>
      <c r="C98" s="1015">
        <v>2019</v>
      </c>
      <c r="D98" s="1015">
        <v>2019</v>
      </c>
      <c r="E98" s="1015">
        <v>2020</v>
      </c>
      <c r="F98" s="1015"/>
      <c r="G98" s="1015"/>
      <c r="H98" s="1016"/>
      <c r="I98" s="1294"/>
      <c r="J98" s="1014" t="s">
        <v>414</v>
      </c>
      <c r="K98" s="1015">
        <v>2019</v>
      </c>
      <c r="L98" s="1015">
        <v>2019</v>
      </c>
      <c r="M98" s="1015">
        <v>2020</v>
      </c>
      <c r="N98" s="1015"/>
      <c r="O98" s="1015"/>
      <c r="P98" s="1016"/>
      <c r="Q98" s="1294"/>
      <c r="R98" s="1014" t="s">
        <v>414</v>
      </c>
      <c r="S98" s="1015">
        <v>2019</v>
      </c>
      <c r="T98" s="1015">
        <v>2019</v>
      </c>
      <c r="U98" s="1015">
        <v>2020</v>
      </c>
      <c r="V98" s="1015"/>
      <c r="W98" s="1015"/>
    </row>
    <row r="99" spans="1:23" ht="12.75" customHeight="1" x14ac:dyDescent="0.25">
      <c r="A99" s="1294"/>
      <c r="B99" s="1017">
        <v>150</v>
      </c>
      <c r="C99" s="1018">
        <v>0.21</v>
      </c>
      <c r="D99" s="1018">
        <v>0.21</v>
      </c>
      <c r="E99" s="1018">
        <v>0.21</v>
      </c>
      <c r="F99" s="1019">
        <f t="shared" ref="F99:F104" si="70">0.5*(MAX(C99:E99)-MIN(C99:E99))</f>
        <v>0</v>
      </c>
      <c r="G99" s="1023">
        <v>1.2</v>
      </c>
      <c r="H99" s="1016"/>
      <c r="I99" s="1294"/>
      <c r="J99" s="1017">
        <v>150</v>
      </c>
      <c r="K99" s="1020">
        <v>9.9999999999999995E-7</v>
      </c>
      <c r="L99" s="1020">
        <v>9.9999999999999995E-7</v>
      </c>
      <c r="M99" s="1018">
        <v>-0.17</v>
      </c>
      <c r="N99" s="1019">
        <f>0.5*(MAX(K99:M99)-MIN(K99:M99))</f>
        <v>8.5000500000000007E-2</v>
      </c>
      <c r="O99" s="1018">
        <v>1.2</v>
      </c>
      <c r="P99" s="1016"/>
      <c r="Q99" s="1294"/>
      <c r="R99" s="1017">
        <v>150</v>
      </c>
      <c r="S99" s="1020">
        <v>9.9999999999999995E-7</v>
      </c>
      <c r="T99" s="1020">
        <v>9.9999999999999995E-7</v>
      </c>
      <c r="U99" s="1018">
        <v>-0.24</v>
      </c>
      <c r="V99" s="1019">
        <f t="shared" ref="V99:V104" si="71">0.5*(MAX(S99:U99)-MIN(S99:U99))</f>
        <v>0.1200005</v>
      </c>
      <c r="W99" s="1018">
        <v>1.2</v>
      </c>
    </row>
    <row r="100" spans="1:23" ht="12.75" customHeight="1" x14ac:dyDescent="0.25">
      <c r="A100" s="1294"/>
      <c r="B100" s="1017">
        <v>180</v>
      </c>
      <c r="C100" s="1024">
        <v>0.33</v>
      </c>
      <c r="D100" s="1024">
        <v>0.33</v>
      </c>
      <c r="E100" s="1024">
        <v>0.33</v>
      </c>
      <c r="F100" s="1019">
        <f t="shared" si="70"/>
        <v>0</v>
      </c>
      <c r="G100" s="1023">
        <v>1.2</v>
      </c>
      <c r="H100" s="1016"/>
      <c r="I100" s="1294"/>
      <c r="J100" s="1017">
        <v>180</v>
      </c>
      <c r="K100" s="1020">
        <v>9.9999999999999995E-7</v>
      </c>
      <c r="L100" s="1020">
        <v>9.9999999999999995E-7</v>
      </c>
      <c r="M100" s="1024">
        <v>-0.22</v>
      </c>
      <c r="N100" s="1019">
        <f t="shared" ref="N100:N104" si="72">0.5*(MAX(K100:M100)-MIN(K100:M100))</f>
        <v>0.1100005</v>
      </c>
      <c r="O100" s="1018">
        <v>1.2</v>
      </c>
      <c r="P100" s="1016"/>
      <c r="Q100" s="1294"/>
      <c r="R100" s="1017">
        <v>180</v>
      </c>
      <c r="S100" s="1020">
        <v>9.9999999999999995E-7</v>
      </c>
      <c r="T100" s="1020">
        <v>9.9999999999999995E-7</v>
      </c>
      <c r="U100" s="1024">
        <v>-0.14000000000000001</v>
      </c>
      <c r="V100" s="1019">
        <f t="shared" si="71"/>
        <v>7.0000500000000007E-2</v>
      </c>
      <c r="W100" s="1018">
        <v>1.2</v>
      </c>
    </row>
    <row r="101" spans="1:23" ht="12.75" customHeight="1" x14ac:dyDescent="0.25">
      <c r="A101" s="1294"/>
      <c r="B101" s="1017">
        <v>200</v>
      </c>
      <c r="C101" s="1024">
        <v>0.34</v>
      </c>
      <c r="D101" s="1024">
        <v>0.34</v>
      </c>
      <c r="E101" s="1024">
        <v>0.34</v>
      </c>
      <c r="F101" s="1019">
        <f t="shared" si="70"/>
        <v>0</v>
      </c>
      <c r="G101" s="1023">
        <v>1.2</v>
      </c>
      <c r="H101" s="1016"/>
      <c r="I101" s="1294"/>
      <c r="J101" s="1017">
        <v>200</v>
      </c>
      <c r="K101" s="1020">
        <v>9.9999999999999995E-7</v>
      </c>
      <c r="L101" s="1020">
        <v>9.9999999999999995E-7</v>
      </c>
      <c r="M101" s="1024">
        <v>-0.33</v>
      </c>
      <c r="N101" s="1019">
        <f t="shared" si="72"/>
        <v>0.16500049999999999</v>
      </c>
      <c r="O101" s="1018">
        <v>1.2</v>
      </c>
      <c r="P101" s="1016"/>
      <c r="Q101" s="1294"/>
      <c r="R101" s="1017">
        <v>200</v>
      </c>
      <c r="S101" s="1020">
        <v>9.9999999999999995E-7</v>
      </c>
      <c r="T101" s="1020">
        <v>9.9999999999999995E-7</v>
      </c>
      <c r="U101" s="1024">
        <v>-0.33</v>
      </c>
      <c r="V101" s="1019">
        <f t="shared" si="71"/>
        <v>0.16500049999999999</v>
      </c>
      <c r="W101" s="1018">
        <v>1.2</v>
      </c>
    </row>
    <row r="102" spans="1:23" ht="12.75" customHeight="1" x14ac:dyDescent="0.25">
      <c r="A102" s="1294"/>
      <c r="B102" s="1017">
        <v>220</v>
      </c>
      <c r="C102" s="1024">
        <v>0.37</v>
      </c>
      <c r="D102" s="1024">
        <v>0.37</v>
      </c>
      <c r="E102" s="1024">
        <v>0.37</v>
      </c>
      <c r="F102" s="1019">
        <f t="shared" si="70"/>
        <v>0</v>
      </c>
      <c r="G102" s="1023">
        <v>1.2</v>
      </c>
      <c r="H102" s="1016"/>
      <c r="I102" s="1294"/>
      <c r="J102" s="1017">
        <v>220</v>
      </c>
      <c r="K102" s="1020">
        <v>9.9999999999999995E-7</v>
      </c>
      <c r="L102" s="1020">
        <v>9.9999999999999995E-7</v>
      </c>
      <c r="M102" s="1024">
        <v>-0.39</v>
      </c>
      <c r="N102" s="1019">
        <f t="shared" si="72"/>
        <v>0.19500049999999999</v>
      </c>
      <c r="O102" s="1018">
        <v>1.2</v>
      </c>
      <c r="P102" s="1016"/>
      <c r="Q102" s="1294"/>
      <c r="R102" s="1017">
        <v>220</v>
      </c>
      <c r="S102" s="1020">
        <v>9.9999999999999995E-7</v>
      </c>
      <c r="T102" s="1020">
        <v>9.9999999999999995E-7</v>
      </c>
      <c r="U102" s="1024">
        <v>-0.45</v>
      </c>
      <c r="V102" s="1019">
        <f t="shared" si="71"/>
        <v>0.22500049999999999</v>
      </c>
      <c r="W102" s="1018">
        <v>1.2</v>
      </c>
    </row>
    <row r="103" spans="1:23" ht="12.75" customHeight="1" x14ac:dyDescent="0.25">
      <c r="A103" s="1294"/>
      <c r="B103" s="1017">
        <v>230</v>
      </c>
      <c r="C103" s="1024">
        <v>0.47</v>
      </c>
      <c r="D103" s="1024">
        <v>0.47</v>
      </c>
      <c r="E103" s="1024">
        <v>0.47</v>
      </c>
      <c r="F103" s="1019">
        <f t="shared" si="70"/>
        <v>0</v>
      </c>
      <c r="G103" s="1023">
        <v>1.2</v>
      </c>
      <c r="H103" s="1016"/>
      <c r="I103" s="1294"/>
      <c r="J103" s="1017">
        <v>230</v>
      </c>
      <c r="K103" s="1020">
        <v>9.9999999999999995E-7</v>
      </c>
      <c r="L103" s="1020">
        <v>9.9999999999999995E-7</v>
      </c>
      <c r="M103" s="1024">
        <v>-0.39</v>
      </c>
      <c r="N103" s="1019">
        <f t="shared" si="72"/>
        <v>0.19500049999999999</v>
      </c>
      <c r="O103" s="1018">
        <v>1.2</v>
      </c>
      <c r="P103" s="1016"/>
      <c r="Q103" s="1294"/>
      <c r="R103" s="1017">
        <v>230</v>
      </c>
      <c r="S103" s="1020">
        <v>9.9999999999999995E-7</v>
      </c>
      <c r="T103" s="1020">
        <v>9.9999999999999995E-7</v>
      </c>
      <c r="U103" s="1024">
        <v>-0.54</v>
      </c>
      <c r="V103" s="1019">
        <f t="shared" si="71"/>
        <v>0.27000050000000003</v>
      </c>
      <c r="W103" s="1018">
        <v>1.2</v>
      </c>
    </row>
    <row r="104" spans="1:23" ht="12.75" customHeight="1" x14ac:dyDescent="0.25">
      <c r="A104" s="1294"/>
      <c r="B104" s="1017">
        <v>250</v>
      </c>
      <c r="C104" s="1024">
        <v>9.9999999999999995E-7</v>
      </c>
      <c r="D104" s="1024">
        <v>9.9999999999999995E-7</v>
      </c>
      <c r="E104" s="1026">
        <v>9.9999999999999995E-7</v>
      </c>
      <c r="F104" s="1019">
        <f t="shared" si="70"/>
        <v>0</v>
      </c>
      <c r="G104" s="1023">
        <v>1.2</v>
      </c>
      <c r="H104" s="1016"/>
      <c r="I104" s="1294"/>
      <c r="J104" s="1017">
        <v>250</v>
      </c>
      <c r="K104" s="1020">
        <v>9.9999999999999995E-7</v>
      </c>
      <c r="L104" s="1020">
        <v>9.9999999999999995E-7</v>
      </c>
      <c r="M104" s="1026">
        <v>9.9999999999999995E-7</v>
      </c>
      <c r="N104" s="1019">
        <f t="shared" si="72"/>
        <v>0</v>
      </c>
      <c r="O104" s="1018">
        <v>1.2</v>
      </c>
      <c r="P104" s="1016"/>
      <c r="Q104" s="1294"/>
      <c r="R104" s="1017">
        <v>250</v>
      </c>
      <c r="S104" s="1020">
        <v>9.9999999999999995E-7</v>
      </c>
      <c r="T104" s="1020">
        <v>9.9999999999999995E-7</v>
      </c>
      <c r="U104" s="1026">
        <v>9.9999999999999995E-7</v>
      </c>
      <c r="V104" s="1019">
        <f t="shared" si="71"/>
        <v>0</v>
      </c>
      <c r="W104" s="1018">
        <v>1.2</v>
      </c>
    </row>
    <row r="105" spans="1:23" ht="12.75" customHeight="1" x14ac:dyDescent="0.25">
      <c r="A105" s="1294"/>
      <c r="B105" s="1298" t="s">
        <v>415</v>
      </c>
      <c r="C105" s="1299"/>
      <c r="D105" s="1299"/>
      <c r="E105" s="1300"/>
      <c r="F105" s="1015" t="s">
        <v>413</v>
      </c>
      <c r="G105" s="1015" t="s">
        <v>367</v>
      </c>
      <c r="H105" s="1016"/>
      <c r="I105" s="1294"/>
      <c r="J105" s="1298" t="s">
        <v>415</v>
      </c>
      <c r="K105" s="1299"/>
      <c r="L105" s="1299"/>
      <c r="M105" s="1300"/>
      <c r="N105" s="1015" t="s">
        <v>413</v>
      </c>
      <c r="O105" s="1015" t="s">
        <v>367</v>
      </c>
      <c r="P105" s="1016"/>
      <c r="Q105" s="1294"/>
      <c r="R105" s="1298" t="s">
        <v>415</v>
      </c>
      <c r="S105" s="1299"/>
      <c r="T105" s="1299"/>
      <c r="U105" s="1300"/>
      <c r="V105" s="1015" t="s">
        <v>413</v>
      </c>
      <c r="W105" s="1015" t="s">
        <v>367</v>
      </c>
    </row>
    <row r="106" spans="1:23" ht="15" customHeight="1" x14ac:dyDescent="0.25">
      <c r="A106" s="1294"/>
      <c r="B106" s="1014" t="s">
        <v>416</v>
      </c>
      <c r="C106" s="1015">
        <f>C98</f>
        <v>2019</v>
      </c>
      <c r="D106" s="1015">
        <f>D98</f>
        <v>2019</v>
      </c>
      <c r="E106" s="1015">
        <f>E98</f>
        <v>2020</v>
      </c>
      <c r="F106" s="1015"/>
      <c r="G106" s="1015"/>
      <c r="H106" s="1016"/>
      <c r="I106" s="1294"/>
      <c r="J106" s="1014" t="s">
        <v>416</v>
      </c>
      <c r="K106" s="1015">
        <f>K98</f>
        <v>2019</v>
      </c>
      <c r="L106" s="1015">
        <f>L98</f>
        <v>2019</v>
      </c>
      <c r="M106" s="1015">
        <f>M98</f>
        <v>2020</v>
      </c>
      <c r="N106" s="1015"/>
      <c r="O106" s="1015"/>
      <c r="P106" s="1016"/>
      <c r="Q106" s="1294"/>
      <c r="R106" s="1014" t="s">
        <v>416</v>
      </c>
      <c r="S106" s="1015">
        <f>S98</f>
        <v>2019</v>
      </c>
      <c r="T106" s="1015">
        <f>T98</f>
        <v>2019</v>
      </c>
      <c r="U106" s="1015">
        <f>U98</f>
        <v>2020</v>
      </c>
      <c r="V106" s="1015"/>
      <c r="W106" s="1015"/>
    </row>
    <row r="107" spans="1:23" ht="12.75" customHeight="1" x14ac:dyDescent="0.25">
      <c r="A107" s="1294"/>
      <c r="B107" s="1021">
        <v>9.9999999999999995E-7</v>
      </c>
      <c r="C107" s="1018">
        <v>9.9999999999999995E-7</v>
      </c>
      <c r="D107" s="1018">
        <v>9.9999999999999995E-7</v>
      </c>
      <c r="E107" s="1024">
        <v>9.9999999999999995E-7</v>
      </c>
      <c r="F107" s="1019">
        <f t="shared" ref="F107:F112" si="73">0.5*(MAX(C107:E107)-MIN(C107:E107))</f>
        <v>0</v>
      </c>
      <c r="G107" s="1029">
        <v>0.59</v>
      </c>
      <c r="H107" s="1016"/>
      <c r="I107" s="1294"/>
      <c r="J107" s="1030">
        <v>9.9999999999999995E-7</v>
      </c>
      <c r="K107" s="1021">
        <v>9.9999999999999995E-7</v>
      </c>
      <c r="L107" s="1021">
        <v>9.9999999999999995E-7</v>
      </c>
      <c r="M107" s="1026">
        <v>9.9999999999999995E-7</v>
      </c>
      <c r="N107" s="1019">
        <f t="shared" ref="N107:N112" si="74">0.5*(MAX(K107:M107)-MIN(K107:M107))</f>
        <v>0</v>
      </c>
      <c r="O107" s="1028">
        <v>0.59</v>
      </c>
      <c r="P107" s="1016"/>
      <c r="Q107" s="1294"/>
      <c r="R107" s="1030">
        <v>9.9999999999999995E-7</v>
      </c>
      <c r="S107" s="1021">
        <v>9.9999999999999995E-7</v>
      </c>
      <c r="T107" s="1021">
        <v>9.9999999999999995E-7</v>
      </c>
      <c r="U107" s="1026">
        <v>9.9999999999999995E-7</v>
      </c>
      <c r="V107" s="1019">
        <f t="shared" ref="V107:V112" si="75">0.5*(MAX(S107:U107)-MIN(S107:U107))</f>
        <v>0</v>
      </c>
      <c r="W107" s="1028">
        <v>0.59</v>
      </c>
    </row>
    <row r="108" spans="1:23" ht="12.75" customHeight="1" x14ac:dyDescent="0.25">
      <c r="A108" s="1294"/>
      <c r="B108" s="1025">
        <v>50</v>
      </c>
      <c r="C108" s="1024">
        <v>1.7</v>
      </c>
      <c r="D108" s="1024">
        <v>1.7</v>
      </c>
      <c r="E108" s="1024">
        <v>1.7</v>
      </c>
      <c r="F108" s="1019">
        <f t="shared" si="73"/>
        <v>0</v>
      </c>
      <c r="G108" s="1029">
        <v>0.59</v>
      </c>
      <c r="H108" s="1016"/>
      <c r="I108" s="1294"/>
      <c r="J108" s="1025">
        <v>50</v>
      </c>
      <c r="K108" s="1021">
        <v>9.9999999999999995E-7</v>
      </c>
      <c r="L108" s="1021">
        <v>9.9999999999999995E-7</v>
      </c>
      <c r="M108" s="1024">
        <v>1.7</v>
      </c>
      <c r="N108" s="1019">
        <f t="shared" si="74"/>
        <v>0.84999950000000002</v>
      </c>
      <c r="O108" s="1028">
        <v>0.59</v>
      </c>
      <c r="P108" s="1016"/>
      <c r="Q108" s="1294"/>
      <c r="R108" s="1025">
        <v>50</v>
      </c>
      <c r="S108" s="1021">
        <v>9.9999999999999995E-7</v>
      </c>
      <c r="T108" s="1021">
        <v>9.9999999999999995E-7</v>
      </c>
      <c r="U108" s="1024">
        <v>2.1</v>
      </c>
      <c r="V108" s="1019">
        <f t="shared" si="75"/>
        <v>1.0499995</v>
      </c>
      <c r="W108" s="1024">
        <v>0.59</v>
      </c>
    </row>
    <row r="109" spans="1:23" ht="12.75" customHeight="1" x14ac:dyDescent="0.25">
      <c r="A109" s="1294"/>
      <c r="B109" s="1025">
        <v>100</v>
      </c>
      <c r="C109" s="1024">
        <v>1.7</v>
      </c>
      <c r="D109" s="1024">
        <v>1.7</v>
      </c>
      <c r="E109" s="1024">
        <v>1.7</v>
      </c>
      <c r="F109" s="1019">
        <f t="shared" si="73"/>
        <v>0</v>
      </c>
      <c r="G109" s="1029">
        <v>0.59</v>
      </c>
      <c r="H109" s="1016"/>
      <c r="I109" s="1294"/>
      <c r="J109" s="1025">
        <v>100</v>
      </c>
      <c r="K109" s="1021">
        <v>9.9999999999999995E-7</v>
      </c>
      <c r="L109" s="1021">
        <v>9.9999999999999995E-7</v>
      </c>
      <c r="M109" s="1024">
        <v>3.4</v>
      </c>
      <c r="N109" s="1019">
        <f t="shared" si="74"/>
        <v>1.6999994999999999</v>
      </c>
      <c r="O109" s="1028">
        <v>0.59</v>
      </c>
      <c r="P109" s="1016"/>
      <c r="Q109" s="1294"/>
      <c r="R109" s="1025">
        <v>100</v>
      </c>
      <c r="S109" s="1021">
        <v>9.9999999999999995E-7</v>
      </c>
      <c r="T109" s="1021">
        <v>9.9999999999999995E-7</v>
      </c>
      <c r="U109" s="1024">
        <v>3.7</v>
      </c>
      <c r="V109" s="1019">
        <f t="shared" si="75"/>
        <v>1.8499995</v>
      </c>
      <c r="W109" s="1024">
        <v>0.59</v>
      </c>
    </row>
    <row r="110" spans="1:23" ht="12.75" customHeight="1" x14ac:dyDescent="0.25">
      <c r="A110" s="1294"/>
      <c r="B110" s="1025">
        <v>200</v>
      </c>
      <c r="C110" s="1024">
        <v>0.4</v>
      </c>
      <c r="D110" s="1024">
        <v>0.4</v>
      </c>
      <c r="E110" s="1024">
        <v>0.4</v>
      </c>
      <c r="F110" s="1019">
        <f t="shared" si="73"/>
        <v>0</v>
      </c>
      <c r="G110" s="1029">
        <v>0.59</v>
      </c>
      <c r="H110" s="1016"/>
      <c r="I110" s="1294"/>
      <c r="J110" s="1025">
        <v>500</v>
      </c>
      <c r="K110" s="1021">
        <v>9.9999999999999995E-7</v>
      </c>
      <c r="L110" s="1021">
        <v>9.9999999999999995E-7</v>
      </c>
      <c r="M110" s="1024">
        <v>7.2</v>
      </c>
      <c r="N110" s="1019">
        <f t="shared" si="74"/>
        <v>3.5999995</v>
      </c>
      <c r="O110" s="1028">
        <v>0.59</v>
      </c>
      <c r="P110" s="1016"/>
      <c r="Q110" s="1294"/>
      <c r="R110" s="1025">
        <v>500</v>
      </c>
      <c r="S110" s="1021">
        <v>9.9999999999999995E-7</v>
      </c>
      <c r="T110" s="1021">
        <v>9.9999999999999995E-7</v>
      </c>
      <c r="U110" s="1024">
        <v>8.3000000000000007</v>
      </c>
      <c r="V110" s="1019">
        <f t="shared" si="75"/>
        <v>4.1499995000000007</v>
      </c>
      <c r="W110" s="1024">
        <v>0.59</v>
      </c>
    </row>
    <row r="111" spans="1:23" ht="12.75" customHeight="1" x14ac:dyDescent="0.25">
      <c r="A111" s="1294"/>
      <c r="B111" s="1025">
        <v>500</v>
      </c>
      <c r="C111" s="1024">
        <v>3</v>
      </c>
      <c r="D111" s="1024">
        <v>3</v>
      </c>
      <c r="E111" s="1024">
        <v>3</v>
      </c>
      <c r="F111" s="1019">
        <f t="shared" si="73"/>
        <v>0</v>
      </c>
      <c r="G111" s="1029">
        <v>0.59</v>
      </c>
      <c r="H111" s="1016"/>
      <c r="I111" s="1294"/>
      <c r="J111" s="1025">
        <v>500</v>
      </c>
      <c r="K111" s="1021">
        <v>9.9999999999999995E-7</v>
      </c>
      <c r="L111" s="1021">
        <v>9.9999999999999995E-7</v>
      </c>
      <c r="M111" s="1024">
        <v>7.2</v>
      </c>
      <c r="N111" s="1019">
        <f t="shared" si="74"/>
        <v>3.5999995</v>
      </c>
      <c r="O111" s="1028">
        <v>0.59</v>
      </c>
      <c r="P111" s="1016"/>
      <c r="Q111" s="1294"/>
      <c r="R111" s="1025">
        <v>500</v>
      </c>
      <c r="S111" s="1021">
        <v>9.9999999999999995E-7</v>
      </c>
      <c r="T111" s="1021">
        <v>9.9999999999999995E-7</v>
      </c>
      <c r="U111" s="1024">
        <v>8.3000000000000007</v>
      </c>
      <c r="V111" s="1019">
        <f t="shared" si="75"/>
        <v>4.1499995000000007</v>
      </c>
      <c r="W111" s="1024">
        <v>0.59</v>
      </c>
    </row>
    <row r="112" spans="1:23" ht="12.75" customHeight="1" x14ac:dyDescent="0.25">
      <c r="A112" s="1294"/>
      <c r="B112" s="1025">
        <v>1000</v>
      </c>
      <c r="C112" s="1024">
        <v>5</v>
      </c>
      <c r="D112" s="1024">
        <v>5</v>
      </c>
      <c r="E112" s="1024">
        <v>4</v>
      </c>
      <c r="F112" s="1019">
        <f t="shared" si="73"/>
        <v>0.5</v>
      </c>
      <c r="G112" s="1029">
        <v>0.59</v>
      </c>
      <c r="H112" s="1016"/>
      <c r="I112" s="1294"/>
      <c r="J112" s="1025">
        <v>1000</v>
      </c>
      <c r="K112" s="1021">
        <v>9.9999999999999995E-7</v>
      </c>
      <c r="L112" s="1021">
        <v>9.9999999999999995E-7</v>
      </c>
      <c r="M112" s="1024">
        <v>80</v>
      </c>
      <c r="N112" s="1019">
        <f t="shared" si="74"/>
        <v>39.999999500000001</v>
      </c>
      <c r="O112" s="1028">
        <v>0.59</v>
      </c>
      <c r="P112" s="1016"/>
      <c r="Q112" s="1294"/>
      <c r="R112" s="1025">
        <v>1000</v>
      </c>
      <c r="S112" s="1021">
        <v>9.9999999999999995E-7</v>
      </c>
      <c r="T112" s="1021">
        <v>9.9999999999999995E-7</v>
      </c>
      <c r="U112" s="1024">
        <v>-97</v>
      </c>
      <c r="V112" s="1019">
        <f t="shared" si="75"/>
        <v>48.500000499999999</v>
      </c>
      <c r="W112" s="1024">
        <v>0.59</v>
      </c>
    </row>
    <row r="113" spans="1:24" ht="12.75" customHeight="1" x14ac:dyDescent="0.25">
      <c r="A113" s="1294"/>
      <c r="B113" s="1298" t="s">
        <v>310</v>
      </c>
      <c r="C113" s="1299"/>
      <c r="D113" s="1299"/>
      <c r="E113" s="1300"/>
      <c r="F113" s="1015" t="s">
        <v>413</v>
      </c>
      <c r="G113" s="1015" t="s">
        <v>367</v>
      </c>
      <c r="H113" s="1016"/>
      <c r="I113" s="1294"/>
      <c r="J113" s="1298" t="s">
        <v>310</v>
      </c>
      <c r="K113" s="1299"/>
      <c r="L113" s="1299"/>
      <c r="M113" s="1300"/>
      <c r="N113" s="1015" t="s">
        <v>413</v>
      </c>
      <c r="O113" s="1015" t="s">
        <v>367</v>
      </c>
      <c r="P113" s="1016"/>
      <c r="Q113" s="1294"/>
      <c r="R113" s="1298" t="s">
        <v>310</v>
      </c>
      <c r="S113" s="1299"/>
      <c r="T113" s="1299"/>
      <c r="U113" s="1300"/>
      <c r="V113" s="1015" t="s">
        <v>413</v>
      </c>
      <c r="W113" s="1015" t="s">
        <v>367</v>
      </c>
    </row>
    <row r="114" spans="1:24" ht="15" customHeight="1" x14ac:dyDescent="0.25">
      <c r="A114" s="1294"/>
      <c r="B114" s="1014" t="s">
        <v>417</v>
      </c>
      <c r="C114" s="1015">
        <v>2020</v>
      </c>
      <c r="D114" s="1015">
        <v>2021</v>
      </c>
      <c r="E114" s="1015">
        <v>2018</v>
      </c>
      <c r="F114" s="1015"/>
      <c r="G114" s="1015"/>
      <c r="H114" s="1016"/>
      <c r="I114" s="1294"/>
      <c r="J114" s="1014" t="s">
        <v>417</v>
      </c>
      <c r="K114" s="1015">
        <f>K98</f>
        <v>2019</v>
      </c>
      <c r="L114" s="1015">
        <f>L98</f>
        <v>2019</v>
      </c>
      <c r="M114" s="1015">
        <f>M98</f>
        <v>2020</v>
      </c>
      <c r="N114" s="1015"/>
      <c r="O114" s="1015"/>
      <c r="P114" s="1016"/>
      <c r="Q114" s="1294"/>
      <c r="R114" s="1014" t="s">
        <v>417</v>
      </c>
      <c r="S114" s="1015">
        <f>S98</f>
        <v>2019</v>
      </c>
      <c r="T114" s="1015">
        <f>T98</f>
        <v>2019</v>
      </c>
      <c r="U114" s="1015">
        <f>U98</f>
        <v>2020</v>
      </c>
      <c r="V114" s="1015"/>
      <c r="W114" s="1015"/>
    </row>
    <row r="115" spans="1:24" ht="12.75" customHeight="1" x14ac:dyDescent="0.25">
      <c r="A115" s="1294"/>
      <c r="B115" s="1025">
        <v>10</v>
      </c>
      <c r="C115" s="1021" t="s">
        <v>191</v>
      </c>
      <c r="D115" s="1021" t="s">
        <v>191</v>
      </c>
      <c r="E115" s="1026">
        <v>9.9999999999999995E-7</v>
      </c>
      <c r="F115" s="1019">
        <f t="shared" ref="F115:F118" si="76">0.5*(MAX(C115:E115)-MIN(C115:E115))</f>
        <v>0</v>
      </c>
      <c r="G115" s="1030">
        <v>1.7</v>
      </c>
      <c r="H115" s="1016"/>
      <c r="I115" s="1294"/>
      <c r="J115" s="1025">
        <v>10</v>
      </c>
      <c r="K115" s="1021">
        <v>9.9999999999999995E-7</v>
      </c>
      <c r="L115" s="1021">
        <v>9.9999999999999995E-7</v>
      </c>
      <c r="M115" s="1021">
        <v>9.9999999999999995E-7</v>
      </c>
      <c r="N115" s="1019">
        <f t="shared" ref="N115:N118" si="77">0.5*(MAX(K115:M115)-MIN(K115:M115))</f>
        <v>0</v>
      </c>
      <c r="O115" s="1024">
        <v>0</v>
      </c>
      <c r="P115" s="1016"/>
      <c r="Q115" s="1294"/>
      <c r="R115" s="1025">
        <v>10</v>
      </c>
      <c r="S115" s="1021">
        <v>9.9999999999999995E-7</v>
      </c>
      <c r="T115" s="1021">
        <v>9.9999999999999995E-7</v>
      </c>
      <c r="U115" s="1021">
        <v>9.9999999999999995E-7</v>
      </c>
      <c r="V115" s="1019">
        <f t="shared" ref="V115:V118" si="78">0.5*(MAX(S115:U115)-MIN(S115:U115))</f>
        <v>0</v>
      </c>
      <c r="W115" s="1024">
        <v>0</v>
      </c>
    </row>
    <row r="116" spans="1:24" ht="12.75" customHeight="1" x14ac:dyDescent="0.25">
      <c r="A116" s="1294"/>
      <c r="B116" s="1025">
        <v>20</v>
      </c>
      <c r="C116" s="1021" t="s">
        <v>191</v>
      </c>
      <c r="D116" s="1021" t="s">
        <v>191</v>
      </c>
      <c r="E116" s="1021">
        <v>0.1</v>
      </c>
      <c r="F116" s="1019">
        <f t="shared" si="76"/>
        <v>0</v>
      </c>
      <c r="G116" s="1030">
        <v>1.7</v>
      </c>
      <c r="H116" s="1016"/>
      <c r="I116" s="1294"/>
      <c r="J116" s="1025">
        <v>20</v>
      </c>
      <c r="K116" s="1021">
        <v>9.9999999999999995E-7</v>
      </c>
      <c r="L116" s="1021">
        <v>9.9999999999999995E-7</v>
      </c>
      <c r="M116" s="1021">
        <v>9.9999999999999995E-7</v>
      </c>
      <c r="N116" s="1019">
        <f t="shared" si="77"/>
        <v>0</v>
      </c>
      <c r="O116" s="1024">
        <v>0</v>
      </c>
      <c r="P116" s="1016"/>
      <c r="Q116" s="1294"/>
      <c r="R116" s="1025">
        <v>20</v>
      </c>
      <c r="S116" s="1021">
        <v>9.9999999999999995E-7</v>
      </c>
      <c r="T116" s="1021">
        <v>9.9999999999999995E-7</v>
      </c>
      <c r="U116" s="1021">
        <v>9.9999999999999995E-7</v>
      </c>
      <c r="V116" s="1019">
        <f t="shared" si="78"/>
        <v>0</v>
      </c>
      <c r="W116" s="1024">
        <v>0</v>
      </c>
    </row>
    <row r="117" spans="1:24" ht="12.75" customHeight="1" x14ac:dyDescent="0.25">
      <c r="A117" s="1294"/>
      <c r="B117" s="1025">
        <v>50</v>
      </c>
      <c r="C117" s="1021" t="s">
        <v>191</v>
      </c>
      <c r="D117" s="1021" t="s">
        <v>191</v>
      </c>
      <c r="E117" s="1021">
        <v>0.4</v>
      </c>
      <c r="F117" s="1019">
        <f t="shared" si="76"/>
        <v>0</v>
      </c>
      <c r="G117" s="1030">
        <v>1.7</v>
      </c>
      <c r="H117" s="1016"/>
      <c r="I117" s="1294"/>
      <c r="J117" s="1025">
        <v>50</v>
      </c>
      <c r="K117" s="1021">
        <v>9.9999999999999995E-7</v>
      </c>
      <c r="L117" s="1021">
        <v>9.9999999999999995E-7</v>
      </c>
      <c r="M117" s="1021">
        <v>9.9999999999999995E-7</v>
      </c>
      <c r="N117" s="1019">
        <f t="shared" si="77"/>
        <v>0</v>
      </c>
      <c r="O117" s="1024">
        <v>0</v>
      </c>
      <c r="P117" s="1016"/>
      <c r="Q117" s="1294"/>
      <c r="R117" s="1025">
        <v>50</v>
      </c>
      <c r="S117" s="1021">
        <v>9.9999999999999995E-7</v>
      </c>
      <c r="T117" s="1021">
        <v>9.9999999999999995E-7</v>
      </c>
      <c r="U117" s="1021">
        <v>9.9999999999999995E-7</v>
      </c>
      <c r="V117" s="1019">
        <f t="shared" si="78"/>
        <v>0</v>
      </c>
      <c r="W117" s="1024">
        <v>0</v>
      </c>
    </row>
    <row r="118" spans="1:24" ht="12.75" customHeight="1" x14ac:dyDescent="0.25">
      <c r="A118" s="1294"/>
      <c r="B118" s="1025">
        <v>100</v>
      </c>
      <c r="C118" s="1021" t="s">
        <v>191</v>
      </c>
      <c r="D118" s="1021" t="s">
        <v>191</v>
      </c>
      <c r="E118" s="1021">
        <v>1.4</v>
      </c>
      <c r="F118" s="1019">
        <f t="shared" si="76"/>
        <v>0</v>
      </c>
      <c r="G118" s="1030">
        <v>1.7</v>
      </c>
      <c r="H118" s="1016"/>
      <c r="I118" s="1294"/>
      <c r="J118" s="1025">
        <v>100</v>
      </c>
      <c r="K118" s="1021">
        <v>9.9999999999999995E-7</v>
      </c>
      <c r="L118" s="1021">
        <v>9.9999999999999995E-7</v>
      </c>
      <c r="M118" s="1021">
        <v>9.9999999999999995E-7</v>
      </c>
      <c r="N118" s="1019">
        <f t="shared" si="77"/>
        <v>0</v>
      </c>
      <c r="O118" s="1024">
        <v>0</v>
      </c>
      <c r="P118" s="1016"/>
      <c r="Q118" s="1294"/>
      <c r="R118" s="1025">
        <v>100</v>
      </c>
      <c r="S118" s="1021">
        <v>9.9999999999999995E-7</v>
      </c>
      <c r="T118" s="1021">
        <v>9.9999999999999995E-7</v>
      </c>
      <c r="U118" s="1021">
        <v>9.9999999999999995E-7</v>
      </c>
      <c r="V118" s="1019">
        <f t="shared" si="78"/>
        <v>0</v>
      </c>
      <c r="W118" s="1024">
        <v>0</v>
      </c>
    </row>
    <row r="119" spans="1:24" ht="12.75" customHeight="1" x14ac:dyDescent="0.25">
      <c r="A119" s="1294"/>
      <c r="B119" s="1298" t="s">
        <v>307</v>
      </c>
      <c r="C119" s="1299"/>
      <c r="D119" s="1299"/>
      <c r="E119" s="1300"/>
      <c r="F119" s="1015" t="s">
        <v>413</v>
      </c>
      <c r="G119" s="1015" t="s">
        <v>367</v>
      </c>
      <c r="H119" s="1016"/>
      <c r="I119" s="1294"/>
      <c r="J119" s="1298" t="s">
        <v>307</v>
      </c>
      <c r="K119" s="1299"/>
      <c r="L119" s="1299"/>
      <c r="M119" s="1300"/>
      <c r="N119" s="1015" t="s">
        <v>413</v>
      </c>
      <c r="O119" s="1015" t="s">
        <v>367</v>
      </c>
      <c r="P119" s="1016"/>
      <c r="Q119" s="1294"/>
      <c r="R119" s="1298" t="str">
        <f>B119</f>
        <v>Resistance</v>
      </c>
      <c r="S119" s="1299"/>
      <c r="T119" s="1299"/>
      <c r="U119" s="1300"/>
      <c r="V119" s="1015" t="s">
        <v>413</v>
      </c>
      <c r="W119" s="1015" t="s">
        <v>367</v>
      </c>
    </row>
    <row r="120" spans="1:24" ht="15" customHeight="1" x14ac:dyDescent="0.25">
      <c r="A120" s="1294"/>
      <c r="B120" s="1014" t="s">
        <v>418</v>
      </c>
      <c r="C120" s="1015">
        <f>C98</f>
        <v>2019</v>
      </c>
      <c r="D120" s="1015">
        <f>D98</f>
        <v>2019</v>
      </c>
      <c r="E120" s="1015">
        <f>E98</f>
        <v>2020</v>
      </c>
      <c r="F120" s="1015"/>
      <c r="G120" s="1015"/>
      <c r="H120" s="1016"/>
      <c r="I120" s="1294"/>
      <c r="J120" s="1014" t="s">
        <v>418</v>
      </c>
      <c r="K120" s="1015">
        <f>K98</f>
        <v>2019</v>
      </c>
      <c r="L120" s="1015">
        <f>L98</f>
        <v>2019</v>
      </c>
      <c r="M120" s="1015">
        <f>M98</f>
        <v>2020</v>
      </c>
      <c r="N120" s="1015"/>
      <c r="O120" s="1015"/>
      <c r="P120" s="1016"/>
      <c r="Q120" s="1294"/>
      <c r="R120" s="1014" t="s">
        <v>418</v>
      </c>
      <c r="S120" s="1015">
        <f>S98</f>
        <v>2019</v>
      </c>
      <c r="T120" s="1015">
        <f>T98</f>
        <v>2019</v>
      </c>
      <c r="U120" s="1015">
        <f>U98</f>
        <v>2020</v>
      </c>
      <c r="V120" s="1015"/>
      <c r="W120" s="1015"/>
    </row>
    <row r="121" spans="1:24" ht="12.75" customHeight="1" x14ac:dyDescent="0.25">
      <c r="A121" s="1294"/>
      <c r="B121" s="1025">
        <v>0.01</v>
      </c>
      <c r="C121" s="1026">
        <v>9.9999999999999995E-7</v>
      </c>
      <c r="D121" s="1026">
        <v>9.9999999999999995E-7</v>
      </c>
      <c r="E121" s="1026">
        <v>9.9999999999999995E-7</v>
      </c>
      <c r="F121" s="1019">
        <f t="shared" ref="F121:F124" si="79">0.5*(MAX(C121:E121)-MIN(C121:E121))</f>
        <v>0</v>
      </c>
      <c r="G121" s="1025">
        <v>1.2</v>
      </c>
      <c r="H121" s="1016"/>
      <c r="I121" s="1294"/>
      <c r="J121" s="1025">
        <v>0.01</v>
      </c>
      <c r="K121" s="1025">
        <v>9.9999999999999995E-7</v>
      </c>
      <c r="L121" s="1025">
        <v>9.9999999999999995E-7</v>
      </c>
      <c r="M121" s="1026">
        <v>9.9999999999999995E-7</v>
      </c>
      <c r="N121" s="1019">
        <f t="shared" ref="N121:N124" si="80">0.5*(MAX(K121:M121)-MIN(K121:M121))</f>
        <v>0</v>
      </c>
      <c r="O121" s="1056">
        <v>1.2</v>
      </c>
      <c r="P121" s="1016"/>
      <c r="Q121" s="1294"/>
      <c r="R121" s="1025">
        <v>0.01</v>
      </c>
      <c r="S121" s="1025">
        <v>9.9999999999999995E-7</v>
      </c>
      <c r="T121" s="1025">
        <v>9.9999999999999995E-7</v>
      </c>
      <c r="U121" s="1026">
        <v>9.9999999999999995E-7</v>
      </c>
      <c r="V121" s="1019">
        <f t="shared" ref="V121:V124" si="81">0.5*(MAX(S121:U121)-MIN(S121:U121))</f>
        <v>0</v>
      </c>
      <c r="W121" s="1058">
        <v>1.2</v>
      </c>
    </row>
    <row r="122" spans="1:24" ht="12.75" customHeight="1" x14ac:dyDescent="0.25">
      <c r="A122" s="1294"/>
      <c r="B122" s="1025">
        <v>0.1</v>
      </c>
      <c r="C122" s="1026">
        <v>9.9999999999999995E-7</v>
      </c>
      <c r="D122" s="1026">
        <v>9.9999999999999995E-7</v>
      </c>
      <c r="E122" s="1026">
        <v>9.9999999999999995E-7</v>
      </c>
      <c r="F122" s="1019">
        <f t="shared" si="79"/>
        <v>0</v>
      </c>
      <c r="G122" s="1025">
        <v>1.2</v>
      </c>
      <c r="H122" s="1016"/>
      <c r="I122" s="1294"/>
      <c r="J122" s="1025">
        <v>0.1</v>
      </c>
      <c r="K122" s="1031">
        <v>9.9999999999999995E-7</v>
      </c>
      <c r="L122" s="1031">
        <v>9.9999999999999995E-7</v>
      </c>
      <c r="M122" s="1026">
        <v>-2E-3</v>
      </c>
      <c r="N122" s="1019">
        <f t="shared" si="80"/>
        <v>1.0005000000000001E-3</v>
      </c>
      <c r="O122" s="1056">
        <v>1.2</v>
      </c>
      <c r="P122" s="1016"/>
      <c r="Q122" s="1294"/>
      <c r="R122" s="1025">
        <v>0.1</v>
      </c>
      <c r="S122" s="1025">
        <v>9.9999999999999995E-7</v>
      </c>
      <c r="T122" s="1025">
        <v>9.9999999999999995E-7</v>
      </c>
      <c r="U122" s="1026">
        <v>-3.0000000000000001E-3</v>
      </c>
      <c r="V122" s="1019">
        <f t="shared" si="81"/>
        <v>1.5005000000000001E-3</v>
      </c>
      <c r="W122" s="1058">
        <v>1.2</v>
      </c>
    </row>
    <row r="123" spans="1:24" ht="12.75" customHeight="1" x14ac:dyDescent="0.25">
      <c r="A123" s="1294"/>
      <c r="B123" s="1025">
        <v>1</v>
      </c>
      <c r="C123" s="1026">
        <v>-2.3E-3</v>
      </c>
      <c r="D123" s="1026">
        <v>-2.3E-3</v>
      </c>
      <c r="E123" s="1026">
        <v>-2.3E-3</v>
      </c>
      <c r="F123" s="1019">
        <f t="shared" si="79"/>
        <v>0</v>
      </c>
      <c r="G123" s="1025">
        <v>1.2</v>
      </c>
      <c r="H123" s="1016"/>
      <c r="I123" s="1294"/>
      <c r="J123" s="1025">
        <v>1</v>
      </c>
      <c r="K123" s="1031">
        <v>9.9999999999999995E-7</v>
      </c>
      <c r="L123" s="1031">
        <v>9.9999999999999995E-7</v>
      </c>
      <c r="M123" s="1026">
        <v>-1E-3</v>
      </c>
      <c r="N123" s="1019">
        <f t="shared" si="80"/>
        <v>5.0049999999999997E-4</v>
      </c>
      <c r="O123" s="1056">
        <v>1.2</v>
      </c>
      <c r="P123" s="1016"/>
      <c r="Q123" s="1294"/>
      <c r="R123" s="1025">
        <v>1</v>
      </c>
      <c r="S123" s="1025">
        <v>9.9999999999999995E-7</v>
      </c>
      <c r="T123" s="1025">
        <v>9.9999999999999995E-7</v>
      </c>
      <c r="U123" s="1026">
        <v>-1E-3</v>
      </c>
      <c r="V123" s="1019">
        <f t="shared" si="81"/>
        <v>5.0049999999999997E-4</v>
      </c>
      <c r="W123" s="1058">
        <v>1.2</v>
      </c>
    </row>
    <row r="124" spans="1:24" ht="12.75" customHeight="1" x14ac:dyDescent="0.25">
      <c r="A124" s="1295"/>
      <c r="B124" s="1025">
        <v>2</v>
      </c>
      <c r="C124" s="1026">
        <v>0</v>
      </c>
      <c r="D124" s="1026">
        <v>0</v>
      </c>
      <c r="E124" s="1026">
        <v>9.9999999999999995E-7</v>
      </c>
      <c r="F124" s="1019">
        <f t="shared" si="79"/>
        <v>4.9999999999999998E-7</v>
      </c>
      <c r="G124" s="1025">
        <v>1.2</v>
      </c>
      <c r="H124" s="1016"/>
      <c r="I124" s="1295"/>
      <c r="J124" s="1025">
        <v>2</v>
      </c>
      <c r="K124" s="1031">
        <v>9.9999999999999995E-7</v>
      </c>
      <c r="L124" s="1031">
        <v>9.9999999999999995E-7</v>
      </c>
      <c r="M124" s="1026">
        <v>-6.0000000000000001E-3</v>
      </c>
      <c r="N124" s="1019">
        <f t="shared" si="80"/>
        <v>3.0005000000000001E-3</v>
      </c>
      <c r="O124" s="1056">
        <v>1.2</v>
      </c>
      <c r="P124" s="1016"/>
      <c r="Q124" s="1295"/>
      <c r="R124" s="1025">
        <v>2</v>
      </c>
      <c r="S124" s="1025">
        <v>9.9999999999999995E-7</v>
      </c>
      <c r="T124" s="1025">
        <v>9.9999999999999995E-7</v>
      </c>
      <c r="U124" s="1026">
        <v>-6.0000000000000001E-3</v>
      </c>
      <c r="V124" s="1019">
        <f t="shared" si="81"/>
        <v>3.0005000000000001E-3</v>
      </c>
      <c r="W124" s="1058">
        <v>1.2</v>
      </c>
    </row>
    <row r="125" spans="1:24" s="296" customFormat="1" ht="16" thickBot="1" x14ac:dyDescent="0.3">
      <c r="A125" s="1047"/>
      <c r="B125" s="1048"/>
      <c r="C125" s="1049"/>
      <c r="E125" s="1049"/>
      <c r="F125" s="1049"/>
      <c r="G125" s="1049"/>
      <c r="H125" s="1037"/>
      <c r="I125" s="1050"/>
      <c r="J125" s="1051"/>
      <c r="K125" s="1049"/>
      <c r="M125" s="1049"/>
      <c r="N125" s="1049"/>
      <c r="O125" s="1049"/>
      <c r="P125" s="1037"/>
      <c r="Q125" s="1050"/>
      <c r="R125" s="1048"/>
      <c r="S125" s="1049"/>
      <c r="U125" s="1036"/>
      <c r="V125" s="1036"/>
      <c r="W125" s="1038"/>
      <c r="X125" s="1039"/>
    </row>
    <row r="126" spans="1:24" ht="16" thickBot="1" x14ac:dyDescent="0.3">
      <c r="A126" s="872"/>
      <c r="B126" s="873"/>
      <c r="C126" s="873"/>
      <c r="D126" s="1059"/>
      <c r="E126" s="873"/>
      <c r="F126" s="873"/>
      <c r="G126" s="873"/>
      <c r="H126" s="1060"/>
      <c r="I126" s="873"/>
      <c r="J126" s="873"/>
      <c r="K126" s="873"/>
      <c r="L126" s="1059"/>
      <c r="M126" s="873"/>
      <c r="N126" s="873"/>
      <c r="O126" s="873"/>
      <c r="P126" s="1060"/>
      <c r="Q126" s="873"/>
      <c r="R126" s="873"/>
      <c r="S126" s="873"/>
      <c r="T126" s="1059"/>
      <c r="U126" s="449"/>
      <c r="V126" s="449"/>
      <c r="W126" s="450"/>
    </row>
    <row r="127" spans="1:24" x14ac:dyDescent="0.25">
      <c r="A127" s="451"/>
      <c r="B127" s="452"/>
      <c r="C127" s="452"/>
    </row>
    <row r="128" spans="1:24" ht="15" customHeight="1" x14ac:dyDescent="0.25"/>
    <row r="129" spans="1:19" ht="15.75" customHeight="1" x14ac:dyDescent="0.25"/>
    <row r="131" spans="1:19" ht="16" thickBot="1" x14ac:dyDescent="0.3">
      <c r="S131" s="300"/>
    </row>
    <row r="132" spans="1:19" ht="30" customHeight="1" x14ac:dyDescent="0.25">
      <c r="A132" s="1347">
        <f>IF($A$165=$A$166,A2,IF($A$165=$A$167,I2,IF($A$165=$A$168,Q2,IF($A$165=$A$169,A33,IF($A$165=$A$170,I33,IF($A$165=$A$171,Q33,IF($A$165=$A$172,A64,IF($A$165=$A$173,I64,IF($A$165=$A$174,Q64,IF($A$165=$A$175,A95,IF($A$165=$A$176,I95,Q95)))))))))))</f>
        <v>9</v>
      </c>
      <c r="B132" s="1313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4669058</v>
      </c>
      <c r="C132" s="1314"/>
      <c r="D132" s="1314"/>
      <c r="E132" s="1314"/>
      <c r="F132" s="1314"/>
      <c r="G132" s="1315"/>
    </row>
    <row r="133" spans="1:19" ht="15.75" customHeight="1" thickBot="1" x14ac:dyDescent="0.3">
      <c r="A133" s="1348"/>
      <c r="B133" s="1316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17"/>
      <c r="D133" s="1317"/>
      <c r="E133" s="1317"/>
      <c r="F133" s="1317"/>
      <c r="G133" s="1318"/>
      <c r="I133" s="296"/>
    </row>
    <row r="134" spans="1:19" ht="15.75" customHeight="1" x14ac:dyDescent="0.25">
      <c r="A134" s="1348"/>
      <c r="B134" s="1319" t="str">
        <f t="shared" si="82"/>
        <v>Setting VAC</v>
      </c>
      <c r="C134" s="1320"/>
      <c r="D134" s="1320"/>
      <c r="E134" s="1321"/>
      <c r="F134" s="1061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62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22" t="s">
        <v>419</v>
      </c>
      <c r="J134" s="1323"/>
      <c r="K134" s="1323"/>
      <c r="L134" s="1324"/>
      <c r="M134" s="453"/>
      <c r="N134" s="1325" t="s">
        <v>130</v>
      </c>
      <c r="O134" s="1328" t="s">
        <v>420</v>
      </c>
      <c r="P134" s="1350" t="s">
        <v>421</v>
      </c>
    </row>
    <row r="135" spans="1:19" x14ac:dyDescent="0.25">
      <c r="A135" s="1348"/>
      <c r="B135" s="1063" t="str">
        <f t="shared" si="82"/>
        <v>( V )</v>
      </c>
      <c r="C135" s="1061">
        <f t="shared" si="82"/>
        <v>2019</v>
      </c>
      <c r="D135" s="1061">
        <f t="shared" si="82"/>
        <v>2020</v>
      </c>
      <c r="E135" s="1061">
        <f t="shared" si="82"/>
        <v>2022</v>
      </c>
      <c r="F135" s="1061"/>
      <c r="G135" s="1062"/>
      <c r="I135" s="1064">
        <f>N137</f>
        <v>220</v>
      </c>
      <c r="J135" s="1065"/>
      <c r="K135" s="1066">
        <f>(FORECAST(I135,E136:E141,B136:B141))</f>
        <v>-0.15104298727735371</v>
      </c>
      <c r="L135" s="1067"/>
      <c r="M135" s="296"/>
      <c r="N135" s="1326"/>
      <c r="O135" s="1329"/>
      <c r="P135" s="1351"/>
    </row>
    <row r="136" spans="1:19" ht="16.5" customHeight="1" thickBot="1" x14ac:dyDescent="0.3">
      <c r="A136" s="1348"/>
      <c r="B136" s="1063">
        <f t="shared" si="82"/>
        <v>150</v>
      </c>
      <c r="C136" s="1068">
        <f t="shared" si="82"/>
        <v>9.9999999999999995E-7</v>
      </c>
      <c r="D136" s="1068">
        <f t="shared" si="82"/>
        <v>-0.24</v>
      </c>
      <c r="E136" s="1068">
        <f t="shared" si="82"/>
        <v>-0.17</v>
      </c>
      <c r="F136" s="1061">
        <f t="shared" si="82"/>
        <v>0.1200005</v>
      </c>
      <c r="G136" s="1062">
        <f t="shared" si="82"/>
        <v>1.8</v>
      </c>
      <c r="I136" s="1353" t="s">
        <v>422</v>
      </c>
      <c r="J136" s="1354"/>
      <c r="K136" s="1354"/>
      <c r="L136" s="1355"/>
      <c r="M136" s="296"/>
      <c r="N136" s="1327"/>
      <c r="O136" s="1330"/>
      <c r="P136" s="1352"/>
    </row>
    <row r="137" spans="1:19" ht="15.75" customHeight="1" x14ac:dyDescent="0.25">
      <c r="A137" s="1348"/>
      <c r="B137" s="1063">
        <f t="shared" si="82"/>
        <v>180</v>
      </c>
      <c r="C137" s="1068">
        <f t="shared" si="82"/>
        <v>9.9999999999999995E-7</v>
      </c>
      <c r="D137" s="1068">
        <f t="shared" si="82"/>
        <v>-0.14000000000000001</v>
      </c>
      <c r="E137" s="1068">
        <f t="shared" si="82"/>
        <v>-0.39</v>
      </c>
      <c r="F137" s="1061">
        <f t="shared" si="82"/>
        <v>0.19500049999999999</v>
      </c>
      <c r="G137" s="1062">
        <f t="shared" si="82"/>
        <v>2.16</v>
      </c>
      <c r="I137" s="1064" t="str">
        <f>N138</f>
        <v>OL</v>
      </c>
      <c r="J137" s="1065"/>
      <c r="K137" s="1069" t="e">
        <f>(FORECAST(I137,E152:E155,B152:B155))</f>
        <v>#VALUE!</v>
      </c>
      <c r="L137" s="1067"/>
      <c r="M137" s="296"/>
      <c r="N137" s="1070">
        <f>ID!E16</f>
        <v>220</v>
      </c>
      <c r="O137" s="1071">
        <f>N137+K135</f>
        <v>219.84895701272265</v>
      </c>
      <c r="P137" s="1072">
        <f>IF(N137="-","-",O137)</f>
        <v>219.84895701272265</v>
      </c>
    </row>
    <row r="138" spans="1:19" ht="15.75" customHeight="1" x14ac:dyDescent="0.25">
      <c r="A138" s="1348"/>
      <c r="B138" s="1063">
        <f t="shared" si="82"/>
        <v>200</v>
      </c>
      <c r="C138" s="1068">
        <f t="shared" si="82"/>
        <v>9.9999999999999995E-7</v>
      </c>
      <c r="D138" s="1068">
        <f t="shared" si="82"/>
        <v>-0.33</v>
      </c>
      <c r="E138" s="1068">
        <f t="shared" si="82"/>
        <v>-0.23</v>
      </c>
      <c r="F138" s="1061">
        <f t="shared" si="82"/>
        <v>0.16500049999999999</v>
      </c>
      <c r="G138" s="1062">
        <f t="shared" si="82"/>
        <v>2.4</v>
      </c>
      <c r="I138" s="1353" t="s">
        <v>423</v>
      </c>
      <c r="J138" s="1354"/>
      <c r="K138" s="1354"/>
      <c r="L138" s="1355"/>
      <c r="M138" s="296"/>
      <c r="N138" s="1073" t="str">
        <f>ID!I25</f>
        <v>OL</v>
      </c>
      <c r="O138" s="1074" t="e">
        <f>N138+K137</f>
        <v>#VALUE!</v>
      </c>
      <c r="P138" s="1075" t="str">
        <f>IF(N138="OL","OL",IF(N138="NC","NC",IF(N138="OR","OR",IF(N138="-","-",O138))))</f>
        <v>OL</v>
      </c>
    </row>
    <row r="139" spans="1:19" ht="13" x14ac:dyDescent="0.25">
      <c r="A139" s="1348"/>
      <c r="B139" s="1063">
        <f t="shared" si="82"/>
        <v>220</v>
      </c>
      <c r="C139" s="1068">
        <f t="shared" si="82"/>
        <v>9.9999999999999995E-7</v>
      </c>
      <c r="D139" s="1068">
        <f t="shared" si="82"/>
        <v>-0.45</v>
      </c>
      <c r="E139" s="1068">
        <f t="shared" si="82"/>
        <v>-0.16</v>
      </c>
      <c r="F139" s="1061">
        <f t="shared" si="82"/>
        <v>0.22500049999999999</v>
      </c>
      <c r="G139" s="1062">
        <f t="shared" si="82"/>
        <v>2.64</v>
      </c>
      <c r="I139" s="1076" t="str">
        <f>N139</f>
        <v>OL</v>
      </c>
      <c r="J139" s="1065"/>
      <c r="K139" s="1077" t="e">
        <f>(FORECAST(I139,E158:E161,B158:B161))</f>
        <v>#VALUE!</v>
      </c>
      <c r="L139" s="1078"/>
      <c r="M139" s="296"/>
      <c r="N139" s="1073" t="str">
        <f>ID!I26</f>
        <v>OL</v>
      </c>
      <c r="O139" s="1079" t="e">
        <f>N139+K139</f>
        <v>#VALUE!</v>
      </c>
      <c r="P139" s="1075" t="str">
        <f>IF(N139="OL","OL",IF(N139="NC","NC",IF(N139="-","-",O139)))</f>
        <v>OL</v>
      </c>
    </row>
    <row r="140" spans="1:19" ht="13" x14ac:dyDescent="0.25">
      <c r="A140" s="1348"/>
      <c r="B140" s="1063">
        <f t="shared" si="82"/>
        <v>230</v>
      </c>
      <c r="C140" s="1068">
        <f t="shared" si="82"/>
        <v>9.9999999999999995E-7</v>
      </c>
      <c r="D140" s="1068">
        <f t="shared" si="82"/>
        <v>-0.54</v>
      </c>
      <c r="E140" s="1068">
        <f t="shared" si="82"/>
        <v>-0.15</v>
      </c>
      <c r="F140" s="1061">
        <f t="shared" si="82"/>
        <v>0.27000050000000003</v>
      </c>
      <c r="G140" s="1062">
        <f t="shared" si="82"/>
        <v>2.7600000000000002</v>
      </c>
      <c r="I140" s="1353" t="s">
        <v>424</v>
      </c>
      <c r="J140" s="1354"/>
      <c r="K140" s="1354"/>
      <c r="L140" s="1355"/>
      <c r="M140" s="296"/>
      <c r="N140" s="1073">
        <f>ID!I27</f>
        <v>700</v>
      </c>
      <c r="O140" s="1080">
        <f>N140+K141</f>
        <v>651.2131948333581</v>
      </c>
      <c r="P140" s="1081">
        <f>IF(N140="-","-",O140)</f>
        <v>651.2131948333581</v>
      </c>
    </row>
    <row r="141" spans="1:19" ht="12.75" customHeight="1" thickBot="1" x14ac:dyDescent="0.3">
      <c r="A141" s="1348"/>
      <c r="B141" s="1063">
        <f t="shared" si="82"/>
        <v>250</v>
      </c>
      <c r="C141" s="1068">
        <f t="shared" si="82"/>
        <v>9.9999999999999995E-7</v>
      </c>
      <c r="D141" s="1068">
        <f t="shared" si="82"/>
        <v>9.9999999999999995E-7</v>
      </c>
      <c r="E141" s="1068">
        <f t="shared" si="82"/>
        <v>9.9999999999999995E-7</v>
      </c>
      <c r="F141" s="1061">
        <f t="shared" si="82"/>
        <v>0</v>
      </c>
      <c r="G141" s="1062" t="str">
        <f t="shared" si="82"/>
        <v>-</v>
      </c>
      <c r="I141" s="1082">
        <f>N140</f>
        <v>700</v>
      </c>
      <c r="J141" s="1065"/>
      <c r="K141" s="1083">
        <f>(FORECAST(I141,E144:E149,B144:B149))</f>
        <v>-48.786805166641948</v>
      </c>
      <c r="L141" s="1067"/>
      <c r="M141" s="296"/>
      <c r="N141" s="1073">
        <f>ID!I28</f>
        <v>20</v>
      </c>
      <c r="O141" s="1079">
        <f>N141+K143</f>
        <v>24.558641571526138</v>
      </c>
      <c r="P141" s="1081">
        <f>IF(N141="-","-",O141)</f>
        <v>24.558641571526138</v>
      </c>
    </row>
    <row r="142" spans="1:19" ht="13.5" thickBot="1" x14ac:dyDescent="0.3">
      <c r="A142" s="1348"/>
      <c r="B142" s="1319" t="str">
        <f t="shared" si="82"/>
        <v>Current Leakage</v>
      </c>
      <c r="C142" s="1320"/>
      <c r="D142" s="1320"/>
      <c r="E142" s="1321"/>
      <c r="F142" s="1061" t="str">
        <f t="shared" si="82"/>
        <v>Driff</v>
      </c>
      <c r="G142" s="1062" t="str">
        <f t="shared" si="82"/>
        <v>U95</v>
      </c>
      <c r="I142" s="1353" t="s">
        <v>424</v>
      </c>
      <c r="J142" s="1354"/>
      <c r="K142" s="1354"/>
      <c r="L142" s="1355"/>
      <c r="M142" s="1084" t="s">
        <v>139</v>
      </c>
      <c r="N142" s="1085">
        <f>ID!T27</f>
        <v>12</v>
      </c>
      <c r="O142" s="1086">
        <f>N142+K145</f>
        <v>17.186235062563409</v>
      </c>
      <c r="P142" s="1081">
        <f>IF(N142="-","-",O142)</f>
        <v>17.186235062563409</v>
      </c>
    </row>
    <row r="143" spans="1:19" ht="12.75" customHeight="1" x14ac:dyDescent="0.25">
      <c r="A143" s="1348"/>
      <c r="B143" s="1063" t="str">
        <f t="shared" si="82"/>
        <v>( uA )</v>
      </c>
      <c r="C143" s="1061">
        <f t="shared" si="82"/>
        <v>2019</v>
      </c>
      <c r="D143" s="1061">
        <f t="shared" si="82"/>
        <v>2020</v>
      </c>
      <c r="E143" s="1061">
        <f t="shared" si="82"/>
        <v>2022</v>
      </c>
      <c r="F143" s="1061"/>
      <c r="G143" s="1062"/>
      <c r="I143" s="1082">
        <f>N141</f>
        <v>20</v>
      </c>
      <c r="J143" s="1065"/>
      <c r="K143" s="1083">
        <f>(FORECAST(I143,E144:E149,B144:B149))</f>
        <v>4.5586415715261372</v>
      </c>
      <c r="L143" s="1067"/>
      <c r="M143" s="1340" t="s">
        <v>566</v>
      </c>
      <c r="N143" s="1087">
        <f>P137</f>
        <v>219.84895701272265</v>
      </c>
      <c r="O143" s="1088">
        <f>(FORECAST(N143,G136:G141,B136:B141))</f>
        <v>2.6381874841526716</v>
      </c>
      <c r="P143" s="1089" t="s">
        <v>19</v>
      </c>
    </row>
    <row r="144" spans="1:19" ht="15" thickBot="1" x14ac:dyDescent="0.4">
      <c r="A144" s="1348"/>
      <c r="B144" s="1090">
        <f t="shared" si="82"/>
        <v>9.9999999999999995E-7</v>
      </c>
      <c r="C144" s="1091">
        <f t="shared" si="82"/>
        <v>9.9999999999999995E-7</v>
      </c>
      <c r="D144" s="1091">
        <f t="shared" si="82"/>
        <v>9.9999999999999995E-7</v>
      </c>
      <c r="E144" s="1091">
        <f t="shared" si="82"/>
        <v>9.9999999999999995E-7</v>
      </c>
      <c r="F144" s="1061">
        <f t="shared" si="82"/>
        <v>0</v>
      </c>
      <c r="G144" s="1062">
        <f t="shared" si="82"/>
        <v>5.8999999999999999E-9</v>
      </c>
      <c r="I144" s="1342" t="s">
        <v>424</v>
      </c>
      <c r="J144" s="1343"/>
      <c r="K144" s="1343"/>
      <c r="L144" s="1344"/>
      <c r="M144" s="1341"/>
      <c r="N144" s="1092" t="str">
        <f>P144&amp;FIXED(N143,1)&amp;P145&amp;FIXED(O143,1)&amp;P146&amp;P143</f>
        <v>( 219.8 ± 2.6 ) Volt</v>
      </c>
      <c r="O144" s="1093"/>
      <c r="P144" s="1094" t="s">
        <v>404</v>
      </c>
    </row>
    <row r="145" spans="1:17" ht="13" x14ac:dyDescent="0.25">
      <c r="A145" s="1348"/>
      <c r="B145" s="1063">
        <f t="shared" si="82"/>
        <v>50</v>
      </c>
      <c r="C145" s="1091">
        <f t="shared" si="82"/>
        <v>9.9999999999999995E-7</v>
      </c>
      <c r="D145" s="1091">
        <f t="shared" si="82"/>
        <v>2.1</v>
      </c>
      <c r="E145" s="1091">
        <f t="shared" si="82"/>
        <v>5</v>
      </c>
      <c r="F145" s="1061">
        <f t="shared" si="82"/>
        <v>2.4999994999999999</v>
      </c>
      <c r="G145" s="1062">
        <f t="shared" si="82"/>
        <v>0.29499999999999998</v>
      </c>
      <c r="I145" s="1095">
        <f>N142</f>
        <v>12</v>
      </c>
      <c r="J145" s="1096"/>
      <c r="K145" s="1097">
        <f>FORECAST(I145,E144:E149,B144:B149)</f>
        <v>5.1862350625634086</v>
      </c>
      <c r="L145" s="1097"/>
      <c r="M145" s="296"/>
      <c r="N145" s="454"/>
      <c r="O145" s="455"/>
      <c r="P145" s="931" t="s">
        <v>405</v>
      </c>
    </row>
    <row r="146" spans="1:17" ht="13" thickBot="1" x14ac:dyDescent="0.3">
      <c r="A146" s="1348"/>
      <c r="B146" s="1063">
        <f t="shared" si="82"/>
        <v>100</v>
      </c>
      <c r="C146" s="1091">
        <f t="shared" si="82"/>
        <v>9.9999999999999995E-7</v>
      </c>
      <c r="D146" s="1091">
        <f t="shared" si="82"/>
        <v>3.7</v>
      </c>
      <c r="E146" s="1091">
        <f t="shared" si="82"/>
        <v>0.7</v>
      </c>
      <c r="F146" s="1061">
        <f t="shared" si="82"/>
        <v>1.8499995</v>
      </c>
      <c r="G146" s="1062">
        <f t="shared" si="82"/>
        <v>0.59</v>
      </c>
      <c r="I146" s="1098"/>
      <c r="M146" s="296"/>
      <c r="N146" s="456"/>
      <c r="O146" s="456"/>
      <c r="P146" s="932" t="s">
        <v>487</v>
      </c>
    </row>
    <row r="147" spans="1:17" ht="13" thickBot="1" x14ac:dyDescent="0.3">
      <c r="A147" s="1348"/>
      <c r="B147" s="1063">
        <f t="shared" si="82"/>
        <v>500</v>
      </c>
      <c r="C147" s="1091">
        <f t="shared" si="82"/>
        <v>9.9999999999999995E-7</v>
      </c>
      <c r="D147" s="1091">
        <f t="shared" si="82"/>
        <v>8.3000000000000007</v>
      </c>
      <c r="E147" s="1091">
        <f t="shared" si="82"/>
        <v>-31.8</v>
      </c>
      <c r="F147" s="1061">
        <f t="shared" si="82"/>
        <v>20.05</v>
      </c>
      <c r="G147" s="1062">
        <f t="shared" si="82"/>
        <v>2.9499999999999997</v>
      </c>
      <c r="H147" s="1099"/>
      <c r="I147" s="1100"/>
      <c r="J147" s="933"/>
      <c r="K147" s="933"/>
      <c r="L147" s="934"/>
      <c r="M147" s="304"/>
      <c r="N147" s="935">
        <f>MAX(N140:N145)</f>
        <v>700</v>
      </c>
      <c r="O147" s="935">
        <f>MAX(P140:P142)</f>
        <v>651.2131948333581</v>
      </c>
      <c r="P147" s="936">
        <f>IF(N147=0,"-",IF(N147=N147,O147,))</f>
        <v>651.2131948333581</v>
      </c>
    </row>
    <row r="148" spans="1:17" x14ac:dyDescent="0.25">
      <c r="A148" s="1348"/>
      <c r="B148" s="1063">
        <f t="shared" si="82"/>
        <v>500</v>
      </c>
      <c r="C148" s="1091">
        <f t="shared" si="82"/>
        <v>9.9999999999999995E-7</v>
      </c>
      <c r="D148" s="1091">
        <f t="shared" si="82"/>
        <v>8.3000000000000007</v>
      </c>
      <c r="E148" s="1091">
        <f t="shared" si="82"/>
        <v>-31.8</v>
      </c>
      <c r="F148" s="1061">
        <f t="shared" si="82"/>
        <v>20.05</v>
      </c>
      <c r="G148" s="1062">
        <f t="shared" si="82"/>
        <v>2.9499999999999997</v>
      </c>
      <c r="I148" s="937"/>
      <c r="J148" s="937"/>
      <c r="K148" s="937"/>
      <c r="L148" s="453"/>
      <c r="M148" s="453"/>
      <c r="N148" s="453"/>
      <c r="O148" s="453"/>
    </row>
    <row r="149" spans="1:17" x14ac:dyDescent="0.25">
      <c r="A149" s="1348"/>
      <c r="B149" s="1063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91">
        <f t="shared" si="83"/>
        <v>9.9999999999999995E-7</v>
      </c>
      <c r="D149" s="1091">
        <f t="shared" si="83"/>
        <v>-97</v>
      </c>
      <c r="E149" s="1091">
        <f t="shared" si="83"/>
        <v>-74</v>
      </c>
      <c r="F149" s="1061">
        <f t="shared" si="83"/>
        <v>48.500000499999999</v>
      </c>
      <c r="G149" s="1062">
        <f t="shared" si="83"/>
        <v>5.8999999999999995</v>
      </c>
      <c r="H149" s="1101"/>
      <c r="I149" s="938"/>
      <c r="J149" s="938"/>
      <c r="K149" s="939"/>
      <c r="L149" s="296"/>
      <c r="M149" s="296"/>
      <c r="N149" s="296"/>
      <c r="O149" s="296"/>
    </row>
    <row r="150" spans="1:17" ht="12.75" customHeight="1" x14ac:dyDescent="0.3">
      <c r="A150" s="1348"/>
      <c r="B150" s="1319" t="str">
        <f t="shared" si="83"/>
        <v>Main-PE</v>
      </c>
      <c r="C150" s="1320"/>
      <c r="D150" s="1320"/>
      <c r="E150" s="1321"/>
      <c r="F150" s="1061" t="str">
        <f t="shared" si="83"/>
        <v>Driff</v>
      </c>
      <c r="G150" s="1062" t="str">
        <f t="shared" si="83"/>
        <v>U95</v>
      </c>
      <c r="L150" s="364"/>
      <c r="M150" s="364"/>
      <c r="N150" s="364"/>
      <c r="O150" s="364"/>
      <c r="P150" s="1102"/>
    </row>
    <row r="151" spans="1:17" x14ac:dyDescent="0.25">
      <c r="A151" s="1348"/>
      <c r="B151" s="1063" t="str">
        <f t="shared" si="83"/>
        <v>( MΩ )</v>
      </c>
      <c r="C151" s="1061">
        <f t="shared" si="83"/>
        <v>2019</v>
      </c>
      <c r="D151" s="1061">
        <f t="shared" si="83"/>
        <v>2020</v>
      </c>
      <c r="E151" s="1061">
        <f t="shared" si="83"/>
        <v>2022</v>
      </c>
      <c r="F151" s="1061"/>
      <c r="G151" s="1062"/>
      <c r="H151" s="1101"/>
      <c r="I151" s="938"/>
      <c r="J151" s="938"/>
      <c r="K151" s="939"/>
      <c r="L151" s="938"/>
      <c r="M151" s="938"/>
      <c r="N151" s="938"/>
      <c r="O151" s="939"/>
      <c r="P151" s="1103"/>
    </row>
    <row r="152" spans="1:17" ht="12.75" customHeight="1" x14ac:dyDescent="0.25">
      <c r="A152" s="1348"/>
      <c r="B152" s="1063">
        <f t="shared" si="83"/>
        <v>10</v>
      </c>
      <c r="C152" s="1061">
        <f t="shared" si="83"/>
        <v>9.9999999999999995E-7</v>
      </c>
      <c r="D152" s="1091">
        <f t="shared" si="83"/>
        <v>9.9999999999999995E-7</v>
      </c>
      <c r="E152" s="1091">
        <f t="shared" si="83"/>
        <v>9.9999999999999995E-7</v>
      </c>
      <c r="F152" s="1061">
        <f t="shared" si="83"/>
        <v>0</v>
      </c>
      <c r="G152" s="1062">
        <f t="shared" si="83"/>
        <v>0.17</v>
      </c>
      <c r="L152" s="296"/>
      <c r="M152" s="938"/>
      <c r="N152" s="296"/>
      <c r="O152" s="939"/>
      <c r="P152" s="1104"/>
    </row>
    <row r="153" spans="1:17" x14ac:dyDescent="0.25">
      <c r="A153" s="1348"/>
      <c r="B153" s="1063">
        <f t="shared" si="83"/>
        <v>20</v>
      </c>
      <c r="C153" s="1061">
        <f t="shared" si="83"/>
        <v>9.9999999999999995E-7</v>
      </c>
      <c r="D153" s="1061">
        <f t="shared" si="83"/>
        <v>9.9999999999999995E-7</v>
      </c>
      <c r="E153" s="1061">
        <f t="shared" si="83"/>
        <v>9.9999999999999995E-7</v>
      </c>
      <c r="F153" s="1061">
        <f t="shared" si="83"/>
        <v>0</v>
      </c>
      <c r="G153" s="1062">
        <f t="shared" si="83"/>
        <v>0.34</v>
      </c>
      <c r="H153" s="1101"/>
      <c r="I153" s="938"/>
      <c r="J153" s="938"/>
      <c r="K153" s="939"/>
      <c r="L153" s="938"/>
      <c r="M153" s="938"/>
      <c r="N153" s="938"/>
      <c r="O153" s="939"/>
      <c r="P153" s="1103"/>
    </row>
    <row r="154" spans="1:17" x14ac:dyDescent="0.25">
      <c r="A154" s="1348"/>
      <c r="B154" s="1063">
        <f t="shared" si="83"/>
        <v>50</v>
      </c>
      <c r="C154" s="1061">
        <f t="shared" si="83"/>
        <v>9.9999999999999995E-7</v>
      </c>
      <c r="D154" s="1061">
        <f t="shared" si="83"/>
        <v>9.9999999999999995E-7</v>
      </c>
      <c r="E154" s="1061">
        <f t="shared" si="83"/>
        <v>0.2</v>
      </c>
      <c r="F154" s="1061">
        <f t="shared" si="83"/>
        <v>9.9999500000000005E-2</v>
      </c>
      <c r="G154" s="1062">
        <f t="shared" si="83"/>
        <v>0.85000000000000009</v>
      </c>
      <c r="L154" s="296"/>
      <c r="M154" s="296"/>
      <c r="N154" s="296"/>
      <c r="O154" s="296"/>
    </row>
    <row r="155" spans="1:17" ht="12.75" customHeight="1" x14ac:dyDescent="0.25">
      <c r="A155" s="1348"/>
      <c r="B155" s="1063">
        <f t="shared" si="83"/>
        <v>100</v>
      </c>
      <c r="C155" s="1061">
        <f t="shared" si="83"/>
        <v>9.9999999999999995E-7</v>
      </c>
      <c r="D155" s="1061">
        <f t="shared" si="83"/>
        <v>9.9999999999999995E-7</v>
      </c>
      <c r="E155" s="1061">
        <f t="shared" si="83"/>
        <v>0.4</v>
      </c>
      <c r="F155" s="1061">
        <f t="shared" si="83"/>
        <v>0.19999950000000002</v>
      </c>
      <c r="G155" s="1062">
        <f t="shared" si="83"/>
        <v>1.7000000000000002</v>
      </c>
      <c r="H155" s="1105"/>
      <c r="I155" s="940"/>
      <c r="J155" s="940"/>
      <c r="K155" s="941"/>
      <c r="L155" s="296"/>
      <c r="M155" s="296"/>
      <c r="N155" s="296"/>
      <c r="O155" s="296"/>
    </row>
    <row r="156" spans="1:17" ht="13" x14ac:dyDescent="0.3">
      <c r="A156" s="1348"/>
      <c r="B156" s="1319" t="str">
        <f t="shared" si="83"/>
        <v>Resistance</v>
      </c>
      <c r="C156" s="1320"/>
      <c r="D156" s="1320"/>
      <c r="E156" s="1321"/>
      <c r="F156" s="1061" t="str">
        <f t="shared" si="83"/>
        <v>Driff</v>
      </c>
      <c r="G156" s="1062" t="str">
        <f t="shared" si="83"/>
        <v>U95</v>
      </c>
      <c r="L156" s="1345"/>
      <c r="M156" s="1345"/>
      <c r="O156" s="296"/>
    </row>
    <row r="157" spans="1:17" ht="13" x14ac:dyDescent="0.3">
      <c r="A157" s="1348"/>
      <c r="B157" s="1063" t="str">
        <f t="shared" si="83"/>
        <v>( Ω )</v>
      </c>
      <c r="C157" s="1061">
        <f t="shared" si="83"/>
        <v>2019</v>
      </c>
      <c r="D157" s="1061">
        <f t="shared" si="83"/>
        <v>2020</v>
      </c>
      <c r="E157" s="1061">
        <f t="shared" si="83"/>
        <v>2022</v>
      </c>
      <c r="F157" s="1061"/>
      <c r="G157" s="1062"/>
      <c r="H157" s="1105"/>
      <c r="I157" s="940"/>
      <c r="J157" s="940"/>
      <c r="K157" s="941"/>
      <c r="L157" s="818"/>
      <c r="M157" s="296"/>
      <c r="N157" s="296"/>
      <c r="O157" s="296"/>
      <c r="Q157" s="296"/>
    </row>
    <row r="158" spans="1:17" x14ac:dyDescent="0.25">
      <c r="A158" s="1348"/>
      <c r="B158" s="1063">
        <f t="shared" si="83"/>
        <v>0.01</v>
      </c>
      <c r="C158" s="1091">
        <f t="shared" si="83"/>
        <v>9.9999999999999995E-7</v>
      </c>
      <c r="D158" s="1091">
        <f t="shared" si="83"/>
        <v>9.9999999999999995E-7</v>
      </c>
      <c r="E158" s="1091">
        <f t="shared" si="83"/>
        <v>9.9999999999999995E-7</v>
      </c>
      <c r="F158" s="1061">
        <f t="shared" si="83"/>
        <v>0</v>
      </c>
      <c r="G158" s="1062">
        <f t="shared" si="83"/>
        <v>1.2E-4</v>
      </c>
      <c r="I158" s="296"/>
      <c r="J158" s="457"/>
      <c r="K158" s="457"/>
      <c r="L158" s="457"/>
      <c r="M158" s="458"/>
      <c r="N158" s="296"/>
      <c r="O158" s="296"/>
      <c r="P158" s="1039"/>
      <c r="Q158" s="296"/>
    </row>
    <row r="159" spans="1:17" x14ac:dyDescent="0.25">
      <c r="A159" s="1348"/>
      <c r="B159" s="1063">
        <f t="shared" si="83"/>
        <v>0.1</v>
      </c>
      <c r="C159" s="1091">
        <f t="shared" si="83"/>
        <v>9.9999999999999995E-7</v>
      </c>
      <c r="D159" s="1091">
        <f t="shared" si="83"/>
        <v>-3.0000000000000001E-3</v>
      </c>
      <c r="E159" s="1091">
        <f t="shared" si="83"/>
        <v>-1E-3</v>
      </c>
      <c r="F159" s="1068">
        <f t="shared" si="83"/>
        <v>1.5005000000000001E-3</v>
      </c>
      <c r="G159" s="1062">
        <f t="shared" si="83"/>
        <v>1.2000000000000001E-3</v>
      </c>
      <c r="I159" s="296"/>
      <c r="J159" s="458"/>
      <c r="K159" s="457"/>
      <c r="L159" s="458"/>
      <c r="M159" s="458"/>
      <c r="N159" s="296"/>
      <c r="O159" s="296"/>
      <c r="P159" s="1039"/>
      <c r="Q159" s="296"/>
    </row>
    <row r="160" spans="1:17" ht="15.75" customHeight="1" x14ac:dyDescent="0.25">
      <c r="A160" s="1348"/>
      <c r="B160" s="1063">
        <f t="shared" si="83"/>
        <v>1</v>
      </c>
      <c r="C160" s="1091">
        <f t="shared" si="83"/>
        <v>9.9999999999999995E-7</v>
      </c>
      <c r="D160" s="1091">
        <f t="shared" si="83"/>
        <v>-1E-3</v>
      </c>
      <c r="E160" s="1091">
        <f t="shared" si="83"/>
        <v>5.0000000000000001E-3</v>
      </c>
      <c r="F160" s="1068">
        <f t="shared" si="83"/>
        <v>3.0000000000000001E-3</v>
      </c>
      <c r="G160" s="1062">
        <f t="shared" si="83"/>
        <v>1.2E-2</v>
      </c>
      <c r="I160" s="296"/>
      <c r="J160" s="457"/>
      <c r="K160" s="457"/>
      <c r="L160" s="457"/>
      <c r="M160" s="458"/>
      <c r="N160" s="296"/>
      <c r="O160" s="296"/>
      <c r="P160" s="1039"/>
      <c r="Q160" s="296"/>
    </row>
    <row r="161" spans="1:38" ht="13" thickBot="1" x14ac:dyDescent="0.3">
      <c r="A161" s="1349"/>
      <c r="B161" s="1106">
        <f t="shared" si="83"/>
        <v>2</v>
      </c>
      <c r="C161" s="1107">
        <f t="shared" si="83"/>
        <v>9.9999999999999995E-7</v>
      </c>
      <c r="D161" s="1107">
        <f t="shared" si="83"/>
        <v>-6.0000000000000001E-3</v>
      </c>
      <c r="E161" s="1107">
        <f t="shared" si="83"/>
        <v>5.0000000000000001E-3</v>
      </c>
      <c r="F161" s="1108">
        <f t="shared" si="83"/>
        <v>5.4999999999999997E-3</v>
      </c>
      <c r="G161" s="1109">
        <f t="shared" si="83"/>
        <v>2.4E-2</v>
      </c>
      <c r="I161" s="296"/>
      <c r="J161" s="1346"/>
      <c r="K161" s="1346"/>
      <c r="L161" s="1346"/>
      <c r="M161" s="1346"/>
      <c r="N161" s="296"/>
      <c r="O161" s="296"/>
      <c r="P161" s="1039"/>
      <c r="Q161" s="296"/>
    </row>
    <row r="162" spans="1:38" x14ac:dyDescent="0.25">
      <c r="I162" s="296"/>
      <c r="J162" s="457"/>
      <c r="K162" s="457"/>
      <c r="L162" s="457"/>
      <c r="M162" s="458"/>
      <c r="N162" s="296"/>
      <c r="O162" s="296"/>
      <c r="P162" s="1039"/>
      <c r="Q162" s="296"/>
    </row>
    <row r="163" spans="1:38" x14ac:dyDescent="0.25">
      <c r="I163" s="296"/>
      <c r="J163" s="458"/>
      <c r="K163" s="457"/>
      <c r="L163" s="458"/>
      <c r="M163" s="458"/>
      <c r="N163" s="296"/>
      <c r="O163" s="296"/>
      <c r="P163" s="1039"/>
      <c r="Q163" s="296"/>
    </row>
    <row r="164" spans="1:38" ht="13" thickBot="1" x14ac:dyDescent="0.3">
      <c r="I164" s="296"/>
      <c r="J164" s="457"/>
      <c r="K164" s="457"/>
      <c r="L164" s="457"/>
      <c r="M164" s="458"/>
      <c r="N164" s="296"/>
      <c r="O164" s="296"/>
      <c r="P164" s="1039"/>
      <c r="Q164" s="296"/>
    </row>
    <row r="165" spans="1:38" ht="15" customHeight="1" x14ac:dyDescent="0.3">
      <c r="A165" s="1331" t="str">
        <f>ID!B73</f>
        <v>Electrical Safety Analyzer, Merek : Fluke, Model : ESA 615, SN : 4669058</v>
      </c>
      <c r="B165" s="1332"/>
      <c r="C165" s="1332"/>
      <c r="D165" s="1332"/>
      <c r="E165" s="1332"/>
      <c r="F165" s="1332"/>
      <c r="G165" s="1332"/>
      <c r="H165" s="1332"/>
      <c r="I165" s="1332"/>
      <c r="J165" s="1332"/>
      <c r="K165" s="1332"/>
      <c r="L165" s="1333"/>
      <c r="N165" s="1334">
        <f>A178</f>
        <v>9</v>
      </c>
      <c r="O165" s="1335"/>
      <c r="P165" s="1335"/>
      <c r="Q165" s="1335"/>
      <c r="R165" s="1335"/>
      <c r="S165" s="1335"/>
      <c r="T165" s="1335"/>
      <c r="U165" s="1335"/>
      <c r="V165" s="1335"/>
      <c r="W165" s="1335"/>
      <c r="X165" s="1335"/>
      <c r="Y165" s="1336"/>
    </row>
    <row r="166" spans="1:38" ht="14" x14ac:dyDescent="0.3">
      <c r="A166" s="1110" t="s">
        <v>570</v>
      </c>
      <c r="B166" s="1111"/>
      <c r="C166" s="1112"/>
      <c r="D166" s="1113"/>
      <c r="E166" s="1113"/>
      <c r="F166" s="1113"/>
      <c r="G166" s="1113"/>
      <c r="H166" s="1114"/>
      <c r="I166" s="1115">
        <f>C5</f>
        <v>2019</v>
      </c>
      <c r="J166" s="1115">
        <f t="shared" ref="J166:K166" si="84">D5</f>
        <v>2019</v>
      </c>
      <c r="K166" s="1115">
        <f t="shared" si="84"/>
        <v>2020</v>
      </c>
      <c r="L166" s="1116">
        <v>1</v>
      </c>
      <c r="N166" s="1117">
        <v>1</v>
      </c>
      <c r="O166" s="1118" t="s">
        <v>567</v>
      </c>
      <c r="P166" s="1119"/>
      <c r="Q166" s="1120"/>
      <c r="R166" s="1120"/>
      <c r="S166" s="1120"/>
      <c r="T166" s="1120"/>
      <c r="U166" s="1120"/>
      <c r="V166" s="1120"/>
      <c r="W166" s="1120"/>
      <c r="X166" s="1119"/>
      <c r="Y166" s="1121"/>
    </row>
    <row r="167" spans="1:38" ht="14" x14ac:dyDescent="0.3">
      <c r="A167" s="1110" t="s">
        <v>571</v>
      </c>
      <c r="B167" s="1111"/>
      <c r="C167" s="1112"/>
      <c r="D167" s="1113"/>
      <c r="E167" s="1113"/>
      <c r="F167" s="1113"/>
      <c r="G167" s="1113"/>
      <c r="H167" s="1114"/>
      <c r="I167" s="1115">
        <f>K5</f>
        <v>2017</v>
      </c>
      <c r="J167" s="1115">
        <f t="shared" ref="J167:K167" si="85">L5</f>
        <v>2017</v>
      </c>
      <c r="K167" s="1115">
        <f t="shared" si="85"/>
        <v>2019</v>
      </c>
      <c r="L167" s="1116">
        <v>2</v>
      </c>
      <c r="N167" s="1117">
        <v>2</v>
      </c>
      <c r="O167" s="1118" t="s">
        <v>567</v>
      </c>
      <c r="P167" s="1119"/>
      <c r="Q167" s="1120"/>
      <c r="R167" s="1120"/>
      <c r="S167" s="1120"/>
      <c r="T167" s="1120"/>
      <c r="U167" s="1120"/>
      <c r="V167" s="1120"/>
      <c r="W167" s="1120"/>
      <c r="X167" s="1119"/>
      <c r="Y167" s="1121"/>
      <c r="AL167" s="459"/>
    </row>
    <row r="168" spans="1:38" ht="14" x14ac:dyDescent="0.3">
      <c r="A168" s="1110" t="s">
        <v>425</v>
      </c>
      <c r="B168" s="1111"/>
      <c r="C168" s="1112"/>
      <c r="D168" s="1113"/>
      <c r="E168" s="1113"/>
      <c r="F168" s="1113"/>
      <c r="G168" s="1113"/>
      <c r="H168" s="1114"/>
      <c r="I168" s="1115">
        <f>S5</f>
        <v>2018</v>
      </c>
      <c r="J168" s="1115">
        <f t="shared" ref="J168:K168" si="86">T5</f>
        <v>2021</v>
      </c>
      <c r="K168" s="1115">
        <f t="shared" si="86"/>
        <v>2022</v>
      </c>
      <c r="L168" s="1116">
        <v>3</v>
      </c>
      <c r="N168" s="1117">
        <v>3</v>
      </c>
      <c r="O168" s="1118" t="s">
        <v>567</v>
      </c>
      <c r="P168" s="1119"/>
      <c r="Q168" s="1120"/>
      <c r="R168" s="1120"/>
      <c r="S168" s="1120"/>
      <c r="T168" s="1120"/>
      <c r="U168" s="1120"/>
      <c r="V168" s="1120"/>
      <c r="W168" s="1120"/>
      <c r="X168" s="1119"/>
      <c r="Y168" s="1121"/>
      <c r="AL168" s="459"/>
    </row>
    <row r="169" spans="1:38" ht="14" x14ac:dyDescent="0.3">
      <c r="A169" s="1110" t="s">
        <v>572</v>
      </c>
      <c r="B169" s="1111"/>
      <c r="C169" s="1112"/>
      <c r="D169" s="1113"/>
      <c r="E169" s="1113"/>
      <c r="F169" s="1113"/>
      <c r="G169" s="1113"/>
      <c r="H169" s="1114"/>
      <c r="I169" s="1115">
        <f>C36</f>
        <v>2019</v>
      </c>
      <c r="J169" s="1115">
        <f t="shared" ref="J169:K169" si="87">D36</f>
        <v>2019</v>
      </c>
      <c r="K169" s="1115">
        <f t="shared" si="87"/>
        <v>2021</v>
      </c>
      <c r="L169" s="1116">
        <v>4</v>
      </c>
      <c r="N169" s="1117">
        <v>4</v>
      </c>
      <c r="O169" s="1118" t="s">
        <v>567</v>
      </c>
      <c r="P169" s="1119"/>
      <c r="Q169" s="1120"/>
      <c r="R169" s="1120"/>
      <c r="S169" s="1120"/>
      <c r="T169" s="1120"/>
      <c r="U169" s="1120"/>
      <c r="V169" s="1120"/>
      <c r="W169" s="1120"/>
      <c r="X169" s="1119"/>
      <c r="Y169" s="1121"/>
      <c r="AL169" s="459"/>
    </row>
    <row r="170" spans="1:38" ht="14" x14ac:dyDescent="0.3">
      <c r="A170" s="1110" t="s">
        <v>573</v>
      </c>
      <c r="B170" s="1112"/>
      <c r="C170" s="1112"/>
      <c r="D170" s="1113"/>
      <c r="E170" s="1113"/>
      <c r="F170" s="1113"/>
      <c r="G170" s="1113"/>
      <c r="H170" s="1114"/>
      <c r="I170" s="1115">
        <f>K36</f>
        <v>2019</v>
      </c>
      <c r="J170" s="1115">
        <f t="shared" ref="J170:K170" si="88">L36</f>
        <v>2019</v>
      </c>
      <c r="K170" s="1115">
        <f t="shared" si="88"/>
        <v>2021</v>
      </c>
      <c r="L170" s="1116">
        <v>5</v>
      </c>
      <c r="N170" s="1117">
        <v>5</v>
      </c>
      <c r="O170" s="1118" t="s">
        <v>567</v>
      </c>
      <c r="P170" s="1119"/>
      <c r="Q170" s="1120"/>
      <c r="R170" s="1120"/>
      <c r="S170" s="1120"/>
      <c r="T170" s="1120"/>
      <c r="U170" s="1120"/>
      <c r="V170" s="1120"/>
      <c r="W170" s="1120"/>
      <c r="X170" s="1119"/>
      <c r="Y170" s="1121"/>
      <c r="AL170" s="459"/>
    </row>
    <row r="171" spans="1:38" ht="14" x14ac:dyDescent="0.3">
      <c r="A171" s="1110" t="s">
        <v>426</v>
      </c>
      <c r="B171" s="1112"/>
      <c r="C171" s="1112"/>
      <c r="D171" s="1113"/>
      <c r="E171" s="1113"/>
      <c r="F171" s="1113"/>
      <c r="G171" s="1113"/>
      <c r="H171" s="1114"/>
      <c r="I171" s="1115">
        <f>S36</f>
        <v>2018</v>
      </c>
      <c r="J171" s="1115">
        <f t="shared" ref="J171:K171" si="89">T36</f>
        <v>2019</v>
      </c>
      <c r="K171" s="1115">
        <f t="shared" si="89"/>
        <v>2022</v>
      </c>
      <c r="L171" s="1116">
        <v>6</v>
      </c>
      <c r="N171" s="1117">
        <v>6</v>
      </c>
      <c r="O171" s="1118" t="s">
        <v>567</v>
      </c>
      <c r="P171" s="1119"/>
      <c r="Q171" s="1120"/>
      <c r="R171" s="1120"/>
      <c r="S171" s="1120"/>
      <c r="T171" s="1120"/>
      <c r="U171" s="1120"/>
      <c r="V171" s="1120"/>
      <c r="W171" s="1120"/>
      <c r="X171" s="1119"/>
      <c r="Y171" s="1121"/>
      <c r="AL171" s="459"/>
    </row>
    <row r="172" spans="1:38" ht="14" x14ac:dyDescent="0.3">
      <c r="A172" s="1110" t="s">
        <v>427</v>
      </c>
      <c r="B172" s="1112"/>
      <c r="C172" s="1112"/>
      <c r="D172" s="1113"/>
      <c r="E172" s="1113"/>
      <c r="F172" s="1113"/>
      <c r="G172" s="1113"/>
      <c r="H172" s="1114"/>
      <c r="I172" s="1115">
        <f>C67</f>
        <v>2019</v>
      </c>
      <c r="J172" s="1115">
        <f t="shared" ref="J172:K172" si="90">D67</f>
        <v>2020</v>
      </c>
      <c r="K172" s="1115">
        <f t="shared" si="90"/>
        <v>2022</v>
      </c>
      <c r="L172" s="1116">
        <v>7</v>
      </c>
      <c r="N172" s="1117">
        <v>7</v>
      </c>
      <c r="O172" s="1118" t="s">
        <v>567</v>
      </c>
      <c r="P172" s="1119"/>
      <c r="Q172" s="1120"/>
      <c r="R172" s="1120"/>
      <c r="S172" s="1120"/>
      <c r="T172" s="1120"/>
      <c r="U172" s="1120"/>
      <c r="V172" s="1120"/>
      <c r="W172" s="1120"/>
      <c r="X172" s="1119"/>
      <c r="Y172" s="1121"/>
      <c r="AL172" s="459"/>
    </row>
    <row r="173" spans="1:38" ht="14" x14ac:dyDescent="0.3">
      <c r="A173" s="1110" t="s">
        <v>428</v>
      </c>
      <c r="B173" s="1112"/>
      <c r="C173" s="1112"/>
      <c r="D173" s="1113"/>
      <c r="E173" s="1113"/>
      <c r="F173" s="1113"/>
      <c r="G173" s="1113"/>
      <c r="H173" s="1114"/>
      <c r="I173" s="1122">
        <f>K67</f>
        <v>2019</v>
      </c>
      <c r="J173" s="1122">
        <f t="shared" ref="J173:K173" si="91">L67</f>
        <v>2020</v>
      </c>
      <c r="K173" s="1122">
        <f t="shared" si="91"/>
        <v>2022</v>
      </c>
      <c r="L173" s="1116">
        <v>8</v>
      </c>
      <c r="N173" s="1117">
        <v>8</v>
      </c>
      <c r="O173" s="1118" t="s">
        <v>567</v>
      </c>
      <c r="P173" s="1119"/>
      <c r="Q173" s="1120"/>
      <c r="R173" s="1120"/>
      <c r="S173" s="1120"/>
      <c r="T173" s="1120"/>
      <c r="U173" s="1120"/>
      <c r="V173" s="1120"/>
      <c r="W173" s="1120"/>
      <c r="X173" s="1119"/>
      <c r="Y173" s="1121"/>
      <c r="AL173" s="459"/>
    </row>
    <row r="174" spans="1:38" ht="14" x14ac:dyDescent="0.3">
      <c r="A174" s="1110" t="s">
        <v>429</v>
      </c>
      <c r="B174" s="1112"/>
      <c r="C174" s="1112"/>
      <c r="D174" s="1113"/>
      <c r="E174" s="1113"/>
      <c r="F174" s="1113"/>
      <c r="G174" s="1113"/>
      <c r="H174" s="1114"/>
      <c r="I174" s="1122">
        <f>S67</f>
        <v>2019</v>
      </c>
      <c r="J174" s="1122">
        <f t="shared" ref="J174:K174" si="92">T67</f>
        <v>2020</v>
      </c>
      <c r="K174" s="1122">
        <f t="shared" si="92"/>
        <v>2022</v>
      </c>
      <c r="L174" s="1116">
        <v>9</v>
      </c>
      <c r="N174" s="1117">
        <v>9</v>
      </c>
      <c r="O174" s="1118" t="s">
        <v>567</v>
      </c>
      <c r="P174" s="1119"/>
      <c r="Q174" s="1120"/>
      <c r="R174" s="1120"/>
      <c r="S174" s="1120"/>
      <c r="T174" s="1120"/>
      <c r="U174" s="1120"/>
      <c r="V174" s="1120"/>
      <c r="W174" s="1120"/>
      <c r="X174" s="1119"/>
      <c r="Y174" s="1121"/>
      <c r="AL174" s="459"/>
    </row>
    <row r="175" spans="1:38" ht="14" x14ac:dyDescent="0.3">
      <c r="A175" s="1110" t="s">
        <v>473</v>
      </c>
      <c r="B175" s="1112"/>
      <c r="C175" s="1112"/>
      <c r="D175" s="1113"/>
      <c r="E175" s="1113"/>
      <c r="F175" s="1113"/>
      <c r="G175" s="1113"/>
      <c r="H175" s="1114"/>
      <c r="I175" s="1122">
        <f>C98</f>
        <v>2019</v>
      </c>
      <c r="J175" s="1122">
        <f t="shared" ref="J175:K175" si="93">D98</f>
        <v>2019</v>
      </c>
      <c r="K175" s="1122">
        <f t="shared" si="93"/>
        <v>2020</v>
      </c>
      <c r="L175" s="1116">
        <v>10</v>
      </c>
      <c r="M175" s="459"/>
      <c r="N175" s="1117">
        <v>10</v>
      </c>
      <c r="O175" s="1118" t="s">
        <v>567</v>
      </c>
      <c r="P175" s="1119"/>
      <c r="Q175" s="1120"/>
      <c r="R175" s="1120"/>
      <c r="S175" s="1120"/>
      <c r="T175" s="1120"/>
      <c r="U175" s="1120"/>
      <c r="V175" s="1120"/>
      <c r="W175" s="1120"/>
      <c r="X175" s="1119"/>
      <c r="Y175" s="1121"/>
      <c r="AL175" s="459"/>
    </row>
    <row r="176" spans="1:38" ht="14" x14ac:dyDescent="0.3">
      <c r="A176" s="1110" t="s">
        <v>474</v>
      </c>
      <c r="B176" s="1112"/>
      <c r="C176" s="1112"/>
      <c r="D176" s="1113"/>
      <c r="E176" s="1113"/>
      <c r="F176" s="1113"/>
      <c r="G176" s="1113"/>
      <c r="H176" s="1114"/>
      <c r="I176" s="1122">
        <f>K98</f>
        <v>2019</v>
      </c>
      <c r="J176" s="1122">
        <f t="shared" ref="J176:K176" si="94">L98</f>
        <v>2019</v>
      </c>
      <c r="K176" s="1122">
        <f t="shared" si="94"/>
        <v>2020</v>
      </c>
      <c r="L176" s="1116">
        <v>11</v>
      </c>
      <c r="N176" s="1117">
        <v>11</v>
      </c>
      <c r="O176" s="1118" t="s">
        <v>567</v>
      </c>
      <c r="P176" s="1119"/>
      <c r="Q176" s="1120"/>
      <c r="R176" s="1120"/>
      <c r="S176" s="1120"/>
      <c r="T176" s="1120"/>
      <c r="U176" s="1120"/>
      <c r="V176" s="1120"/>
      <c r="W176" s="1120"/>
      <c r="X176" s="1119"/>
      <c r="Y176" s="1121"/>
      <c r="AL176" s="459"/>
    </row>
    <row r="177" spans="1:50" ht="14" x14ac:dyDescent="0.3">
      <c r="A177" s="1110" t="s">
        <v>475</v>
      </c>
      <c r="B177" s="1112"/>
      <c r="C177" s="1112"/>
      <c r="D177" s="1113"/>
      <c r="E177" s="1113"/>
      <c r="F177" s="1113"/>
      <c r="G177" s="1113"/>
      <c r="H177" s="1114"/>
      <c r="I177" s="1122">
        <f>S98</f>
        <v>2019</v>
      </c>
      <c r="J177" s="1122">
        <f t="shared" ref="J177:K177" si="95">T98</f>
        <v>2019</v>
      </c>
      <c r="K177" s="1122">
        <f t="shared" si="95"/>
        <v>2020</v>
      </c>
      <c r="L177" s="1116">
        <v>12</v>
      </c>
      <c r="N177" s="1117">
        <v>12</v>
      </c>
      <c r="O177" s="1118" t="s">
        <v>567</v>
      </c>
      <c r="P177" s="1119"/>
      <c r="Q177" s="1120"/>
      <c r="R177" s="1120"/>
      <c r="S177" s="1120"/>
      <c r="T177" s="1120"/>
      <c r="U177" s="1120"/>
      <c r="V177" s="1120"/>
      <c r="W177" s="1120"/>
      <c r="X177" s="1119"/>
      <c r="Y177" s="1121"/>
      <c r="AL177" s="459"/>
    </row>
    <row r="178" spans="1:50" ht="15.75" customHeight="1" thickBot="1" x14ac:dyDescent="0.35">
      <c r="A178" s="1337">
        <f>VLOOKUP(A165,A166:L177,12,(FALSE))</f>
        <v>9</v>
      </c>
      <c r="B178" s="1338"/>
      <c r="C178" s="1338"/>
      <c r="D178" s="1338"/>
      <c r="E178" s="1338"/>
      <c r="F178" s="1338"/>
      <c r="G178" s="1338"/>
      <c r="H178" s="1338"/>
      <c r="I178" s="1338"/>
      <c r="J178" s="1338"/>
      <c r="K178" s="1338"/>
      <c r="L178" s="1339"/>
      <c r="O178" s="1123" t="str">
        <f>VLOOKUP(N165,N166:Y177,2,FALSE)</f>
        <v>Hasil pengukuran keselamatan listrik tertelusur ke Satuan Internasional ( SI ) melalui PT. Kaliman</v>
      </c>
      <c r="P178" s="1124"/>
      <c r="Q178" s="1124"/>
      <c r="R178" s="1124"/>
      <c r="S178" s="1124"/>
      <c r="T178" s="1124"/>
      <c r="U178" s="1124"/>
      <c r="V178" s="1124"/>
      <c r="W178" s="1124"/>
      <c r="X178" s="1124"/>
      <c r="Y178" s="1125"/>
      <c r="AL178" s="459"/>
    </row>
    <row r="179" spans="1:50" x14ac:dyDescent="0.25">
      <c r="AL179" s="459"/>
    </row>
    <row r="180" spans="1:50" ht="14" x14ac:dyDescent="0.3">
      <c r="A180" s="1126"/>
      <c r="AL180" s="459"/>
    </row>
    <row r="181" spans="1:50" x14ac:dyDescent="0.25">
      <c r="AA181" s="459"/>
      <c r="AB181" s="459"/>
      <c r="AC181" s="459"/>
      <c r="AD181" s="459"/>
      <c r="AE181" s="459"/>
      <c r="AF181" s="459"/>
      <c r="AG181" s="459"/>
      <c r="AH181" s="459"/>
      <c r="AI181" s="459"/>
      <c r="AJ181" s="459"/>
      <c r="AK181" s="459"/>
      <c r="AL181" s="459"/>
      <c r="AM181" s="459"/>
      <c r="AN181" s="459"/>
      <c r="AO181" s="459"/>
      <c r="AP181" s="459"/>
      <c r="AQ181" s="459"/>
      <c r="AR181" s="459"/>
      <c r="AS181" s="459"/>
      <c r="AT181" s="459"/>
      <c r="AU181" s="459"/>
      <c r="AV181" s="459"/>
      <c r="AW181" s="459"/>
      <c r="AX181" s="459"/>
    </row>
    <row r="214" spans="27:31" x14ac:dyDescent="0.25">
      <c r="AA214" s="302"/>
      <c r="AB214" s="296"/>
      <c r="AC214" s="296"/>
      <c r="AD214" s="296"/>
      <c r="AE214" s="296"/>
    </row>
    <row r="215" spans="27:31" x14ac:dyDescent="0.25">
      <c r="AA215" s="302"/>
      <c r="AB215" s="296"/>
      <c r="AC215" s="296"/>
      <c r="AD215" s="296"/>
      <c r="AE215" s="296"/>
    </row>
    <row r="216" spans="27:31" x14ac:dyDescent="0.25">
      <c r="AA216" s="302"/>
      <c r="AB216" s="296"/>
      <c r="AC216" s="296"/>
      <c r="AD216" s="296"/>
      <c r="AE216" s="296"/>
    </row>
    <row r="217" spans="27:31" x14ac:dyDescent="0.25">
      <c r="AA217" s="302"/>
      <c r="AB217" s="296"/>
      <c r="AC217" s="296"/>
      <c r="AD217" s="296"/>
      <c r="AE217" s="296"/>
    </row>
    <row r="218" spans="27:31" x14ac:dyDescent="0.25">
      <c r="AA218" s="302"/>
      <c r="AB218" s="296"/>
      <c r="AC218" s="296"/>
      <c r="AD218" s="296"/>
      <c r="AE218" s="296"/>
    </row>
    <row r="219" spans="27:31" ht="13" thickBot="1" x14ac:dyDescent="0.3">
      <c r="AA219" s="303"/>
      <c r="AB219" s="304"/>
      <c r="AC219" s="304"/>
      <c r="AD219" s="304"/>
      <c r="AE219" s="304"/>
    </row>
  </sheetData>
  <mergeCells count="107">
    <mergeCell ref="B132:G132"/>
    <mergeCell ref="B133:G133"/>
    <mergeCell ref="B134:E134"/>
    <mergeCell ref="I134:L134"/>
    <mergeCell ref="N134:N136"/>
    <mergeCell ref="O134:O136"/>
    <mergeCell ref="A165:L165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tabSelected="1" view="pageBreakPreview" topLeftCell="A58" zoomScale="93" zoomScaleNormal="93" zoomScaleSheetLayoutView="93" workbookViewId="0">
      <selection activeCell="B62" sqref="B62"/>
    </sheetView>
  </sheetViews>
  <sheetFormatPr defaultColWidth="9.36328125" defaultRowHeight="13" x14ac:dyDescent="0.25"/>
  <cols>
    <col min="1" max="2" width="4.36328125" style="163" customWidth="1"/>
    <col min="3" max="3" width="17" style="163" customWidth="1"/>
    <col min="4" max="4" width="17.54296875" style="163" customWidth="1"/>
    <col min="5" max="5" width="14.453125" style="163" customWidth="1"/>
    <col min="6" max="6" width="15.36328125" style="163" customWidth="1"/>
    <col min="7" max="8" width="11" style="163" customWidth="1"/>
    <col min="9" max="9" width="9.453125" style="163" customWidth="1"/>
    <col min="10" max="10" width="6.453125" style="163" customWidth="1"/>
    <col min="11" max="11" width="11.36328125" style="163" customWidth="1"/>
    <col min="12" max="12" width="10.36328125" style="710" customWidth="1"/>
    <col min="13" max="13" width="4.6328125" style="710" customWidth="1"/>
    <col min="14" max="14" width="13.36328125" style="644" customWidth="1"/>
    <col min="15" max="15" width="5.36328125" style="644" customWidth="1"/>
    <col min="16" max="16" width="6.54296875" style="711" customWidth="1"/>
    <col min="17" max="17" width="6.36328125" style="633" customWidth="1"/>
    <col min="18" max="18" width="9.36328125" style="633"/>
    <col min="19" max="19" width="13.453125" style="633" customWidth="1"/>
    <col min="20" max="22" width="9.36328125" style="633"/>
    <col min="23" max="23" width="10.6328125" style="633" customWidth="1"/>
    <col min="24" max="28" width="9.36328125" style="633"/>
    <col min="29" max="29" width="11" style="633" bestFit="1" customWidth="1"/>
    <col min="30" max="32" width="9.36328125" style="633"/>
    <col min="33" max="33" width="13" style="633" customWidth="1"/>
    <col min="34" max="34" width="12" style="633" customWidth="1"/>
    <col min="35" max="16384" width="9.36328125" style="633"/>
  </cols>
  <sheetData>
    <row r="1" spans="1:17" ht="18.5" x14ac:dyDescent="0.25">
      <c r="A1" s="1286" t="s">
        <v>329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631"/>
      <c r="O1" s="632"/>
      <c r="P1" s="632"/>
    </row>
    <row r="2" spans="1:17" ht="17" x14ac:dyDescent="0.25">
      <c r="A2" s="1356" t="str">
        <f>ID!H2&amp;PENYELIA!N2&amp;ID!I2</f>
        <v>Nomor Sertifikat : 19 / 10 / III - 21 / E - 003.30 DL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634" t="s">
        <v>55</v>
      </c>
      <c r="O2" s="635"/>
      <c r="P2" s="635"/>
    </row>
    <row r="3" spans="1:17" ht="10.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7"/>
      <c r="M3" s="377"/>
      <c r="N3" s="636"/>
      <c r="O3" s="636"/>
      <c r="P3" s="700"/>
      <c r="Q3" s="637"/>
    </row>
    <row r="4" spans="1:17" ht="15" customHeight="1" x14ac:dyDescent="0.25">
      <c r="A4" s="253" t="s">
        <v>2</v>
      </c>
      <c r="B4" s="253"/>
      <c r="C4" s="254"/>
      <c r="D4" s="255" t="str">
        <f>$P$19&amp;ID!E4</f>
        <v>: MED Cardio</v>
      </c>
      <c r="F4" s="253"/>
      <c r="G4" s="253"/>
      <c r="H4" s="253"/>
      <c r="I4" s="253"/>
      <c r="J4" s="253"/>
      <c r="K4" s="253"/>
      <c r="L4" s="377"/>
      <c r="M4" s="377"/>
      <c r="N4" s="636"/>
      <c r="O4" s="636"/>
      <c r="P4" s="700"/>
      <c r="Q4" s="637"/>
    </row>
    <row r="5" spans="1:17" ht="14.5" x14ac:dyDescent="0.25">
      <c r="A5" s="253" t="s">
        <v>5</v>
      </c>
      <c r="B5" s="253"/>
      <c r="C5" s="254"/>
      <c r="D5" s="255" t="str">
        <f>$P$19&amp;ID!E5</f>
        <v>: ECG - 3303B</v>
      </c>
      <c r="F5" s="253"/>
      <c r="G5" s="253"/>
      <c r="H5" s="253"/>
      <c r="I5" s="253"/>
      <c r="J5" s="253"/>
      <c r="K5" s="253"/>
      <c r="L5" s="377"/>
      <c r="M5" s="377"/>
      <c r="N5" s="636"/>
      <c r="O5" s="636"/>
      <c r="P5" s="700"/>
      <c r="Q5" s="637"/>
    </row>
    <row r="6" spans="1:17" ht="14.25" customHeight="1" x14ac:dyDescent="0.25">
      <c r="A6" s="253" t="s">
        <v>6</v>
      </c>
      <c r="B6" s="253"/>
      <c r="C6" s="254"/>
      <c r="D6" s="255" t="str">
        <f>$P$19&amp;ID!E6</f>
        <v>: ECG - 3303B1701075</v>
      </c>
      <c r="F6" s="253"/>
      <c r="G6" s="253"/>
      <c r="H6" s="253"/>
      <c r="I6" s="253"/>
      <c r="J6" s="253"/>
      <c r="K6" s="253"/>
      <c r="L6" s="377"/>
      <c r="M6" s="377"/>
      <c r="N6" s="636"/>
      <c r="O6" s="636"/>
      <c r="P6" s="700"/>
      <c r="Q6" s="637"/>
    </row>
    <row r="7" spans="1:17" ht="14.25" customHeight="1" x14ac:dyDescent="0.25">
      <c r="A7" s="253" t="str">
        <f>ID!A7</f>
        <v>Tanggal Penerimaan Alat</v>
      </c>
      <c r="B7" s="253"/>
      <c r="C7" s="254"/>
      <c r="D7" s="255" t="str">
        <f>$P$19&amp;ID!E7</f>
        <v>: 25 Maret 2021</v>
      </c>
      <c r="F7" s="253"/>
      <c r="G7" s="253"/>
      <c r="H7" s="253"/>
      <c r="I7" s="253"/>
      <c r="J7" s="253"/>
      <c r="K7" s="253"/>
      <c r="L7" s="377"/>
      <c r="M7" s="377"/>
      <c r="N7" s="636"/>
      <c r="O7" s="636"/>
      <c r="P7" s="700"/>
      <c r="Q7" s="637"/>
    </row>
    <row r="8" spans="1:17" ht="14.5" x14ac:dyDescent="0.25">
      <c r="A8" s="253" t="str">
        <f>ID!A8</f>
        <v>Tanggal Kalibrasi</v>
      </c>
      <c r="B8" s="253"/>
      <c r="C8" s="254"/>
      <c r="D8" s="255" t="str">
        <f>$P$19&amp;ID!E8</f>
        <v>: 25 Maret 2021</v>
      </c>
      <c r="F8" s="253"/>
      <c r="G8" s="253"/>
      <c r="H8" s="253"/>
      <c r="I8" s="253"/>
      <c r="J8" s="253"/>
      <c r="K8" s="253"/>
      <c r="L8" s="377"/>
      <c r="M8" s="377"/>
      <c r="N8" s="636"/>
      <c r="O8" s="636"/>
      <c r="P8" s="700"/>
      <c r="Q8" s="637"/>
    </row>
    <row r="9" spans="1:17" ht="14.5" x14ac:dyDescent="0.25">
      <c r="A9" s="253" t="str">
        <f>ID!A9</f>
        <v>Tempat Kalibrasi</v>
      </c>
      <c r="B9" s="253"/>
      <c r="C9" s="254"/>
      <c r="D9" s="255" t="str">
        <f>$P$19&amp;ID!E9</f>
        <v>: Poli Geriatri</v>
      </c>
      <c r="F9" s="253"/>
      <c r="G9" s="253"/>
      <c r="H9" s="253"/>
      <c r="I9" s="253"/>
      <c r="J9" s="253"/>
      <c r="K9" s="253"/>
      <c r="L9" s="377"/>
      <c r="M9" s="377"/>
      <c r="N9" s="636"/>
      <c r="O9" s="636"/>
      <c r="P9" s="700"/>
      <c r="Q9" s="637"/>
    </row>
    <row r="10" spans="1:17" ht="14.5" x14ac:dyDescent="0.25">
      <c r="A10" s="253" t="s">
        <v>9</v>
      </c>
      <c r="B10" s="253"/>
      <c r="C10" s="254"/>
      <c r="D10" s="255" t="str">
        <f>$P$19&amp;ID!E10</f>
        <v>: Poli Geriatri</v>
      </c>
      <c r="F10" s="253"/>
      <c r="G10" s="253"/>
      <c r="H10" s="253"/>
      <c r="I10" s="253"/>
      <c r="J10" s="253"/>
      <c r="K10" s="253"/>
      <c r="L10" s="377"/>
      <c r="M10" s="377"/>
      <c r="N10" s="636"/>
      <c r="O10" s="636"/>
      <c r="P10" s="700"/>
      <c r="Q10" s="637"/>
    </row>
    <row r="11" spans="1:17" ht="14.5" x14ac:dyDescent="0.25">
      <c r="A11" s="253" t="s">
        <v>127</v>
      </c>
      <c r="B11" s="253"/>
      <c r="C11" s="254"/>
      <c r="D11" s="255" t="str">
        <f>$P$19&amp;ID!E11</f>
        <v>: MK.020-18</v>
      </c>
      <c r="F11" s="253"/>
      <c r="G11" s="253"/>
      <c r="H11" s="253"/>
      <c r="I11" s="253"/>
      <c r="J11" s="253"/>
      <c r="K11" s="253"/>
      <c r="L11" s="377"/>
      <c r="M11" s="377"/>
      <c r="N11" s="636"/>
      <c r="O11" s="636"/>
      <c r="P11" s="700"/>
      <c r="Q11" s="637"/>
    </row>
    <row r="12" spans="1:17" ht="15" customHeight="1" x14ac:dyDescent="0.25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7"/>
      <c r="M12" s="377"/>
      <c r="N12" s="636"/>
      <c r="O12" s="636"/>
      <c r="P12" s="700"/>
      <c r="Q12" s="638" t="s">
        <v>55</v>
      </c>
    </row>
    <row r="13" spans="1:17" ht="14.5" x14ac:dyDescent="0.25">
      <c r="A13" s="256" t="s">
        <v>579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7"/>
      <c r="M13" s="377"/>
      <c r="N13" s="636"/>
      <c r="O13" s="636"/>
      <c r="P13" s="700"/>
      <c r="Q13" s="100"/>
    </row>
    <row r="14" spans="1:17" ht="15" customHeight="1" x14ac:dyDescent="0.25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7"/>
      <c r="M14" s="377"/>
      <c r="N14" s="636"/>
      <c r="O14" s="636"/>
      <c r="P14" s="700"/>
      <c r="Q14" s="110"/>
    </row>
    <row r="15" spans="1:17" ht="14.5" x14ac:dyDescent="0.25">
      <c r="A15" s="253"/>
      <c r="B15" s="253" t="s">
        <v>331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7"/>
      <c r="M15" s="377"/>
      <c r="N15" s="636"/>
      <c r="O15" s="636"/>
      <c r="P15" s="700"/>
      <c r="Q15" s="106"/>
    </row>
    <row r="16" spans="1:17" ht="14.5" x14ac:dyDescent="0.25">
      <c r="A16" s="253"/>
      <c r="B16" s="166" t="s">
        <v>18</v>
      </c>
      <c r="C16" s="253"/>
      <c r="D16" s="260" t="str">
        <f>IFERROR(P19&amp;ESA!N144,"-")</f>
        <v>:( 219.8 ± 2.6 ) Volt</v>
      </c>
      <c r="E16" s="261"/>
      <c r="F16" s="261"/>
      <c r="G16" s="262"/>
      <c r="H16" s="259"/>
      <c r="I16" s="253"/>
      <c r="J16" s="253"/>
      <c r="K16" s="253"/>
      <c r="L16" s="377"/>
      <c r="M16" s="377"/>
      <c r="N16" s="636"/>
      <c r="O16" s="636"/>
      <c r="P16" s="700"/>
      <c r="Q16" s="106"/>
    </row>
    <row r="17" spans="1:41" ht="9" customHeight="1" x14ac:dyDescent="0.25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7"/>
      <c r="M17" s="377"/>
      <c r="N17" s="636"/>
      <c r="O17" s="636"/>
      <c r="P17" s="700"/>
      <c r="Q17" s="106"/>
    </row>
    <row r="18" spans="1:41" ht="14.5" x14ac:dyDescent="0.25">
      <c r="A18" s="256" t="s">
        <v>580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7"/>
      <c r="M18" s="377"/>
      <c r="N18" s="636"/>
      <c r="O18" s="636"/>
      <c r="P18" s="711" t="s">
        <v>55</v>
      </c>
      <c r="AE18" s="633" t="s">
        <v>55</v>
      </c>
    </row>
    <row r="19" spans="1:41" ht="14.5" x14ac:dyDescent="0.25">
      <c r="A19" s="253"/>
      <c r="B19" s="253" t="s">
        <v>23</v>
      </c>
      <c r="C19" s="254"/>
      <c r="D19" s="253" t="str">
        <f>P19&amp;Q12&amp;ID!E19</f>
        <v>: Baik</v>
      </c>
      <c r="F19" s="253"/>
      <c r="G19" s="253"/>
      <c r="H19" s="253"/>
      <c r="I19" s="253"/>
      <c r="J19" s="253"/>
      <c r="K19" s="253"/>
      <c r="L19" s="377"/>
      <c r="M19" s="377"/>
      <c r="N19" s="636"/>
      <c r="O19" s="636"/>
      <c r="P19" s="953" t="s">
        <v>3</v>
      </c>
      <c r="Q19" s="637"/>
    </row>
    <row r="20" spans="1:41" ht="14.5" x14ac:dyDescent="0.25">
      <c r="A20" s="253"/>
      <c r="B20" s="253" t="s">
        <v>26</v>
      </c>
      <c r="C20" s="254"/>
      <c r="D20" s="253" t="str">
        <f>P19&amp;Q12&amp;ID!E20</f>
        <v>: Baik</v>
      </c>
      <c r="F20" s="253"/>
      <c r="G20" s="253"/>
      <c r="H20" s="253"/>
      <c r="I20" s="253"/>
      <c r="J20" s="253"/>
      <c r="K20" s="253"/>
      <c r="L20" s="377"/>
      <c r="M20" s="377"/>
      <c r="N20" s="636"/>
      <c r="O20" s="636"/>
      <c r="P20" s="701">
        <f>IF(ID!E19="Baik",5,"0")</f>
        <v>5</v>
      </c>
      <c r="Q20" s="637"/>
      <c r="R20" s="1167" t="s">
        <v>561</v>
      </c>
      <c r="S20" s="1435" t="s">
        <v>58</v>
      </c>
      <c r="T20" s="149"/>
      <c r="U20" s="890" t="s">
        <v>562</v>
      </c>
      <c r="X20" s="149"/>
      <c r="Y20" s="1437" t="str">
        <f>IF(D16="-",Y23,IF(I25="-",Y24,IF(OR(I27="-",R25=U22),Y21,IF(OR(U27&gt;V27,C27=Y29),"",IF(I27&gt;K27,Y22,"")))))</f>
        <v>Alat tidak boleh digunakan pada instalasi tanpa dilengkapi grounding</v>
      </c>
      <c r="Z20" s="1437"/>
      <c r="AA20" s="1437"/>
      <c r="AB20" s="1437"/>
      <c r="AC20" s="1437"/>
      <c r="AD20" s="1437"/>
      <c r="AE20" s="1437"/>
      <c r="AF20" s="1437"/>
      <c r="AG20" s="1437"/>
    </row>
    <row r="21" spans="1:41" ht="15" customHeight="1" x14ac:dyDescent="0.25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7"/>
      <c r="M21" s="377"/>
      <c r="N21" s="636"/>
      <c r="O21" s="636"/>
      <c r="P21" s="701">
        <f>IF(ID!E20="Baik",5,"0")</f>
        <v>5</v>
      </c>
      <c r="Q21" s="637"/>
      <c r="R21" s="1167"/>
      <c r="S21" s="1175"/>
      <c r="T21" s="149"/>
      <c r="U21" s="890" t="s">
        <v>131</v>
      </c>
      <c r="X21" s="149"/>
      <c r="Y21" s="1431" t="s">
        <v>559</v>
      </c>
      <c r="Z21" s="1431"/>
      <c r="AA21" s="1431"/>
      <c r="AB21" s="1431"/>
      <c r="AC21" s="1431"/>
      <c r="AD21" s="1431"/>
      <c r="AE21" s="1431"/>
      <c r="AF21" s="1431"/>
      <c r="AG21" s="1431"/>
    </row>
    <row r="22" spans="1:41" ht="14.5" x14ac:dyDescent="0.25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7"/>
      <c r="M22" s="377"/>
      <c r="N22" s="636"/>
      <c r="O22" s="636"/>
      <c r="P22" s="702">
        <f>SUM(P20:P21)</f>
        <v>10</v>
      </c>
      <c r="Q22" s="637"/>
      <c r="R22" s="946">
        <f>IF(OR(T27="",C27=Y29,R25=U22),I27,IF(I27&gt;K27,U27,I27))</f>
        <v>17.186235062563409</v>
      </c>
      <c r="S22" s="904">
        <f>IF(OR(T27="",C27=Y29,R25=U22),K27,IF(I27&gt;K27,V27,K27))</f>
        <v>100</v>
      </c>
      <c r="T22" s="149"/>
      <c r="U22" s="890" t="s">
        <v>132</v>
      </c>
      <c r="X22" s="149"/>
      <c r="Y22" s="1431" t="s">
        <v>560</v>
      </c>
      <c r="Z22" s="1431"/>
      <c r="AA22" s="1431"/>
      <c r="AB22" s="1431"/>
      <c r="AC22" s="1431"/>
      <c r="AD22" s="1431"/>
      <c r="AE22" s="1431"/>
      <c r="AF22" s="1431"/>
      <c r="AG22" s="1431"/>
    </row>
    <row r="23" spans="1:41" s="639" customFormat="1" ht="12.75" customHeight="1" x14ac:dyDescent="0.25">
      <c r="A23" s="640"/>
      <c r="B23" s="1411" t="s">
        <v>133</v>
      </c>
      <c r="C23" s="1384" t="s">
        <v>30</v>
      </c>
      <c r="D23" s="1385"/>
      <c r="E23" s="1385"/>
      <c r="F23" s="1385"/>
      <c r="G23" s="1385"/>
      <c r="H23" s="1386"/>
      <c r="I23" s="1384" t="s">
        <v>31</v>
      </c>
      <c r="J23" s="1386"/>
      <c r="K23" s="1384" t="s">
        <v>134</v>
      </c>
      <c r="L23" s="1386"/>
      <c r="M23" s="440"/>
      <c r="N23" s="641"/>
      <c r="O23" s="641"/>
      <c r="P23" s="703"/>
      <c r="Q23" s="642"/>
      <c r="S23" s="149"/>
      <c r="T23" s="149"/>
      <c r="U23" s="149"/>
      <c r="V23" s="149"/>
      <c r="W23" s="149"/>
      <c r="X23" s="149"/>
      <c r="Y23" s="947" t="s">
        <v>463</v>
      </c>
      <c r="Z23" s="948"/>
      <c r="AA23" s="948"/>
      <c r="AB23" s="948"/>
      <c r="AC23" s="948"/>
      <c r="AD23" s="948"/>
      <c r="AE23" s="948"/>
      <c r="AF23" s="948"/>
      <c r="AG23" s="949"/>
    </row>
    <row r="24" spans="1:41" s="639" customFormat="1" ht="14.5" x14ac:dyDescent="0.25">
      <c r="A24" s="640"/>
      <c r="B24" s="1412"/>
      <c r="C24" s="1387"/>
      <c r="D24" s="1388"/>
      <c r="E24" s="1388"/>
      <c r="F24" s="1388"/>
      <c r="G24" s="1388"/>
      <c r="H24" s="1389"/>
      <c r="I24" s="1387"/>
      <c r="J24" s="1389"/>
      <c r="K24" s="1387" t="s">
        <v>135</v>
      </c>
      <c r="L24" s="1389"/>
      <c r="M24" s="440"/>
      <c r="N24" s="641"/>
      <c r="O24" s="641"/>
      <c r="P24" s="703"/>
      <c r="Q24" s="642"/>
      <c r="S24" s="149"/>
      <c r="T24" s="149"/>
      <c r="U24" s="149"/>
      <c r="V24" s="149"/>
      <c r="W24" s="149"/>
      <c r="X24" s="149"/>
      <c r="Y24" s="947" t="s">
        <v>581</v>
      </c>
      <c r="Z24" s="948"/>
      <c r="AA24" s="948"/>
      <c r="AB24" s="948"/>
      <c r="AC24" s="948"/>
      <c r="AD24" s="948"/>
      <c r="AE24" s="948"/>
      <c r="AF24" s="948"/>
      <c r="AG24" s="949"/>
      <c r="AJ24" s="651"/>
      <c r="AK24" s="651"/>
    </row>
    <row r="25" spans="1:41" ht="15.5" x14ac:dyDescent="0.3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 t="str">
        <f>ESA!P138</f>
        <v>OL</v>
      </c>
      <c r="J25" s="704" t="str">
        <f>IF(I25="-","",IF(I25="OL","","MΩ"))</f>
        <v/>
      </c>
      <c r="K25" s="268" t="str">
        <f>ID!K25</f>
        <v>&gt; 2</v>
      </c>
      <c r="L25" s="375" t="s">
        <v>34</v>
      </c>
      <c r="M25" s="416"/>
      <c r="N25" s="636"/>
      <c r="O25" s="705"/>
      <c r="P25" s="944">
        <f>IF(OR(I25="-",I25="OL",I25="NC",I25="OR",I25&gt;K25),10,0)</f>
        <v>10</v>
      </c>
      <c r="Q25" s="643"/>
      <c r="R25" s="1436" t="str">
        <f>IF(I27="-",U22,ID!R25)</f>
        <v>G</v>
      </c>
      <c r="S25" s="1436"/>
      <c r="T25" s="1202" t="s">
        <v>43</v>
      </c>
      <c r="U25" s="1202" t="s">
        <v>149</v>
      </c>
      <c r="V25" s="1202" t="s">
        <v>58</v>
      </c>
      <c r="W25" s="149"/>
      <c r="X25" s="149"/>
      <c r="Y25" s="1432" t="s">
        <v>423</v>
      </c>
      <c r="Z25" s="1433"/>
      <c r="AA25" s="1433"/>
      <c r="AB25" s="1433"/>
      <c r="AC25" s="1433"/>
      <c r="AD25" s="1433"/>
      <c r="AE25" s="1434"/>
      <c r="AF25" s="910"/>
      <c r="AG25" s="910"/>
      <c r="AJ25" s="950"/>
      <c r="AK25" s="951"/>
      <c r="AL25" s="800"/>
    </row>
    <row r="26" spans="1:41" ht="16.5" customHeight="1" x14ac:dyDescent="0.3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54" t="str">
        <f>ESA!P139</f>
        <v>OL</v>
      </c>
      <c r="J26" s="704" t="str">
        <f>ID!J26</f>
        <v/>
      </c>
      <c r="K26" s="955">
        <f>IF(C26=Y26,AE26,AE27)</f>
        <v>0.2</v>
      </c>
      <c r="L26" s="375" t="s">
        <v>38</v>
      </c>
      <c r="M26" s="416"/>
      <c r="N26" s="636"/>
      <c r="O26" s="705"/>
      <c r="P26" s="944">
        <f>IF(OR(I26="-",I26="OL",I26="NC",I26="OR",I26&lt;=K26,C27=Y29),10,0)</f>
        <v>10</v>
      </c>
      <c r="Q26" s="643"/>
      <c r="R26" s="1436"/>
      <c r="S26" s="1436"/>
      <c r="T26" s="1202"/>
      <c r="U26" s="1202"/>
      <c r="V26" s="1202"/>
      <c r="W26" s="149"/>
      <c r="X26" s="149"/>
      <c r="Y26" s="911" t="s">
        <v>137</v>
      </c>
      <c r="Z26" s="912"/>
      <c r="AA26" s="912"/>
      <c r="AB26" s="912"/>
      <c r="AC26" s="912"/>
      <c r="AD26" s="913"/>
      <c r="AE26" s="914">
        <v>0.2</v>
      </c>
      <c r="AF26" s="910" t="s">
        <v>563</v>
      </c>
      <c r="AG26" s="915"/>
      <c r="AJ26" s="950"/>
      <c r="AK26" s="951"/>
      <c r="AL26" s="801"/>
      <c r="AN26" s="706"/>
      <c r="AO26" s="707"/>
    </row>
    <row r="27" spans="1:41" ht="15.5" x14ac:dyDescent="0.3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265"/>
      <c r="H27" s="265"/>
      <c r="I27" s="266">
        <f>ESA!P140</f>
        <v>651.2131948333581</v>
      </c>
      <c r="J27" s="704" t="str">
        <f>IF(PENYELIA!I27="-","",IF(PENYELIA!I27="OL","","µA"))</f>
        <v>µA</v>
      </c>
      <c r="K27" s="906">
        <f>ID!K27</f>
        <v>500</v>
      </c>
      <c r="L27" s="375" t="s">
        <v>43</v>
      </c>
      <c r="M27" s="416"/>
      <c r="N27" s="636"/>
      <c r="O27" s="705"/>
      <c r="P27" s="944">
        <f>IF(I27="",0,IF(I27="-",0,IF(R22&gt;=S22,"OVER",IF(I27&gt;=K27,0,IF(I27&lt;=K27,10)))))</f>
        <v>0</v>
      </c>
      <c r="R27" s="890" t="s">
        <v>557</v>
      </c>
      <c r="S27" s="891" t="s">
        <v>558</v>
      </c>
      <c r="T27" s="903">
        <f>ID!T27</f>
        <v>12</v>
      </c>
      <c r="U27" s="946">
        <f>ESA!P142</f>
        <v>17.186235062563409</v>
      </c>
      <c r="V27" s="902">
        <v>100</v>
      </c>
      <c r="W27" s="149"/>
      <c r="X27" s="149"/>
      <c r="Y27" s="916" t="s">
        <v>181</v>
      </c>
      <c r="Z27" s="917"/>
      <c r="AA27" s="917"/>
      <c r="AB27" s="917"/>
      <c r="AC27" s="917"/>
      <c r="AD27" s="918"/>
      <c r="AE27" s="914">
        <v>0.3</v>
      </c>
      <c r="AF27" s="910" t="s">
        <v>564</v>
      </c>
      <c r="AG27" s="915"/>
      <c r="AJ27" s="950"/>
      <c r="AK27" s="951"/>
      <c r="AL27" s="800"/>
      <c r="AN27" s="708"/>
      <c r="AO27" s="709"/>
    </row>
    <row r="28" spans="1:41" ht="15.5" x14ac:dyDescent="0.3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24.558641571526138</v>
      </c>
      <c r="J28" s="704" t="str">
        <f>IF(I28="-","",IF(I28="OL","","µA"))</f>
        <v>µA</v>
      </c>
      <c r="K28" s="906">
        <v>50</v>
      </c>
      <c r="L28" s="375" t="s">
        <v>43</v>
      </c>
      <c r="M28" s="416"/>
      <c r="N28" s="636"/>
      <c r="O28" s="705"/>
      <c r="P28" s="944">
        <f>IF(I28="-",0,IF(I28&lt;=K28,10,IF(I28&gt;=K28,"OVER")))</f>
        <v>10</v>
      </c>
      <c r="Q28" s="643"/>
      <c r="W28" s="149"/>
      <c r="X28" s="149"/>
      <c r="Y28" s="919" t="s">
        <v>138</v>
      </c>
      <c r="Z28" s="920"/>
      <c r="AA28" s="920"/>
      <c r="AB28" s="920"/>
      <c r="AC28" s="920"/>
      <c r="AD28" s="918"/>
      <c r="AE28" s="914">
        <v>500</v>
      </c>
      <c r="AF28" s="915"/>
      <c r="AG28" s="915"/>
      <c r="AJ28" s="950"/>
      <c r="AK28" s="951"/>
      <c r="AN28" s="702"/>
    </row>
    <row r="29" spans="1:41" ht="15" customHeight="1" x14ac:dyDescent="0.25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7"/>
      <c r="M29" s="377"/>
      <c r="N29" s="636"/>
      <c r="O29" s="636"/>
      <c r="P29" s="945">
        <f>IF(P27="OVER",0,IF(P28="OVER",0,SUM(P25:P28)))</f>
        <v>30</v>
      </c>
      <c r="Q29" s="637"/>
      <c r="S29" s="149"/>
      <c r="T29" s="149"/>
      <c r="U29" s="149"/>
      <c r="V29" s="149"/>
      <c r="W29" s="149"/>
      <c r="X29" s="149"/>
      <c r="Y29" s="919" t="s">
        <v>184</v>
      </c>
      <c r="Z29" s="920"/>
      <c r="AA29" s="920"/>
      <c r="AB29" s="920"/>
      <c r="AC29" s="920"/>
      <c r="AD29" s="918"/>
      <c r="AE29" s="914">
        <v>100</v>
      </c>
      <c r="AF29" s="915"/>
      <c r="AG29" s="915"/>
      <c r="AJ29" s="952"/>
      <c r="AK29" s="952"/>
    </row>
    <row r="30" spans="1:41" ht="14" x14ac:dyDescent="0.25">
      <c r="A30" s="256" t="s">
        <v>51</v>
      </c>
      <c r="B30" s="256" t="str">
        <f>ID!B30</f>
        <v>Pengujian Kinerja</v>
      </c>
    </row>
    <row r="31" spans="1:41" ht="14.5" x14ac:dyDescent="0.25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7"/>
      <c r="M31" s="377"/>
      <c r="N31" s="636"/>
    </row>
    <row r="32" spans="1:41" s="639" customFormat="1" ht="15" customHeight="1" x14ac:dyDescent="0.25">
      <c r="A32" s="640"/>
      <c r="B32" s="1378" t="s">
        <v>29</v>
      </c>
      <c r="C32" s="1415" t="s">
        <v>30</v>
      </c>
      <c r="D32" s="1416"/>
      <c r="E32" s="1367" t="s">
        <v>56</v>
      </c>
      <c r="F32" s="1419" t="s">
        <v>140</v>
      </c>
      <c r="G32" s="1420"/>
      <c r="H32" s="440"/>
      <c r="I32" s="440"/>
      <c r="J32" s="440"/>
      <c r="K32" s="438"/>
      <c r="L32" s="439"/>
      <c r="M32" s="439"/>
      <c r="N32" s="641"/>
      <c r="O32" s="712"/>
      <c r="P32" s="650"/>
    </row>
    <row r="33" spans="1:38" s="639" customFormat="1" ht="14.5" x14ac:dyDescent="0.25">
      <c r="A33" s="640"/>
      <c r="B33" s="1374"/>
      <c r="C33" s="1417"/>
      <c r="D33" s="1418"/>
      <c r="E33" s="1368"/>
      <c r="F33" s="1421"/>
      <c r="G33" s="1422"/>
      <c r="H33" s="440"/>
      <c r="I33" s="440"/>
      <c r="J33" s="440"/>
      <c r="K33" s="438"/>
      <c r="L33" s="439"/>
      <c r="M33" s="439"/>
      <c r="N33" s="641"/>
      <c r="O33" s="712"/>
      <c r="P33" s="713"/>
    </row>
    <row r="34" spans="1:38" ht="15" customHeight="1" x14ac:dyDescent="0.25">
      <c r="B34" s="1243">
        <v>1</v>
      </c>
      <c r="C34" s="1357" t="s">
        <v>59</v>
      </c>
      <c r="D34" s="1358"/>
      <c r="E34" s="1361" t="s">
        <v>60</v>
      </c>
      <c r="F34" s="1423" t="str">
        <f>ID!F34</f>
        <v>Baik</v>
      </c>
      <c r="G34" s="1424"/>
      <c r="H34" s="672"/>
      <c r="I34" s="672"/>
      <c r="J34" s="672"/>
      <c r="K34" s="253"/>
      <c r="L34" s="377"/>
      <c r="M34" s="377"/>
      <c r="N34" s="714"/>
      <c r="O34" s="636" t="str">
        <f>IF(F34='bank kata'!L15,"YES","NO")</f>
        <v>YES</v>
      </c>
      <c r="P34" s="715">
        <f>(COUNTIF(O34,"YES")/(COUNTA(O34))*100)</f>
        <v>100</v>
      </c>
      <c r="Q34" s="716">
        <f>IF(P34&gt;=70,1,0)</f>
        <v>1</v>
      </c>
      <c r="R34" s="717"/>
      <c r="AC34" s="847"/>
    </row>
    <row r="35" spans="1:38" ht="14.5" x14ac:dyDescent="0.25">
      <c r="B35" s="1244"/>
      <c r="C35" s="1359"/>
      <c r="D35" s="1360"/>
      <c r="E35" s="1362"/>
      <c r="F35" s="1425"/>
      <c r="G35" s="1426"/>
      <c r="H35" s="672"/>
      <c r="I35" s="672"/>
      <c r="J35" s="672"/>
      <c r="K35" s="253"/>
      <c r="L35" s="377"/>
      <c r="M35" s="377"/>
      <c r="N35" s="718"/>
      <c r="O35" s="636"/>
      <c r="Q35" s="719"/>
      <c r="R35" s="717"/>
      <c r="AC35" s="636"/>
      <c r="AD35" s="637"/>
    </row>
    <row r="36" spans="1:38" ht="7.5" customHeight="1" x14ac:dyDescent="0.25">
      <c r="A36" s="645"/>
      <c r="B36" s="646"/>
      <c r="C36" s="647"/>
      <c r="D36" s="270"/>
      <c r="E36" s="270"/>
      <c r="F36" s="270"/>
      <c r="G36" s="270"/>
      <c r="H36" s="270"/>
      <c r="I36" s="253"/>
      <c r="J36" s="253"/>
      <c r="K36" s="253"/>
      <c r="L36" s="377"/>
      <c r="M36" s="377"/>
      <c r="N36" s="636"/>
      <c r="O36" s="636"/>
      <c r="Q36" s="719"/>
      <c r="R36" s="717"/>
      <c r="AC36" s="636"/>
      <c r="AD36" s="637"/>
    </row>
    <row r="37" spans="1:38" ht="14.5" x14ac:dyDescent="0.25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7"/>
      <c r="M37" s="377"/>
      <c r="N37" s="636"/>
      <c r="O37" s="636"/>
      <c r="Q37" s="719"/>
      <c r="R37" s="717"/>
      <c r="AC37" s="636"/>
      <c r="AD37" s="637"/>
    </row>
    <row r="38" spans="1:38" s="639" customFormat="1" ht="22.5" customHeight="1" x14ac:dyDescent="0.25">
      <c r="A38" s="640"/>
      <c r="B38" s="1378" t="s">
        <v>29</v>
      </c>
      <c r="C38" s="1378" t="s">
        <v>30</v>
      </c>
      <c r="D38" s="1367" t="s">
        <v>56</v>
      </c>
      <c r="E38" s="1367" t="s">
        <v>332</v>
      </c>
      <c r="F38" s="1365" t="s">
        <v>333</v>
      </c>
      <c r="G38" s="1367" t="str">
        <f>LH!I38:I39</f>
        <v>Koreksi Relatif
(%)</v>
      </c>
      <c r="H38" s="1367" t="s">
        <v>334</v>
      </c>
      <c r="I38" s="1365" t="s">
        <v>335</v>
      </c>
      <c r="J38" s="1369"/>
      <c r="K38" s="640"/>
      <c r="L38" s="1367" t="s">
        <v>336</v>
      </c>
      <c r="M38" s="720"/>
      <c r="N38" s="641"/>
      <c r="O38" s="641"/>
      <c r="P38" s="650"/>
      <c r="Q38" s="721"/>
      <c r="R38" s="722"/>
      <c r="AC38" s="723"/>
      <c r="AD38" s="724"/>
      <c r="AE38" s="724"/>
      <c r="AJ38" s="1367" t="str">
        <f>LH!I38:I39</f>
        <v>Koreksi Relatif
(%)</v>
      </c>
      <c r="AK38" s="1365" t="s">
        <v>337</v>
      </c>
      <c r="AL38" s="1369"/>
    </row>
    <row r="39" spans="1:38" s="639" customFormat="1" ht="22.5" customHeight="1" x14ac:dyDescent="0.25">
      <c r="A39" s="640"/>
      <c r="B39" s="1374"/>
      <c r="C39" s="1374"/>
      <c r="D39" s="1368"/>
      <c r="E39" s="1368"/>
      <c r="F39" s="1366"/>
      <c r="G39" s="1368"/>
      <c r="H39" s="1374"/>
      <c r="I39" s="1366"/>
      <c r="J39" s="1370"/>
      <c r="K39" s="640"/>
      <c r="L39" s="1368"/>
      <c r="M39" s="720"/>
      <c r="N39" s="641"/>
      <c r="O39" s="641"/>
      <c r="P39" s="650"/>
      <c r="Q39" s="721"/>
      <c r="R39" s="722"/>
      <c r="AC39" s="723"/>
      <c r="AD39" s="724"/>
      <c r="AE39" s="724"/>
      <c r="AF39" s="725"/>
      <c r="AG39" s="726"/>
      <c r="AH39" s="727"/>
      <c r="AJ39" s="1368"/>
      <c r="AK39" s="1366"/>
      <c r="AL39" s="1370"/>
    </row>
    <row r="40" spans="1:38" ht="15" customHeight="1" x14ac:dyDescent="0.25">
      <c r="B40" s="1427">
        <v>1</v>
      </c>
      <c r="C40" s="1382" t="s">
        <v>338</v>
      </c>
      <c r="D40" s="1371" t="str">
        <f>LK!E55</f>
        <v>Square Wave
2Hz, 1 mV</v>
      </c>
      <c r="E40" s="619">
        <v>5</v>
      </c>
      <c r="F40" s="728">
        <f>IFERROR(ID!M40,"-")</f>
        <v>4.9193343333333335</v>
      </c>
      <c r="G40" s="620">
        <f>IFERROR(AJ40,"-")</f>
        <v>-1.6397679279506825</v>
      </c>
      <c r="H40" s="1390" t="s">
        <v>339</v>
      </c>
      <c r="I40" s="729" t="str">
        <f>IF(J40="-","","±")</f>
        <v>±</v>
      </c>
      <c r="J40" s="730">
        <f>IFERROR(AL40,"-")</f>
        <v>0.45079087827599607</v>
      </c>
      <c r="K40" s="731"/>
      <c r="L40" s="732">
        <f>IF(F40="-",0,((ABS(AJ40)+AL40)))</f>
        <v>2.0905588062266784</v>
      </c>
      <c r="M40" s="733"/>
      <c r="O40" s="636" t="str">
        <f>IF(L40&lt;=5,"YES","NO")</f>
        <v>YES</v>
      </c>
      <c r="P40" s="1375">
        <f>(COUNTIF(O40:O42,"YES")/(COUNTA(O40:O42))*100)</f>
        <v>100</v>
      </c>
      <c r="Q40" s="716">
        <f>IF(S40&gt;=2,1,0)</f>
        <v>1</v>
      </c>
      <c r="R40" s="734">
        <f>IF(O40="YES",1,0)</f>
        <v>1</v>
      </c>
      <c r="S40" s="735">
        <f>SUM(R40:R42)</f>
        <v>3</v>
      </c>
      <c r="AC40" s="846"/>
      <c r="AD40" s="738"/>
      <c r="AE40" s="738"/>
      <c r="AF40" s="845"/>
      <c r="AG40" s="843"/>
      <c r="AH40" s="844"/>
      <c r="AJ40" s="728">
        <f>((F40-E40)/F40*100)</f>
        <v>-1.6397679279506825</v>
      </c>
      <c r="AK40" s="729" t="s">
        <v>330</v>
      </c>
      <c r="AL40" s="730">
        <f>ABS(UB!K17/E40*100)</f>
        <v>0.45079087827599607</v>
      </c>
    </row>
    <row r="41" spans="1:38" ht="15" customHeight="1" x14ac:dyDescent="0.25">
      <c r="B41" s="1428"/>
      <c r="C41" s="1430"/>
      <c r="D41" s="1372"/>
      <c r="E41" s="619">
        <v>10</v>
      </c>
      <c r="F41" s="728">
        <f>IFERROR(ID!M41,"-")</f>
        <v>9.9093343333333337</v>
      </c>
      <c r="G41" s="620">
        <f t="shared" ref="G41:G42" si="0">IFERROR(AJ41,"-")</f>
        <v>-0.91495214125213498</v>
      </c>
      <c r="H41" s="1391"/>
      <c r="I41" s="729" t="str">
        <f t="shared" ref="I41:I42" si="1">IF(J41="-","","±")</f>
        <v>±</v>
      </c>
      <c r="J41" s="730">
        <f t="shared" ref="J41" si="2">IFERROR(AL41,"-")</f>
        <v>0.22539543913799803</v>
      </c>
      <c r="K41" s="731"/>
      <c r="L41" s="732">
        <f>IF(F41="-",0,((ABS(AJ41)+AL41)))</f>
        <v>1.1403475803901331</v>
      </c>
      <c r="M41" s="733"/>
      <c r="O41" s="636" t="str">
        <f>IF(L41&lt;=5,"YES","NO")</f>
        <v>YES</v>
      </c>
      <c r="P41" s="1376"/>
      <c r="Q41" s="719"/>
      <c r="R41" s="734">
        <f>IF(O41="YES",1,0)</f>
        <v>1</v>
      </c>
      <c r="AC41" s="846"/>
      <c r="AD41" s="738"/>
      <c r="AE41" s="738"/>
      <c r="AF41" s="845"/>
      <c r="AG41" s="843"/>
      <c r="AH41" s="844"/>
      <c r="AJ41" s="728">
        <f>((F41-E41)/F41*100)</f>
        <v>-0.91495214125213498</v>
      </c>
      <c r="AK41" s="729" t="s">
        <v>330</v>
      </c>
      <c r="AL41" s="730">
        <f>ABS(UB!K31)/E41*100</f>
        <v>0.22539543913799803</v>
      </c>
    </row>
    <row r="42" spans="1:38" ht="15" customHeight="1" x14ac:dyDescent="0.25">
      <c r="B42" s="1429"/>
      <c r="C42" s="1383"/>
      <c r="D42" s="1373"/>
      <c r="E42" s="619">
        <v>20</v>
      </c>
      <c r="F42" s="728">
        <f>IFERROR(ID!M42,"-")</f>
        <v>20.279334333333335</v>
      </c>
      <c r="G42" s="620">
        <f t="shared" si="0"/>
        <v>1.3774334440267606</v>
      </c>
      <c r="H42" s="1392"/>
      <c r="I42" s="729" t="str">
        <f t="shared" si="1"/>
        <v>±</v>
      </c>
      <c r="J42" s="730">
        <f>IFERROR(AL42,"-")</f>
        <v>0.11269771956899828</v>
      </c>
      <c r="K42" s="731"/>
      <c r="L42" s="732">
        <f>IF(F42="-",0,((ABS(AJ42)+AL42)))</f>
        <v>1.4901311635957588</v>
      </c>
      <c r="M42" s="733"/>
      <c r="O42" s="636" t="str">
        <f>IF(L42&lt;=5,"YES","NO")</f>
        <v>YES</v>
      </c>
      <c r="P42" s="1377"/>
      <c r="Q42" s="719"/>
      <c r="R42" s="734">
        <f>IF(O42="YES",1,0)</f>
        <v>1</v>
      </c>
      <c r="AC42" s="846"/>
      <c r="AD42" s="738"/>
      <c r="AE42" s="738"/>
      <c r="AF42" s="845"/>
      <c r="AG42" s="843"/>
      <c r="AH42" s="844"/>
      <c r="AJ42" s="728">
        <f>((F42-E42)/F42*100)</f>
        <v>1.3774334440267606</v>
      </c>
      <c r="AK42" s="729" t="s">
        <v>330</v>
      </c>
      <c r="AL42" s="730">
        <f>ABS(UB!K45)/E42*100</f>
        <v>0.11269771956899828</v>
      </c>
    </row>
    <row r="43" spans="1:38" ht="6.75" customHeight="1" x14ac:dyDescent="0.25">
      <c r="A43" s="736"/>
      <c r="B43" s="653"/>
      <c r="C43" s="654"/>
      <c r="D43" s="655"/>
      <c r="E43" s="656"/>
      <c r="F43" s="656"/>
      <c r="G43" s="656"/>
      <c r="H43" s="656"/>
      <c r="I43" s="657"/>
      <c r="K43" s="731"/>
      <c r="L43" s="733"/>
      <c r="M43" s="733"/>
      <c r="O43" s="636"/>
      <c r="Q43" s="719"/>
      <c r="R43" s="717"/>
      <c r="AC43" s="737"/>
      <c r="AD43" s="738"/>
      <c r="AE43" s="738"/>
      <c r="AF43" s="845"/>
      <c r="AG43" s="843"/>
      <c r="AH43" s="844"/>
    </row>
    <row r="44" spans="1:38" ht="15" customHeight="1" x14ac:dyDescent="0.25">
      <c r="A44" s="256"/>
      <c r="B44" s="256" t="str">
        <f>ID!B44</f>
        <v>c. Kalibrasi Laju Rekaman</v>
      </c>
      <c r="C44" s="646"/>
      <c r="D44" s="659"/>
      <c r="E44" s="657"/>
      <c r="F44" s="657"/>
      <c r="G44" s="657"/>
      <c r="H44" s="657"/>
      <c r="I44" s="657"/>
      <c r="K44" s="731"/>
      <c r="L44" s="733"/>
      <c r="M44" s="733"/>
      <c r="O44" s="636"/>
      <c r="Q44" s="719"/>
      <c r="R44" s="717"/>
      <c r="AC44" s="737"/>
      <c r="AD44" s="738"/>
      <c r="AE44" s="738"/>
      <c r="AF44" s="845"/>
      <c r="AG44" s="843"/>
      <c r="AH44" s="844"/>
    </row>
    <row r="45" spans="1:38" s="639" customFormat="1" ht="30.75" customHeight="1" x14ac:dyDescent="0.25">
      <c r="A45" s="640"/>
      <c r="B45" s="1378" t="s">
        <v>29</v>
      </c>
      <c r="C45" s="1378" t="s">
        <v>30</v>
      </c>
      <c r="D45" s="1367" t="s">
        <v>340</v>
      </c>
      <c r="E45" s="1393" t="s">
        <v>79</v>
      </c>
      <c r="F45" s="1367" t="s">
        <v>341</v>
      </c>
      <c r="G45" s="1367" t="s">
        <v>342</v>
      </c>
      <c r="H45" s="1367" t="s">
        <v>343</v>
      </c>
      <c r="I45" s="1365" t="s">
        <v>344</v>
      </c>
      <c r="J45" s="1369"/>
      <c r="K45" s="739"/>
      <c r="L45" s="1367" t="s">
        <v>336</v>
      </c>
      <c r="M45" s="720"/>
      <c r="N45" s="712"/>
      <c r="O45" s="641"/>
      <c r="P45" s="650"/>
      <c r="Q45" s="721"/>
      <c r="R45" s="722"/>
      <c r="AC45" s="723"/>
      <c r="AD45" s="740"/>
      <c r="AE45" s="740"/>
      <c r="AF45" s="845"/>
      <c r="AG45" s="843"/>
      <c r="AH45" s="844"/>
      <c r="AJ45" s="1409" t="str">
        <f>AJ38</f>
        <v>Koreksi Relatif
(%)</v>
      </c>
      <c r="AK45" s="1365" t="str">
        <f>AK38</f>
        <v>Ketidakpastian Pengukuran (%)</v>
      </c>
      <c r="AL45" s="1369"/>
    </row>
    <row r="46" spans="1:38" s="639" customFormat="1" ht="30.75" customHeight="1" x14ac:dyDescent="0.25">
      <c r="A46" s="640"/>
      <c r="B46" s="1374"/>
      <c r="C46" s="1374"/>
      <c r="D46" s="1368"/>
      <c r="E46" s="1394"/>
      <c r="F46" s="1368"/>
      <c r="G46" s="1368"/>
      <c r="H46" s="1368"/>
      <c r="I46" s="1366"/>
      <c r="J46" s="1370"/>
      <c r="K46" s="739"/>
      <c r="L46" s="1368"/>
      <c r="M46" s="720"/>
      <c r="N46" s="712"/>
      <c r="O46" s="641"/>
      <c r="P46" s="650"/>
      <c r="Q46" s="721"/>
      <c r="R46" s="722"/>
      <c r="AC46" s="723"/>
      <c r="AD46" s="740"/>
      <c r="AE46" s="740"/>
      <c r="AF46" s="845"/>
      <c r="AG46" s="843"/>
      <c r="AH46" s="844"/>
      <c r="AJ46" s="1409"/>
      <c r="AK46" s="1366"/>
      <c r="AL46" s="1370"/>
    </row>
    <row r="47" spans="1:38" ht="22.5" customHeight="1" x14ac:dyDescent="0.25">
      <c r="B47" s="660">
        <v>1</v>
      </c>
      <c r="C47" s="1382" t="str">
        <f>LK!D62</f>
        <v>Laju Rekaman</v>
      </c>
      <c r="D47" s="741">
        <v>25</v>
      </c>
      <c r="E47" s="619">
        <v>100</v>
      </c>
      <c r="F47" s="728">
        <f>IFERROR(ID!J47,"-")</f>
        <v>103.99333433333334</v>
      </c>
      <c r="G47" s="620">
        <f>IFERROR(AJ47,"-")</f>
        <v>3.8399906676069904</v>
      </c>
      <c r="H47" s="1413" t="s">
        <v>339</v>
      </c>
      <c r="I47" s="729" t="str">
        <f t="shared" ref="I47:I48" si="3">IF(J47="-","","±")</f>
        <v>±</v>
      </c>
      <c r="J47" s="730">
        <f>IFERROR(AL47,"-")</f>
        <v>2.2113328136335215E-2</v>
      </c>
      <c r="K47" s="731"/>
      <c r="L47" s="732">
        <f>IF(F47="-",0,((ABS(AJ47)+AL47)))</f>
        <v>3.8621039957433254</v>
      </c>
      <c r="M47" s="733"/>
      <c r="N47" s="742"/>
      <c r="O47" s="636" t="str">
        <f>IF(L47&lt;=5,"YES","NO")</f>
        <v>YES</v>
      </c>
      <c r="P47" s="1363">
        <f>(COUNTIF(O47:O48,"YES")/(COUNTA(O47:O48))*100)</f>
        <v>100</v>
      </c>
      <c r="Q47" s="716">
        <f>IF(P47&gt;=70,1,0)</f>
        <v>1</v>
      </c>
      <c r="R47" s="717"/>
      <c r="AC47" s="846"/>
      <c r="AD47" s="738"/>
      <c r="AE47" s="738"/>
      <c r="AF47" s="845"/>
      <c r="AG47" s="843"/>
      <c r="AH47" s="844"/>
      <c r="AJ47" s="728">
        <f>(F47-E47)/F47*100</f>
        <v>3.8399906676069904</v>
      </c>
      <c r="AK47" s="729" t="s">
        <v>330</v>
      </c>
      <c r="AL47" s="743">
        <f>ABS(UB!K61)/E47*100</f>
        <v>2.2113328136335215E-2</v>
      </c>
    </row>
    <row r="48" spans="1:38" ht="24" customHeight="1" x14ac:dyDescent="0.25">
      <c r="B48" s="660">
        <v>2</v>
      </c>
      <c r="C48" s="1383"/>
      <c r="D48" s="741">
        <v>50</v>
      </c>
      <c r="E48" s="619">
        <v>100</v>
      </c>
      <c r="F48" s="728">
        <f>IFERROR(ID!J51,"-")</f>
        <v>100.11066766666666</v>
      </c>
      <c r="G48" s="620">
        <f t="shared" ref="G48" si="4">IFERROR(AJ48,"-")</f>
        <v>0.11054532873074198</v>
      </c>
      <c r="H48" s="1414"/>
      <c r="I48" s="729" t="str">
        <f t="shared" si="3"/>
        <v>±</v>
      </c>
      <c r="J48" s="730">
        <f>IFERROR(AL48,"-")</f>
        <v>2.2420436320188909E-2</v>
      </c>
      <c r="K48" s="731"/>
      <c r="L48" s="732">
        <f>IF(F48="-",0,((ABS(AJ48)+AL48)))</f>
        <v>0.13296576505093088</v>
      </c>
      <c r="M48" s="733"/>
      <c r="O48" s="636" t="str">
        <f>IF(L48&lt;=5,"YES","NO")</f>
        <v>YES</v>
      </c>
      <c r="P48" s="1364"/>
      <c r="Q48" s="719"/>
      <c r="R48" s="717"/>
      <c r="AC48" s="846"/>
      <c r="AD48" s="738"/>
      <c r="AE48" s="738"/>
      <c r="AF48" s="845"/>
      <c r="AG48" s="843"/>
      <c r="AH48" s="844"/>
      <c r="AJ48" s="728">
        <f>(F48-E48)/F48*100</f>
        <v>0.11054532873074198</v>
      </c>
      <c r="AK48" s="729" t="s">
        <v>330</v>
      </c>
      <c r="AL48" s="743">
        <f>ABS(UB!X61)/E48*100</f>
        <v>2.2420436320188909E-2</v>
      </c>
    </row>
    <row r="49" spans="1:38" ht="7.5" customHeight="1" x14ac:dyDescent="0.25">
      <c r="A49" s="256"/>
      <c r="B49" s="256"/>
      <c r="C49" s="646"/>
      <c r="D49" s="659"/>
      <c r="E49" s="657"/>
      <c r="F49" s="657"/>
      <c r="G49" s="657"/>
      <c r="H49" s="657"/>
      <c r="I49" s="270"/>
      <c r="K49" s="731"/>
      <c r="L49" s="377"/>
      <c r="M49" s="377"/>
      <c r="O49" s="636"/>
      <c r="Q49" s="719"/>
      <c r="R49" s="717"/>
      <c r="AC49" s="737"/>
      <c r="AD49" s="738"/>
      <c r="AE49" s="738"/>
      <c r="AF49" s="845"/>
      <c r="AG49" s="843"/>
      <c r="AH49" s="844"/>
    </row>
    <row r="50" spans="1:38" ht="15" customHeight="1" x14ac:dyDescent="0.25">
      <c r="A50" s="256"/>
      <c r="B50" s="256" t="str">
        <f>ID!B53</f>
        <v>d. Kalibrasi Sinyal Sinusoida</v>
      </c>
      <c r="C50" s="646"/>
      <c r="D50" s="659"/>
      <c r="E50" s="657"/>
      <c r="F50" s="657"/>
      <c r="G50" s="657"/>
      <c r="H50" s="657"/>
      <c r="I50" s="270"/>
      <c r="K50" s="731"/>
      <c r="L50" s="377"/>
      <c r="M50" s="377"/>
      <c r="O50" s="636"/>
      <c r="Q50" s="719"/>
      <c r="R50" s="717"/>
      <c r="AC50" s="737"/>
      <c r="AD50" s="738"/>
      <c r="AE50" s="738"/>
      <c r="AF50" s="845"/>
      <c r="AG50" s="843"/>
      <c r="AH50" s="844"/>
    </row>
    <row r="51" spans="1:38" s="639" customFormat="1" ht="21.75" customHeight="1" x14ac:dyDescent="0.25">
      <c r="A51" s="640"/>
      <c r="B51" s="1378" t="s">
        <v>29</v>
      </c>
      <c r="C51" s="1378" t="s">
        <v>30</v>
      </c>
      <c r="D51" s="1367" t="s">
        <v>56</v>
      </c>
      <c r="E51" s="1367" t="s">
        <v>332</v>
      </c>
      <c r="F51" s="1365" t="s">
        <v>333</v>
      </c>
      <c r="G51" s="1367" t="str">
        <f>AJ51</f>
        <v>Koreksi Relatif
(%)</v>
      </c>
      <c r="H51" s="1367" t="str">
        <f>H38</f>
        <v>Toleransi
(%)</v>
      </c>
      <c r="I51" s="1365" t="s">
        <v>335</v>
      </c>
      <c r="J51" s="1369"/>
      <c r="K51" s="739"/>
      <c r="L51" s="1367" t="s">
        <v>336</v>
      </c>
      <c r="M51" s="720"/>
      <c r="N51" s="712"/>
      <c r="O51" s="641"/>
      <c r="P51" s="650"/>
      <c r="Q51" s="721"/>
      <c r="R51" s="722"/>
      <c r="AC51" s="723"/>
      <c r="AD51" s="740"/>
      <c r="AE51" s="740"/>
      <c r="AF51" s="845"/>
      <c r="AG51" s="843"/>
      <c r="AH51" s="844"/>
      <c r="AJ51" s="1409" t="str">
        <f>AJ45</f>
        <v>Koreksi Relatif
(%)</v>
      </c>
      <c r="AK51" s="1365" t="str">
        <f>AK38</f>
        <v>Ketidakpastian Pengukuran (%)</v>
      </c>
      <c r="AL51" s="1369"/>
    </row>
    <row r="52" spans="1:38" s="639" customFormat="1" ht="23.25" customHeight="1" x14ac:dyDescent="0.25">
      <c r="A52" s="640"/>
      <c r="B52" s="1374"/>
      <c r="C52" s="1374"/>
      <c r="D52" s="1368"/>
      <c r="E52" s="1368"/>
      <c r="F52" s="1366"/>
      <c r="G52" s="1368"/>
      <c r="H52" s="1368"/>
      <c r="I52" s="1366"/>
      <c r="J52" s="1370"/>
      <c r="K52" s="739"/>
      <c r="L52" s="1368"/>
      <c r="M52" s="720"/>
      <c r="N52" s="712"/>
      <c r="O52" s="641"/>
      <c r="P52" s="650"/>
      <c r="Q52" s="721"/>
      <c r="R52" s="722"/>
      <c r="AC52" s="723"/>
      <c r="AD52" s="740"/>
      <c r="AE52" s="740"/>
      <c r="AF52" s="845"/>
      <c r="AG52" s="843"/>
      <c r="AH52" s="844"/>
      <c r="AJ52" s="1409"/>
      <c r="AK52" s="1407"/>
      <c r="AL52" s="1408"/>
    </row>
    <row r="53" spans="1:38" ht="45" customHeight="1" x14ac:dyDescent="0.25">
      <c r="B53" s="660">
        <v>1</v>
      </c>
      <c r="C53" s="666" t="str">
        <f>LK!D72</f>
        <v>Sinyal Sinusoida</v>
      </c>
      <c r="D53" s="744" t="str">
        <f>LK!E72</f>
        <v>Sine Wave,    10 Hz,1 mV</v>
      </c>
      <c r="E53" s="431">
        <v>20</v>
      </c>
      <c r="F53" s="728">
        <f>IFERROR(ID!N56,"-")</f>
        <v>19.993334333333333</v>
      </c>
      <c r="G53" s="620">
        <f>IFERROR(AJ53,"-")</f>
        <v>-3.3339444814632704E-2</v>
      </c>
      <c r="H53" s="745" t="s">
        <v>345</v>
      </c>
      <c r="I53" s="729" t="str">
        <f>IF(J53="-","","±")</f>
        <v>±</v>
      </c>
      <c r="J53" s="730">
        <f>IFERROR(AL53,"-")</f>
        <v>0.11056664068167607</v>
      </c>
      <c r="K53" s="731"/>
      <c r="L53" s="732">
        <f>IF(F53="-",0,((ABS(AJ53)+AL53)))</f>
        <v>0.14390608549630879</v>
      </c>
      <c r="M53" s="733"/>
      <c r="O53" s="636" t="str">
        <f>IF(L53&lt;=10,"YES","NO")</f>
        <v>YES</v>
      </c>
      <c r="P53" s="715">
        <f>(COUNTIF(O53,"YES")/(COUNTA(O53))*100)</f>
        <v>100</v>
      </c>
      <c r="Q53" s="716">
        <f>IF(P53&gt;=70,1,0)</f>
        <v>1</v>
      </c>
      <c r="R53" s="717"/>
      <c r="AC53" s="846"/>
      <c r="AD53" s="738"/>
      <c r="AE53" s="738"/>
      <c r="AF53" s="845"/>
      <c r="AG53" s="843"/>
      <c r="AH53" s="844"/>
      <c r="AJ53" s="728">
        <f>(F53-E53)/F53*100</f>
        <v>-3.3339444814632704E-2</v>
      </c>
      <c r="AK53" s="729" t="s">
        <v>330</v>
      </c>
      <c r="AL53" s="730">
        <f>ABS(UB!X18)/E53*100</f>
        <v>0.11056664068167607</v>
      </c>
    </row>
    <row r="54" spans="1:38" ht="7.5" customHeight="1" x14ac:dyDescent="0.25">
      <c r="A54" s="256"/>
      <c r="B54" s="256"/>
      <c r="C54" s="646"/>
      <c r="D54" s="659"/>
      <c r="E54" s="657"/>
      <c r="F54" s="657"/>
      <c r="G54" s="657"/>
      <c r="H54" s="657"/>
      <c r="I54" s="270"/>
      <c r="K54" s="731"/>
      <c r="L54" s="377"/>
      <c r="M54" s="377"/>
      <c r="O54" s="636"/>
      <c r="Q54" s="719"/>
      <c r="R54" s="717"/>
      <c r="AC54" s="737"/>
      <c r="AD54" s="738"/>
      <c r="AE54" s="738"/>
      <c r="AF54" s="845"/>
      <c r="AG54" s="843"/>
      <c r="AH54" s="844"/>
    </row>
    <row r="55" spans="1:38" ht="15" customHeight="1" x14ac:dyDescent="0.25">
      <c r="A55" s="256"/>
      <c r="B55" s="256" t="str">
        <f>ID!B58</f>
        <v>e. Kalibrasi Sinyal ECG Normal</v>
      </c>
      <c r="C55" s="646"/>
      <c r="D55" s="659"/>
      <c r="E55" s="657"/>
      <c r="F55" s="657"/>
      <c r="G55" s="657"/>
      <c r="H55" s="657"/>
      <c r="I55" s="270"/>
      <c r="K55" s="731"/>
      <c r="L55" s="377"/>
      <c r="M55" s="377"/>
      <c r="O55" s="636"/>
      <c r="Q55" s="719"/>
      <c r="R55" s="717"/>
      <c r="AC55" s="737"/>
      <c r="AD55" s="738"/>
      <c r="AE55" s="738"/>
      <c r="AF55" s="845"/>
      <c r="AG55" s="843"/>
      <c r="AH55" s="844"/>
    </row>
    <row r="56" spans="1:38" s="639" customFormat="1" ht="22.5" customHeight="1" x14ac:dyDescent="0.25">
      <c r="A56" s="640"/>
      <c r="B56" s="1378" t="s">
        <v>29</v>
      </c>
      <c r="C56" s="1378" t="s">
        <v>30</v>
      </c>
      <c r="D56" s="1367" t="s">
        <v>56</v>
      </c>
      <c r="E56" s="1367" t="str">
        <f>LH!F56:F57</f>
        <v>Tinggi amplitudo
(mm)</v>
      </c>
      <c r="F56" s="1365" t="s">
        <v>333</v>
      </c>
      <c r="G56" s="1367" t="str">
        <f>G51</f>
        <v>Koreksi Relatif
(%)</v>
      </c>
      <c r="H56" s="1367" t="str">
        <f>H51</f>
        <v>Toleransi
(%)</v>
      </c>
      <c r="I56" s="1365" t="s">
        <v>335</v>
      </c>
      <c r="J56" s="1369"/>
      <c r="K56" s="739"/>
      <c r="L56" s="1367" t="s">
        <v>336</v>
      </c>
      <c r="M56" s="720"/>
      <c r="N56" s="712"/>
      <c r="O56" s="641"/>
      <c r="P56" s="650"/>
      <c r="Q56" s="721"/>
      <c r="R56" s="722"/>
      <c r="AC56" s="723"/>
      <c r="AD56" s="740"/>
      <c r="AE56" s="740"/>
      <c r="AF56" s="845"/>
      <c r="AG56" s="843"/>
      <c r="AH56" s="844"/>
      <c r="AJ56" s="1409" t="str">
        <f>AJ51</f>
        <v>Koreksi Relatif
(%)</v>
      </c>
      <c r="AK56" s="1365" t="str">
        <f>AK51</f>
        <v>Ketidakpastian Pengukuran (%)</v>
      </c>
      <c r="AL56" s="1369"/>
    </row>
    <row r="57" spans="1:38" s="639" customFormat="1" ht="22.5" customHeight="1" x14ac:dyDescent="0.25">
      <c r="A57" s="640"/>
      <c r="B57" s="1374"/>
      <c r="C57" s="1374"/>
      <c r="D57" s="1368"/>
      <c r="E57" s="1368"/>
      <c r="F57" s="1366"/>
      <c r="G57" s="1368"/>
      <c r="H57" s="1368"/>
      <c r="I57" s="1366"/>
      <c r="J57" s="1370"/>
      <c r="K57" s="739"/>
      <c r="L57" s="1368"/>
      <c r="M57" s="720"/>
      <c r="N57" s="712"/>
      <c r="O57" s="641"/>
      <c r="P57" s="650"/>
      <c r="Q57" s="721"/>
      <c r="R57" s="722"/>
      <c r="AC57" s="723"/>
      <c r="AD57" s="740"/>
      <c r="AE57" s="740"/>
      <c r="AF57" s="845"/>
      <c r="AG57" s="843"/>
      <c r="AH57" s="844"/>
      <c r="AJ57" s="1409"/>
      <c r="AK57" s="1407"/>
      <c r="AL57" s="1408"/>
    </row>
    <row r="58" spans="1:38" ht="45" customHeight="1" x14ac:dyDescent="0.25">
      <c r="B58" s="660">
        <v>1</v>
      </c>
      <c r="C58" s="666" t="str">
        <f>LK!D77</f>
        <v>Sinyal ECG Normal</v>
      </c>
      <c r="D58" s="744" t="str">
        <f>LK!E77</f>
        <v>60 BPM, 
2 mV</v>
      </c>
      <c r="E58" s="431">
        <v>20</v>
      </c>
      <c r="F58" s="728">
        <f>IFERROR(ID!N61,"-")</f>
        <v>19.993334333333333</v>
      </c>
      <c r="G58" s="620">
        <f>IFERROR(AJ58,"-")</f>
        <v>-3.3339444814632704E-2</v>
      </c>
      <c r="H58" s="746" t="s">
        <v>339</v>
      </c>
      <c r="I58" s="729" t="str">
        <f>IF(J58="-","","±")</f>
        <v>±</v>
      </c>
      <c r="J58" s="730">
        <f>IFERROR(AL58,"-")</f>
        <v>0.11056664068167607</v>
      </c>
      <c r="K58" s="731"/>
      <c r="L58" s="732">
        <f>IF(F58="-",0,((ABS(AJ58)+AL58)))</f>
        <v>0.14390608549630879</v>
      </c>
      <c r="M58" s="733"/>
      <c r="O58" s="636" t="str">
        <f>IF(L58&lt;=5,"YES","NO")</f>
        <v>YES</v>
      </c>
      <c r="P58" s="715">
        <f>(COUNTIF(O58,"YES")/(COUNTA(O58))*100)</f>
        <v>100</v>
      </c>
      <c r="Q58" s="734">
        <f>IF(P58&gt;=70,1,0)</f>
        <v>1</v>
      </c>
      <c r="R58" s="734">
        <f>IF(Q34+Q40+Q47+Q53+Q58=5,50,0)</f>
        <v>50</v>
      </c>
      <c r="AC58" s="846"/>
      <c r="AD58" s="738"/>
      <c r="AE58" s="738"/>
      <c r="AF58" s="845"/>
      <c r="AG58" s="843"/>
      <c r="AH58" s="844"/>
      <c r="AJ58" s="728">
        <f>(F58-(E58))/F58*100</f>
        <v>-3.3339444814632704E-2</v>
      </c>
      <c r="AK58" s="729" t="s">
        <v>330</v>
      </c>
      <c r="AL58" s="730">
        <f>ABS(UB!X33)/E58*100</f>
        <v>0.11056664068167607</v>
      </c>
    </row>
    <row r="59" spans="1:38" ht="15" customHeight="1" x14ac:dyDescent="0.25">
      <c r="A59" s="659"/>
      <c r="B59" s="659"/>
      <c r="C59" s="659"/>
      <c r="D59" s="659"/>
      <c r="E59" s="659"/>
      <c r="F59" s="659"/>
      <c r="G59" s="659"/>
      <c r="H59" s="659"/>
      <c r="I59" s="659"/>
      <c r="J59" s="657"/>
      <c r="K59" s="253"/>
      <c r="L59" s="377"/>
      <c r="M59" s="377"/>
      <c r="N59" s="636"/>
      <c r="O59" s="636"/>
      <c r="P59" s="700"/>
      <c r="Q59" s="679"/>
      <c r="AE59" s="678"/>
      <c r="AF59" s="678"/>
      <c r="AG59" s="678"/>
      <c r="AH59" s="678"/>
      <c r="AI59" s="678"/>
      <c r="AJ59" s="678"/>
    </row>
    <row r="60" spans="1:38" ht="14.5" x14ac:dyDescent="0.25">
      <c r="A60" s="687" t="s">
        <v>154</v>
      </c>
      <c r="B60" s="687" t="s">
        <v>155</v>
      </c>
      <c r="C60" s="688"/>
      <c r="D60" s="689"/>
      <c r="E60" s="689"/>
      <c r="F60" s="689"/>
      <c r="G60" s="689"/>
      <c r="H60" s="689"/>
      <c r="I60" s="689"/>
      <c r="J60" s="182"/>
      <c r="K60" s="182"/>
      <c r="L60" s="376"/>
      <c r="M60" s="747"/>
      <c r="N60" s="680"/>
      <c r="O60" s="636"/>
      <c r="Q60" s="679"/>
      <c r="AC60" s="748"/>
      <c r="AE60" s="678"/>
      <c r="AF60" s="678"/>
      <c r="AG60" s="678"/>
      <c r="AH60" s="678"/>
      <c r="AI60" s="678"/>
      <c r="AJ60" s="678"/>
    </row>
    <row r="61" spans="1:38" ht="15" customHeight="1" x14ac:dyDescent="0.25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6"/>
      <c r="M61" s="747"/>
      <c r="N61" s="680"/>
      <c r="O61" s="636"/>
      <c r="P61" s="700"/>
      <c r="Q61" s="679"/>
      <c r="AE61" s="678"/>
      <c r="AF61" s="678"/>
      <c r="AG61" s="678"/>
      <c r="AH61" s="678"/>
      <c r="AI61" s="678"/>
      <c r="AJ61" s="678"/>
    </row>
    <row r="62" spans="1:38" ht="15" customHeight="1" x14ac:dyDescent="0.25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6"/>
      <c r="M62" s="747"/>
      <c r="N62" s="680"/>
      <c r="O62" s="636"/>
      <c r="P62" s="700"/>
      <c r="Q62" s="679"/>
      <c r="AE62" s="678"/>
      <c r="AF62" s="678"/>
      <c r="AG62" s="678"/>
      <c r="AH62" s="678"/>
      <c r="AI62" s="678"/>
      <c r="AJ62" s="678"/>
    </row>
    <row r="63" spans="1:38" ht="14.5" x14ac:dyDescent="0.25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6"/>
      <c r="M63" s="747"/>
      <c r="N63" s="680"/>
      <c r="O63" s="636"/>
    </row>
    <row r="64" spans="1:38" ht="15" customHeight="1" x14ac:dyDescent="0.25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6"/>
      <c r="M64" s="747"/>
      <c r="N64" s="680"/>
      <c r="O64" s="636"/>
    </row>
    <row r="65" spans="1:36" ht="15" customHeight="1" x14ac:dyDescent="0.25">
      <c r="A65" s="272" t="s">
        <v>346</v>
      </c>
      <c r="B65" s="180" t="str">
        <f>ID!B68</f>
        <v>Alat tidak boleh digunakan pada instalasi tanpa dilengkapi grounding</v>
      </c>
      <c r="C65" s="181"/>
      <c r="D65" s="181"/>
      <c r="E65" s="181"/>
      <c r="F65" s="181"/>
      <c r="G65" s="181"/>
      <c r="H65" s="181"/>
      <c r="I65" s="181"/>
      <c r="J65" s="181"/>
      <c r="K65" s="182"/>
      <c r="L65" s="376"/>
      <c r="M65" s="747"/>
      <c r="N65" s="680"/>
      <c r="O65" s="636"/>
    </row>
    <row r="66" spans="1:36" ht="15" hidden="1" customHeight="1" x14ac:dyDescent="0.25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6"/>
      <c r="M66" s="747"/>
      <c r="N66" s="680"/>
      <c r="O66" s="636"/>
      <c r="P66" s="700"/>
      <c r="Q66" s="679"/>
      <c r="AE66" s="678"/>
      <c r="AF66" s="678"/>
      <c r="AG66" s="678"/>
      <c r="AH66" s="678"/>
      <c r="AI66" s="678"/>
      <c r="AJ66" s="678"/>
    </row>
    <row r="67" spans="1:36" ht="15" customHeight="1" x14ac:dyDescent="0.25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6"/>
      <c r="M67" s="747"/>
      <c r="N67" s="680"/>
      <c r="O67" s="636"/>
      <c r="P67" s="700"/>
      <c r="Q67" s="679"/>
      <c r="AE67" s="678"/>
      <c r="AF67" s="678"/>
      <c r="AG67" s="678"/>
      <c r="AH67" s="678"/>
      <c r="AI67" s="678"/>
      <c r="AJ67" s="678"/>
    </row>
    <row r="68" spans="1:36" ht="14.5" x14ac:dyDescent="0.25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8"/>
      <c r="M68" s="377"/>
      <c r="N68" s="636"/>
      <c r="O68" s="636"/>
      <c r="P68" s="700"/>
      <c r="Q68" s="679"/>
      <c r="AE68" s="678"/>
      <c r="AF68" s="678"/>
      <c r="AG68" s="678"/>
      <c r="AH68" s="678"/>
      <c r="AI68" s="678"/>
      <c r="AJ68" s="678"/>
    </row>
    <row r="69" spans="1:36" ht="14.5" x14ac:dyDescent="0.25">
      <c r="A69" s="185"/>
      <c r="B69" s="190" t="str">
        <f>ID!B72</f>
        <v>Multiparameter Simulator, Merek : RIGEL , Model : PatSim200, SN : 15L-0684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8"/>
      <c r="M69" s="377"/>
      <c r="N69" s="636"/>
      <c r="O69" s="636"/>
      <c r="P69" s="700"/>
      <c r="Q69" s="679"/>
      <c r="AE69" s="678"/>
      <c r="AF69" s="678"/>
      <c r="AG69" s="678"/>
      <c r="AH69" s="678"/>
      <c r="AI69" s="678"/>
      <c r="AJ69" s="678"/>
    </row>
    <row r="70" spans="1:36" ht="14.5" x14ac:dyDescent="0.25">
      <c r="A70" s="185"/>
      <c r="B70" s="190" t="str">
        <f>ID!B73</f>
        <v>Electrical Safety Analyzer, Merek : Fluke, Model : ESA 615, SN : 4669058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8"/>
      <c r="M70" s="377"/>
      <c r="N70" s="636"/>
      <c r="O70" s="636"/>
      <c r="P70" s="700"/>
      <c r="Q70" s="637"/>
    </row>
    <row r="71" spans="1:36" ht="14.5" x14ac:dyDescent="0.25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8"/>
      <c r="M71" s="377"/>
      <c r="N71" s="636"/>
      <c r="O71" s="636"/>
      <c r="P71" s="700"/>
      <c r="Q71" s="637"/>
    </row>
    <row r="72" spans="1:36" ht="15" customHeight="1" x14ac:dyDescent="0.25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8"/>
      <c r="M72" s="377"/>
      <c r="N72" s="636"/>
      <c r="O72" s="636"/>
      <c r="P72" s="700"/>
      <c r="Q72" s="637"/>
    </row>
    <row r="73" spans="1:36" ht="14.5" x14ac:dyDescent="0.25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8"/>
      <c r="M73" s="377"/>
      <c r="N73" s="636"/>
      <c r="O73" s="636"/>
      <c r="P73" s="700"/>
      <c r="Q73" s="637"/>
    </row>
    <row r="74" spans="1:36" ht="15" customHeight="1" x14ac:dyDescent="0.25">
      <c r="A74" s="185"/>
      <c r="B74" s="1247" t="str">
        <f>ID!B78</f>
        <v>Alat yang dikalibrasi dalam batas toleransi dan dinyatakan LAIK PAKAI, dimana hasil atau skor akhir sama dengan atau melampaui 70 % berdasarkan Keputusan Direktur Jenderal Pelayanan Kesehatan No : HK.02.02/V/0412/2020</v>
      </c>
      <c r="C74" s="1247"/>
      <c r="D74" s="1247"/>
      <c r="E74" s="1247"/>
      <c r="F74" s="1247"/>
      <c r="G74" s="1247"/>
      <c r="H74" s="1247"/>
      <c r="I74" s="1247"/>
      <c r="J74" s="1247"/>
      <c r="K74" s="1247"/>
      <c r="L74" s="378"/>
      <c r="M74" s="377"/>
      <c r="N74" s="636"/>
      <c r="O74" s="636"/>
      <c r="P74" s="700"/>
      <c r="Q74" s="637"/>
    </row>
    <row r="75" spans="1:36" ht="15" customHeight="1" x14ac:dyDescent="0.25">
      <c r="A75" s="185"/>
      <c r="B75" s="1247"/>
      <c r="C75" s="1247"/>
      <c r="D75" s="1247"/>
      <c r="E75" s="1247"/>
      <c r="F75" s="1247"/>
      <c r="G75" s="1247"/>
      <c r="H75" s="1247"/>
      <c r="I75" s="1247"/>
      <c r="J75" s="1247"/>
      <c r="K75" s="1247"/>
      <c r="L75" s="378"/>
      <c r="M75" s="377"/>
      <c r="N75" s="636"/>
      <c r="O75" s="636"/>
      <c r="P75" s="700"/>
      <c r="Q75" s="637"/>
    </row>
    <row r="76" spans="1:36" ht="15" customHeight="1" x14ac:dyDescent="0.25">
      <c r="A76" s="253"/>
      <c r="B76" s="618"/>
      <c r="C76" s="618"/>
      <c r="D76" s="618"/>
      <c r="E76" s="618"/>
      <c r="F76" s="618"/>
      <c r="G76" s="618"/>
      <c r="H76" s="618"/>
      <c r="I76" s="618"/>
      <c r="J76" s="618"/>
      <c r="K76" s="618"/>
      <c r="L76" s="377"/>
      <c r="M76" s="377"/>
      <c r="N76" s="636"/>
      <c r="O76" s="636"/>
      <c r="P76" s="700"/>
      <c r="Q76" s="637"/>
    </row>
    <row r="77" spans="1:36" ht="14.5" x14ac:dyDescent="0.25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7"/>
      <c r="M77" s="377"/>
      <c r="N77" s="636"/>
      <c r="O77" s="636"/>
      <c r="P77" s="700"/>
      <c r="Q77" s="637"/>
    </row>
    <row r="78" spans="1:36" ht="14.5" x14ac:dyDescent="0.25">
      <c r="A78" s="253"/>
      <c r="B78" s="681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05" t="s">
        <v>347</v>
      </c>
      <c r="K78" s="1406"/>
      <c r="L78" s="377"/>
      <c r="M78" s="377"/>
      <c r="N78" s="636"/>
      <c r="O78" s="636"/>
      <c r="P78" s="700"/>
      <c r="Q78" s="637"/>
    </row>
    <row r="79" spans="1:36" ht="15" customHeight="1" x14ac:dyDescent="0.25">
      <c r="A79" s="253"/>
      <c r="B79" s="443"/>
      <c r="C79" s="253"/>
      <c r="D79" s="270"/>
      <c r="E79" s="270"/>
      <c r="F79" s="270"/>
      <c r="G79" s="270"/>
      <c r="H79" s="270"/>
      <c r="I79" s="270"/>
      <c r="J79" s="1395">
        <f>SUM(R58,P29,P22)</f>
        <v>90</v>
      </c>
      <c r="K79" s="1396"/>
      <c r="L79" s="377"/>
      <c r="M79" s="377"/>
      <c r="N79" s="636"/>
      <c r="O79" s="636"/>
      <c r="P79" s="700"/>
      <c r="Q79" s="637"/>
    </row>
    <row r="80" spans="1:36" ht="15" customHeight="1" x14ac:dyDescent="0.25">
      <c r="A80" s="253"/>
      <c r="B80" s="1379" t="s">
        <v>348</v>
      </c>
      <c r="C80" s="1380"/>
      <c r="D80" s="1380"/>
      <c r="E80" s="1381"/>
      <c r="F80" s="1379" t="s">
        <v>349</v>
      </c>
      <c r="G80" s="1381"/>
      <c r="H80" s="749" t="s">
        <v>350</v>
      </c>
      <c r="J80" s="1397"/>
      <c r="K80" s="1398"/>
      <c r="L80" s="377"/>
      <c r="M80" s="377"/>
      <c r="N80" s="636"/>
      <c r="O80" s="636"/>
      <c r="P80" s="700"/>
      <c r="Q80" s="637"/>
    </row>
    <row r="81" spans="1:17" ht="15" customHeight="1" x14ac:dyDescent="0.25">
      <c r="A81" s="253"/>
      <c r="B81" s="750" t="s">
        <v>351</v>
      </c>
      <c r="D81" s="751" t="str">
        <f>ID!B82</f>
        <v>Muhammad Iqbal Saiful Rahman</v>
      </c>
      <c r="E81" s="752"/>
      <c r="F81" s="1403" t="str">
        <f>ID!B85</f>
        <v>1 Januari 2021</v>
      </c>
      <c r="G81" s="1404"/>
      <c r="H81" s="728"/>
      <c r="J81" s="1397"/>
      <c r="K81" s="1398"/>
      <c r="L81" s="377"/>
      <c r="M81" s="377"/>
      <c r="N81" s="636"/>
      <c r="O81" s="636"/>
      <c r="P81" s="700"/>
      <c r="Q81" s="637"/>
    </row>
    <row r="82" spans="1:17" ht="15" customHeight="1" x14ac:dyDescent="0.25">
      <c r="A82" s="253"/>
      <c r="B82" s="750" t="s">
        <v>352</v>
      </c>
      <c r="C82" s="753"/>
      <c r="D82" s="753"/>
      <c r="E82" s="754"/>
      <c r="F82" s="1401"/>
      <c r="G82" s="1402"/>
      <c r="H82" s="728"/>
      <c r="J82" s="1399"/>
      <c r="K82" s="1400"/>
      <c r="L82" s="377"/>
      <c r="M82" s="377"/>
      <c r="N82" s="636"/>
      <c r="O82" s="636"/>
      <c r="P82" s="700"/>
      <c r="Q82" s="637"/>
    </row>
    <row r="83" spans="1:17" ht="14.5" x14ac:dyDescent="0.25">
      <c r="A83" s="253"/>
      <c r="B83" s="682"/>
      <c r="C83" s="682"/>
      <c r="D83" s="682"/>
      <c r="E83" s="682"/>
      <c r="F83" s="682"/>
      <c r="J83" s="253"/>
      <c r="K83" s="253"/>
      <c r="L83" s="377"/>
      <c r="M83" s="377"/>
      <c r="N83" s="636"/>
      <c r="O83" s="636"/>
      <c r="P83" s="700"/>
      <c r="Q83" s="637"/>
    </row>
    <row r="84" spans="1:17" ht="14.5" x14ac:dyDescent="0.25">
      <c r="A84" s="253"/>
      <c r="B84" s="684"/>
      <c r="C84" s="684"/>
      <c r="D84" s="684"/>
      <c r="E84" s="684"/>
      <c r="F84" s="684"/>
      <c r="J84" s="253"/>
      <c r="K84" s="253"/>
      <c r="L84" s="377"/>
      <c r="M84" s="377"/>
      <c r="N84" s="685"/>
      <c r="O84" s="636"/>
      <c r="P84" s="700"/>
      <c r="Q84" s="637"/>
    </row>
    <row r="85" spans="1:17" ht="14.5" x14ac:dyDescent="0.25">
      <c r="A85" s="253"/>
      <c r="B85" s="253"/>
      <c r="C85" s="253"/>
      <c r="D85" s="253"/>
      <c r="E85" s="253"/>
      <c r="F85" s="253"/>
      <c r="J85" s="253"/>
      <c r="K85" s="253"/>
      <c r="L85" s="377"/>
      <c r="M85" s="377"/>
      <c r="N85" s="105"/>
      <c r="O85" s="636"/>
      <c r="P85" s="700"/>
      <c r="Q85" s="637"/>
    </row>
    <row r="86" spans="1:17" ht="14.5" x14ac:dyDescent="0.25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7"/>
      <c r="M86" s="377"/>
      <c r="N86" s="636"/>
      <c r="O86" s="636"/>
      <c r="P86" s="700"/>
      <c r="Q86" s="637"/>
    </row>
    <row r="87" spans="1:17" x14ac:dyDescent="0.25">
      <c r="A87" s="1410"/>
      <c r="B87" s="1410"/>
      <c r="C87" s="1410"/>
      <c r="D87" s="1410"/>
      <c r="E87" s="1410"/>
      <c r="F87" s="1410"/>
      <c r="G87" s="1410"/>
      <c r="H87" s="1410"/>
      <c r="I87" s="1410"/>
      <c r="J87" s="1410"/>
      <c r="K87" s="1410"/>
      <c r="L87" s="1410"/>
      <c r="M87" s="1410"/>
      <c r="N87" s="1410"/>
      <c r="O87" s="1410"/>
      <c r="P87" s="1410"/>
    </row>
  </sheetData>
  <sheetProtection formatCells="0" formatColumns="0" formatRows="0" insertColumns="0" insertRows="0" deleteColumns="0" deleteRows="0"/>
  <mergeCells count="85">
    <mergeCell ref="Y22:AG22"/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J79:K82"/>
    <mergeCell ref="F82:G82"/>
    <mergeCell ref="F80:G80"/>
    <mergeCell ref="F81:G81"/>
    <mergeCell ref="B74:K75"/>
    <mergeCell ref="J78:K78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A2:M2"/>
    <mergeCell ref="A1:M1"/>
    <mergeCell ref="B34:B35"/>
    <mergeCell ref="C34:D35"/>
    <mergeCell ref="E34:E35"/>
  </mergeCells>
  <phoneticPr fontId="0" type="noConversion"/>
  <printOptions horizontalCentered="1"/>
  <pageMargins left="0.17" right="0.17" top="0.4" bottom="0.25" header="0.25" footer="0.25"/>
  <pageSetup paperSize="9" scale="58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view="pageBreakPreview" topLeftCell="A57" zoomScale="93" zoomScaleNormal="93" zoomScaleSheetLayoutView="93" workbookViewId="0">
      <selection activeCell="B72" sqref="B72"/>
    </sheetView>
  </sheetViews>
  <sheetFormatPr defaultColWidth="9.36328125" defaultRowHeight="13" x14ac:dyDescent="0.25"/>
  <cols>
    <col min="1" max="1" width="3.453125" style="633" customWidth="1"/>
    <col min="2" max="2" width="4.36328125" style="163" customWidth="1"/>
    <col min="3" max="3" width="17" style="163" customWidth="1"/>
    <col min="4" max="4" width="11.54296875" style="163" customWidth="1"/>
    <col min="5" max="5" width="12.54296875" style="163" customWidth="1"/>
    <col min="6" max="6" width="15.36328125" style="163" customWidth="1"/>
    <col min="7" max="10" width="12.54296875" style="163" customWidth="1"/>
    <col min="11" max="11" width="7.36328125" style="163" customWidth="1"/>
    <col min="12" max="12" width="8.54296875" style="163" customWidth="1"/>
    <col min="13" max="13" width="9.36328125" style="163" customWidth="1"/>
    <col min="14" max="14" width="7.453125" style="163" customWidth="1"/>
    <col min="15" max="15" width="13.36328125" style="644" customWidth="1"/>
    <col min="16" max="16" width="5.36328125" style="644" customWidth="1"/>
    <col min="17" max="17" width="11.36328125" style="644" customWidth="1"/>
    <col min="18" max="18" width="10.6328125" style="633" customWidth="1"/>
    <col min="19" max="16384" width="9.36328125" style="633"/>
  </cols>
  <sheetData>
    <row r="1" spans="1:18" ht="18.5" x14ac:dyDescent="0.25">
      <c r="A1" s="1286" t="str">
        <f>PENYELIA!A1</f>
        <v>HASIL KALIBRASI ELECTROCARDIOGRAPH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359"/>
      <c r="N1" s="359"/>
      <c r="O1" s="631"/>
      <c r="P1" s="632"/>
      <c r="Q1" s="632"/>
    </row>
    <row r="2" spans="1:18" ht="17" x14ac:dyDescent="0.25">
      <c r="A2" s="1356" t="str">
        <f>PENYELIA!A2</f>
        <v>Nomor Sertifikat : 19 / 10 / III - 21 / E - 003.30 DL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360"/>
      <c r="N2" s="360"/>
      <c r="O2" s="634"/>
      <c r="P2" s="635"/>
      <c r="Q2" s="635"/>
    </row>
    <row r="3" spans="1:18" ht="15.75" customHeight="1" x14ac:dyDescent="0.25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6"/>
      <c r="P3" s="636"/>
      <c r="Q3" s="636"/>
      <c r="R3" s="637"/>
    </row>
    <row r="4" spans="1:18" ht="15" customHeight="1" x14ac:dyDescent="0.25">
      <c r="A4" s="253" t="s">
        <v>2</v>
      </c>
      <c r="B4" s="253"/>
      <c r="C4" s="254"/>
      <c r="D4" s="255" t="str">
        <f>PENYELIA!D4</f>
        <v>: MED Cardio</v>
      </c>
      <c r="G4" s="253"/>
      <c r="H4" s="253"/>
      <c r="I4" s="253"/>
      <c r="J4" s="253"/>
      <c r="K4" s="253"/>
      <c r="L4" s="253"/>
      <c r="M4" s="253"/>
      <c r="N4" s="253"/>
      <c r="O4" s="636"/>
      <c r="P4" s="636"/>
      <c r="Q4" s="636"/>
      <c r="R4" s="637"/>
    </row>
    <row r="5" spans="1:18" ht="14.5" x14ac:dyDescent="0.25">
      <c r="A5" s="253" t="s">
        <v>5</v>
      </c>
      <c r="B5" s="253"/>
      <c r="C5" s="254"/>
      <c r="D5" s="255" t="str">
        <f>PENYELIA!D5</f>
        <v>: ECG - 3303B</v>
      </c>
      <c r="G5" s="253"/>
      <c r="H5" s="253"/>
      <c r="I5" s="253"/>
      <c r="J5" s="253"/>
      <c r="K5" s="253"/>
      <c r="L5" s="253"/>
      <c r="M5" s="253"/>
      <c r="N5" s="253"/>
      <c r="O5" s="636"/>
      <c r="P5" s="636"/>
      <c r="Q5" s="636"/>
      <c r="R5" s="637"/>
    </row>
    <row r="6" spans="1:18" ht="14.25" customHeight="1" x14ac:dyDescent="0.25">
      <c r="A6" s="253" t="s">
        <v>6</v>
      </c>
      <c r="B6" s="253"/>
      <c r="C6" s="254"/>
      <c r="D6" s="255" t="str">
        <f>PENYELIA!D6</f>
        <v>: ECG - 3303B1701075</v>
      </c>
      <c r="G6" s="253"/>
      <c r="H6" s="253"/>
      <c r="I6" s="253"/>
      <c r="J6" s="253"/>
      <c r="K6" s="253"/>
      <c r="L6" s="253"/>
      <c r="M6" s="253"/>
      <c r="N6" s="253"/>
      <c r="O6" s="636"/>
      <c r="P6" s="636"/>
      <c r="Q6" s="636"/>
      <c r="R6" s="637"/>
    </row>
    <row r="7" spans="1:18" ht="14.25" customHeight="1" x14ac:dyDescent="0.25">
      <c r="A7" s="253" t="str">
        <f>PENYELIA!A7</f>
        <v>Tanggal Penerimaan Alat</v>
      </c>
      <c r="B7" s="253"/>
      <c r="C7" s="254"/>
      <c r="D7" s="255" t="str">
        <f>PENYELIA!D7</f>
        <v>: 25 Maret 2021</v>
      </c>
      <c r="G7" s="253"/>
      <c r="H7" s="253"/>
      <c r="I7" s="253"/>
      <c r="J7" s="253"/>
      <c r="K7" s="253"/>
      <c r="L7" s="253"/>
      <c r="M7" s="253"/>
      <c r="N7" s="253"/>
      <c r="O7" s="636"/>
      <c r="P7" s="636"/>
      <c r="Q7" s="636"/>
      <c r="R7" s="637"/>
    </row>
    <row r="8" spans="1:18" ht="14.5" x14ac:dyDescent="0.25">
      <c r="A8" s="253" t="str">
        <f>PENYELIA!A8</f>
        <v>Tanggal Kalibrasi</v>
      </c>
      <c r="B8" s="253"/>
      <c r="C8" s="254"/>
      <c r="D8" s="255" t="str">
        <f>PENYELIA!D8</f>
        <v>: 25 Maret 2021</v>
      </c>
      <c r="G8" s="253"/>
      <c r="H8" s="253"/>
      <c r="I8" s="253"/>
      <c r="J8" s="253"/>
      <c r="K8" s="253"/>
      <c r="L8" s="253"/>
      <c r="M8" s="253"/>
      <c r="N8" s="253"/>
      <c r="O8" s="636"/>
      <c r="P8" s="636"/>
      <c r="Q8" s="636"/>
      <c r="R8" s="637"/>
    </row>
    <row r="9" spans="1:18" ht="14.5" x14ac:dyDescent="0.25">
      <c r="A9" s="253" t="str">
        <f>PENYELIA!A9</f>
        <v>Tempat Kalibrasi</v>
      </c>
      <c r="B9" s="253"/>
      <c r="C9" s="254"/>
      <c r="D9" s="255" t="str">
        <f>PENYELIA!D9</f>
        <v>: Poli Geriatri</v>
      </c>
      <c r="G9" s="253"/>
      <c r="H9" s="253"/>
      <c r="I9" s="253"/>
      <c r="J9" s="253"/>
      <c r="K9" s="253"/>
      <c r="L9" s="253"/>
      <c r="M9" s="253"/>
      <c r="N9" s="253"/>
      <c r="O9" s="636"/>
      <c r="P9" s="636"/>
      <c r="Q9" s="636"/>
      <c r="R9" s="637"/>
    </row>
    <row r="10" spans="1:18" ht="14.5" x14ac:dyDescent="0.25">
      <c r="A10" s="253" t="s">
        <v>9</v>
      </c>
      <c r="B10" s="253"/>
      <c r="C10" s="254"/>
      <c r="D10" s="255" t="str">
        <f>PENYELIA!D10</f>
        <v>: Poli Geriatri</v>
      </c>
      <c r="G10" s="253"/>
      <c r="H10" s="253"/>
      <c r="I10" s="253"/>
      <c r="J10" s="253"/>
      <c r="K10" s="253"/>
      <c r="L10" s="253"/>
      <c r="M10" s="253"/>
      <c r="N10" s="253"/>
      <c r="O10" s="636"/>
      <c r="P10" s="636"/>
      <c r="Q10" s="636"/>
      <c r="R10" s="637"/>
    </row>
    <row r="11" spans="1:18" ht="14.5" x14ac:dyDescent="0.25">
      <c r="A11" s="253" t="s">
        <v>127</v>
      </c>
      <c r="B11" s="253"/>
      <c r="C11" s="254"/>
      <c r="D11" s="255" t="str">
        <f>PENYELIA!D11</f>
        <v>: MK.020-18</v>
      </c>
      <c r="G11" s="253"/>
      <c r="H11" s="253"/>
      <c r="I11" s="253"/>
      <c r="J11" s="253"/>
      <c r="K11" s="253"/>
      <c r="L11" s="253"/>
      <c r="M11" s="253"/>
      <c r="N11" s="253"/>
      <c r="O11" s="636"/>
      <c r="P11" s="636"/>
      <c r="Q11" s="636"/>
      <c r="R11" s="637"/>
    </row>
    <row r="12" spans="1:18" ht="15" customHeight="1" x14ac:dyDescent="0.25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6"/>
      <c r="P12" s="636"/>
      <c r="Q12" s="636"/>
      <c r="R12" s="638"/>
    </row>
    <row r="13" spans="1:18" ht="14.5" x14ac:dyDescent="0.25">
      <c r="A13" s="256" t="s">
        <v>579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6"/>
      <c r="P13" s="636"/>
      <c r="Q13" s="636"/>
      <c r="R13" s="100"/>
    </row>
    <row r="14" spans="1:18" ht="15" customHeight="1" x14ac:dyDescent="0.25">
      <c r="A14" s="253"/>
      <c r="B14" s="253" t="s">
        <v>14</v>
      </c>
      <c r="C14" s="254"/>
      <c r="D14" s="163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6"/>
      <c r="P14" s="636"/>
      <c r="Q14" s="636"/>
      <c r="R14" s="110"/>
    </row>
    <row r="15" spans="1:18" ht="14.5" x14ac:dyDescent="0.25">
      <c r="A15" s="253"/>
      <c r="B15" s="253" t="s">
        <v>331</v>
      </c>
      <c r="C15" s="254"/>
      <c r="D15" s="163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6"/>
      <c r="P15" s="636"/>
      <c r="Q15" s="636"/>
      <c r="R15" s="106"/>
    </row>
    <row r="16" spans="1:18" ht="14.5" x14ac:dyDescent="0.25">
      <c r="A16" s="253"/>
      <c r="B16" s="166" t="s">
        <v>18</v>
      </c>
      <c r="C16" s="253"/>
      <c r="D16" s="255" t="s">
        <v>3</v>
      </c>
      <c r="E16" s="922">
        <f>ESA!N143</f>
        <v>219.84895701272265</v>
      </c>
      <c r="F16" s="258" t="str">
        <f>'DB Thermohygro'!N366</f>
        <v xml:space="preserve"> ± </v>
      </c>
      <c r="G16" s="922">
        <f>ESA!O143</f>
        <v>2.6381874841526716</v>
      </c>
      <c r="H16" s="922" t="str">
        <f>ESA!P143</f>
        <v>Volt</v>
      </c>
      <c r="I16" s="259"/>
      <c r="J16" s="253"/>
      <c r="K16" s="253"/>
      <c r="L16" s="253"/>
      <c r="M16" s="253"/>
      <c r="N16" s="253"/>
      <c r="O16" s="636"/>
      <c r="P16" s="636"/>
      <c r="Q16" s="636"/>
      <c r="R16" s="106"/>
    </row>
    <row r="17" spans="1:18" ht="9" customHeight="1" x14ac:dyDescent="0.25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6"/>
      <c r="P17" s="636"/>
      <c r="Q17" s="636"/>
      <c r="R17" s="106"/>
    </row>
    <row r="18" spans="1:18" ht="14.5" x14ac:dyDescent="0.25">
      <c r="A18" s="256" t="s">
        <v>580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6"/>
      <c r="P18" s="636"/>
      <c r="Q18" s="636"/>
      <c r="R18" s="106"/>
    </row>
    <row r="19" spans="1:18" ht="14.5" x14ac:dyDescent="0.25">
      <c r="A19" s="253"/>
      <c r="B19" s="253" t="s">
        <v>23</v>
      </c>
      <c r="C19" s="254"/>
      <c r="D19" s="255" t="str">
        <f>PENYELIA!D19</f>
        <v>: Baik</v>
      </c>
      <c r="G19" s="253"/>
      <c r="H19" s="253"/>
      <c r="I19" s="253"/>
      <c r="J19" s="253"/>
      <c r="K19" s="253"/>
      <c r="L19" s="253"/>
      <c r="M19" s="253"/>
      <c r="N19" s="253"/>
      <c r="O19" s="636"/>
      <c r="P19" s="636"/>
      <c r="Q19" s="636"/>
      <c r="R19" s="637"/>
    </row>
    <row r="20" spans="1:18" ht="14.5" x14ac:dyDescent="0.25">
      <c r="A20" s="253"/>
      <c r="B20" s="253" t="s">
        <v>26</v>
      </c>
      <c r="C20" s="254"/>
      <c r="D20" s="255" t="str">
        <f>PENYELIA!D20</f>
        <v>: Baik</v>
      </c>
      <c r="G20" s="253"/>
      <c r="H20" s="253"/>
      <c r="I20" s="253"/>
      <c r="J20" s="253"/>
      <c r="K20" s="253"/>
      <c r="L20" s="253"/>
      <c r="M20" s="253"/>
      <c r="N20" s="253"/>
      <c r="O20" s="636"/>
      <c r="P20" s="636"/>
      <c r="Q20" s="636"/>
      <c r="R20" s="637"/>
    </row>
    <row r="21" spans="1:18" ht="15" customHeight="1" x14ac:dyDescent="0.25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6"/>
      <c r="P21" s="636"/>
      <c r="Q21" s="636"/>
      <c r="R21" s="637"/>
    </row>
    <row r="22" spans="1:18" ht="14.5" x14ac:dyDescent="0.25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6"/>
      <c r="P22" s="636"/>
      <c r="Q22" s="636"/>
      <c r="R22" s="637"/>
    </row>
    <row r="23" spans="1:18" s="639" customFormat="1" ht="15.75" customHeight="1" x14ac:dyDescent="0.25">
      <c r="B23" s="1411" t="s">
        <v>133</v>
      </c>
      <c r="C23" s="1384" t="s">
        <v>30</v>
      </c>
      <c r="D23" s="1385"/>
      <c r="E23" s="1385"/>
      <c r="F23" s="1386"/>
      <c r="G23" s="1384" t="s">
        <v>31</v>
      </c>
      <c r="H23" s="1386"/>
      <c r="I23" s="1419" t="s">
        <v>353</v>
      </c>
      <c r="J23" s="1420"/>
      <c r="K23" s="923"/>
      <c r="L23" s="640"/>
      <c r="M23" s="437"/>
      <c r="N23" s="437"/>
      <c r="O23" s="641"/>
      <c r="P23" s="641"/>
      <c r="Q23" s="641"/>
      <c r="R23" s="642"/>
    </row>
    <row r="24" spans="1:18" s="639" customFormat="1" ht="15.75" customHeight="1" x14ac:dyDescent="0.25">
      <c r="B24" s="1412"/>
      <c r="C24" s="1387"/>
      <c r="D24" s="1388"/>
      <c r="E24" s="1388"/>
      <c r="F24" s="1389"/>
      <c r="G24" s="1387"/>
      <c r="H24" s="1389"/>
      <c r="I24" s="1421"/>
      <c r="J24" s="1422"/>
      <c r="K24" s="923"/>
      <c r="L24" s="640"/>
      <c r="M24" s="437"/>
      <c r="N24" s="437"/>
      <c r="O24" s="641"/>
      <c r="P24" s="641"/>
      <c r="Q24" s="641"/>
      <c r="R24" s="642"/>
    </row>
    <row r="25" spans="1:18" ht="14.5" x14ac:dyDescent="0.25">
      <c r="B25" s="263">
        <v>1</v>
      </c>
      <c r="C25" s="264" t="str">
        <f>ID!C25</f>
        <v>Resistansi Isolasi</v>
      </c>
      <c r="D25" s="265"/>
      <c r="E25" s="265"/>
      <c r="F25" s="265"/>
      <c r="G25" s="269" t="str">
        <f>PENYELIA!I25</f>
        <v>OL</v>
      </c>
      <c r="H25" s="927" t="str">
        <f>PENYELIA!J25</f>
        <v/>
      </c>
      <c r="I25" s="425" t="str">
        <f>PENYELIA!K25</f>
        <v>&gt; 2</v>
      </c>
      <c r="J25" s="267" t="s">
        <v>34</v>
      </c>
      <c r="K25" s="443"/>
      <c r="N25" s="270"/>
      <c r="O25" s="636"/>
      <c r="P25" s="636"/>
      <c r="Q25" s="636"/>
      <c r="R25" s="643"/>
    </row>
    <row r="26" spans="1:18" ht="14.5" x14ac:dyDescent="0.25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7" t="str">
        <f>PENYELIA!I26</f>
        <v>OL</v>
      </c>
      <c r="H26" s="927" t="str">
        <f>PENYELIA!J26</f>
        <v/>
      </c>
      <c r="I26" s="424">
        <f>PENYELIA!K26</f>
        <v>0.2</v>
      </c>
      <c r="J26" s="267" t="s">
        <v>38</v>
      </c>
      <c r="K26" s="443"/>
      <c r="N26" s="270"/>
      <c r="O26" s="636"/>
      <c r="P26" s="636"/>
      <c r="Q26" s="636"/>
      <c r="R26" s="643"/>
    </row>
    <row r="27" spans="1:18" ht="14.5" x14ac:dyDescent="0.25">
      <c r="B27" s="263">
        <v>3</v>
      </c>
      <c r="C27" s="264" t="str">
        <f>ID!C27</f>
        <v>Arus bocor peralatan untuk peralatan elektromedik kelas I</v>
      </c>
      <c r="D27" s="265"/>
      <c r="E27" s="265"/>
      <c r="F27" s="265"/>
      <c r="G27" s="928">
        <f>PENYELIA!I27</f>
        <v>651.2131948333581</v>
      </c>
      <c r="H27" s="927" t="str">
        <f>PENYELIA!J27</f>
        <v>µA</v>
      </c>
      <c r="I27" s="351">
        <f>PENYELIA!K27</f>
        <v>500</v>
      </c>
      <c r="J27" s="267" t="s">
        <v>43</v>
      </c>
      <c r="K27" s="443"/>
      <c r="N27" s="270"/>
      <c r="O27" s="636"/>
      <c r="P27" s="636"/>
      <c r="Q27" s="636"/>
      <c r="R27" s="643"/>
    </row>
    <row r="28" spans="1:18" ht="14.5" x14ac:dyDescent="0.25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928">
        <f>PENYELIA!I28</f>
        <v>24.558641571526138</v>
      </c>
      <c r="H28" s="927" t="str">
        <f>PENYELIA!J28</f>
        <v>µA</v>
      </c>
      <c r="I28" s="351">
        <f>PENYELIA!K28</f>
        <v>50</v>
      </c>
      <c r="J28" s="267" t="s">
        <v>43</v>
      </c>
      <c r="K28" s="443"/>
      <c r="N28" s="270"/>
      <c r="O28" s="636"/>
      <c r="P28" s="636"/>
      <c r="Q28" s="636"/>
      <c r="R28" s="643"/>
    </row>
    <row r="29" spans="1:18" ht="15" customHeight="1" x14ac:dyDescent="0.25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6"/>
      <c r="P29" s="636"/>
      <c r="Q29" s="636"/>
      <c r="R29" s="637"/>
    </row>
    <row r="30" spans="1:18" ht="14" x14ac:dyDescent="0.25">
      <c r="A30" s="256" t="s">
        <v>51</v>
      </c>
      <c r="B30" s="256" t="str">
        <f>PENYELIA!B30</f>
        <v>Pengujian Kinerja</v>
      </c>
      <c r="C30" s="633"/>
    </row>
    <row r="31" spans="1:18" ht="14.5" x14ac:dyDescent="0.25">
      <c r="B31" s="256" t="str">
        <f>ID!B31</f>
        <v>a. Pengamatan Visual 12 Lead</v>
      </c>
      <c r="C31" s="633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6"/>
      <c r="P31" s="636"/>
      <c r="Q31" s="636"/>
      <c r="R31" s="637"/>
    </row>
    <row r="32" spans="1:18" s="639" customFormat="1" ht="14.5" x14ac:dyDescent="0.25">
      <c r="B32" s="1440" t="s">
        <v>29</v>
      </c>
      <c r="C32" s="1440" t="s">
        <v>30</v>
      </c>
      <c r="D32" s="1440"/>
      <c r="E32" s="1409" t="s">
        <v>56</v>
      </c>
      <c r="F32" s="1442" t="s">
        <v>140</v>
      </c>
      <c r="G32" s="1442"/>
      <c r="H32" s="1452"/>
      <c r="I32" s="1452"/>
      <c r="J32" s="1452"/>
      <c r="K32" s="1452"/>
      <c r="L32" s="1452"/>
      <c r="M32" s="438"/>
      <c r="N32" s="438"/>
      <c r="O32" s="641"/>
      <c r="P32" s="641"/>
      <c r="Q32" s="641"/>
      <c r="R32" s="642"/>
    </row>
    <row r="33" spans="2:18" s="639" customFormat="1" ht="14.5" x14ac:dyDescent="0.25">
      <c r="B33" s="1440"/>
      <c r="C33" s="1440"/>
      <c r="D33" s="1440"/>
      <c r="E33" s="1442"/>
      <c r="F33" s="1442"/>
      <c r="G33" s="1442"/>
      <c r="H33" s="1452"/>
      <c r="I33" s="1452"/>
      <c r="J33" s="1452"/>
      <c r="K33" s="1452"/>
      <c r="L33" s="1452"/>
      <c r="M33" s="438"/>
      <c r="N33" s="438"/>
      <c r="O33" s="641"/>
      <c r="P33" s="641"/>
      <c r="Q33" s="641"/>
      <c r="R33" s="642"/>
    </row>
    <row r="34" spans="2:18" ht="14.5" x14ac:dyDescent="0.25">
      <c r="B34" s="1231">
        <v>1</v>
      </c>
      <c r="C34" s="1230" t="s">
        <v>59</v>
      </c>
      <c r="D34" s="1230"/>
      <c r="E34" s="1449" t="s">
        <v>60</v>
      </c>
      <c r="F34" s="1450" t="str">
        <f>PENYELIA!F34</f>
        <v>Baik</v>
      </c>
      <c r="G34" s="1450"/>
      <c r="H34" s="1451"/>
      <c r="I34" s="1451"/>
      <c r="J34" s="1451"/>
      <c r="K34" s="1451"/>
      <c r="L34" s="1451"/>
      <c r="M34" s="253"/>
      <c r="N34" s="253"/>
      <c r="O34" s="636"/>
      <c r="P34" s="636"/>
      <c r="Q34" s="636"/>
      <c r="R34" s="637"/>
    </row>
    <row r="35" spans="2:18" ht="14.5" x14ac:dyDescent="0.25">
      <c r="B35" s="1231"/>
      <c r="C35" s="1230"/>
      <c r="D35" s="1230"/>
      <c r="E35" s="1449"/>
      <c r="F35" s="1450"/>
      <c r="G35" s="1450"/>
      <c r="H35" s="1451"/>
      <c r="I35" s="1451"/>
      <c r="J35" s="1451"/>
      <c r="K35" s="1451"/>
      <c r="L35" s="1451"/>
      <c r="M35" s="253"/>
      <c r="N35" s="253"/>
      <c r="O35" s="636"/>
      <c r="P35" s="636"/>
      <c r="Q35" s="636"/>
      <c r="R35" s="637"/>
    </row>
    <row r="36" spans="2:18" ht="7.5" customHeight="1" x14ac:dyDescent="0.25">
      <c r="B36" s="645"/>
      <c r="C36" s="646"/>
      <c r="D36" s="647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6"/>
      <c r="P36" s="636"/>
      <c r="Q36" s="636"/>
      <c r="R36" s="637"/>
    </row>
    <row r="37" spans="2:18" ht="14.5" x14ac:dyDescent="0.25">
      <c r="B37" s="256" t="str">
        <f>PENYELIA!B37</f>
        <v xml:space="preserve">b. Kalibrasi Level Tegangan / Amplitudo </v>
      </c>
      <c r="C37" s="633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6"/>
      <c r="P37" s="636"/>
      <c r="Q37" s="636"/>
      <c r="R37" s="637"/>
    </row>
    <row r="38" spans="2:18" s="651" customFormat="1" ht="21" customHeight="1" x14ac:dyDescent="0.25">
      <c r="B38" s="1378" t="s">
        <v>29</v>
      </c>
      <c r="C38" s="1378" t="s">
        <v>30</v>
      </c>
      <c r="D38" s="1367" t="s">
        <v>56</v>
      </c>
      <c r="E38" s="1367" t="s">
        <v>150</v>
      </c>
      <c r="F38" s="1365" t="s">
        <v>354</v>
      </c>
      <c r="G38" s="1365" t="s">
        <v>355</v>
      </c>
      <c r="H38" s="1367" t="s">
        <v>356</v>
      </c>
      <c r="I38" s="1367" t="s">
        <v>357</v>
      </c>
      <c r="J38" s="1367" t="s">
        <v>334</v>
      </c>
      <c r="K38" s="1365" t="s">
        <v>337</v>
      </c>
      <c r="L38" s="1369"/>
      <c r="M38" s="648"/>
      <c r="N38" s="649"/>
      <c r="O38" s="650"/>
      <c r="P38" s="650"/>
      <c r="Q38" s="650"/>
    </row>
    <row r="39" spans="2:18" s="651" customFormat="1" ht="24" customHeight="1" x14ac:dyDescent="0.25">
      <c r="B39" s="1374"/>
      <c r="C39" s="1445"/>
      <c r="D39" s="1446"/>
      <c r="E39" s="1446"/>
      <c r="F39" s="1366"/>
      <c r="G39" s="1366"/>
      <c r="H39" s="1368"/>
      <c r="I39" s="1368"/>
      <c r="J39" s="1374"/>
      <c r="K39" s="1366"/>
      <c r="L39" s="1370"/>
      <c r="M39" s="648"/>
      <c r="N39" s="649"/>
      <c r="O39" s="650"/>
      <c r="P39" s="650"/>
      <c r="Q39" s="650"/>
    </row>
    <row r="40" spans="2:18" ht="14" x14ac:dyDescent="0.25">
      <c r="B40" s="1427">
        <v>1</v>
      </c>
      <c r="C40" s="1382" t="str">
        <f>PENYELIA!C40</f>
        <v xml:space="preserve">Sensitivitas </v>
      </c>
      <c r="D40" s="1438" t="str">
        <f>PENYELIA!D40</f>
        <v>Square Wave
2Hz, 1 mV</v>
      </c>
      <c r="E40" s="619">
        <f>PENYELIA!E40</f>
        <v>5</v>
      </c>
      <c r="F40" s="652">
        <f>IFERROR(PENYELIA!E40,"-")</f>
        <v>5</v>
      </c>
      <c r="G40" s="620">
        <f>IFERROR(PENYELIA!F40,"-")</f>
        <v>4.9193343333333335</v>
      </c>
      <c r="H40" s="620">
        <f>IF(G40="-","-",G40-F40)</f>
        <v>-8.0665666666666525E-2</v>
      </c>
      <c r="I40" s="620">
        <f>IFERROR((PENYELIA!AJ40),"-")</f>
        <v>-1.6397679279506825</v>
      </c>
      <c r="J40" s="1390" t="s">
        <v>339</v>
      </c>
      <c r="K40" s="1157" t="str">
        <f>PENYELIA!I40</f>
        <v>±</v>
      </c>
      <c r="L40" s="1157">
        <f>IFERROR((PENYELIA!AL40),"-")</f>
        <v>0.45079087827599607</v>
      </c>
    </row>
    <row r="41" spans="2:18" ht="14" x14ac:dyDescent="0.25">
      <c r="B41" s="1245"/>
      <c r="C41" s="1430"/>
      <c r="D41" s="1447"/>
      <c r="E41" s="619">
        <f>PENYELIA!E41</f>
        <v>10</v>
      </c>
      <c r="F41" s="652">
        <f>IFERROR(PENYELIA!E41,"-")</f>
        <v>10</v>
      </c>
      <c r="G41" s="620">
        <f>IFERROR(PENYELIA!F41,"-")</f>
        <v>9.9093343333333337</v>
      </c>
      <c r="H41" s="620">
        <f>IF(G41="-","-",G41-F41)</f>
        <v>-9.0665666666666311E-2</v>
      </c>
      <c r="I41" s="620">
        <f>IFERROR((PENYELIA!AJ41),"-")</f>
        <v>-0.91495214125213498</v>
      </c>
      <c r="J41" s="1391"/>
      <c r="K41" s="1157" t="str">
        <f>PENYELIA!I41</f>
        <v>±</v>
      </c>
      <c r="L41" s="1157">
        <f>IFERROR((PENYELIA!AL41),"-")</f>
        <v>0.22539543913799803</v>
      </c>
    </row>
    <row r="42" spans="2:18" ht="14" x14ac:dyDescent="0.25">
      <c r="B42" s="1222"/>
      <c r="C42" s="1383"/>
      <c r="D42" s="1439"/>
      <c r="E42" s="619">
        <f>PENYELIA!E42</f>
        <v>20</v>
      </c>
      <c r="F42" s="652">
        <f>IFERROR(PENYELIA!E42,"-")</f>
        <v>20</v>
      </c>
      <c r="G42" s="620">
        <f>IFERROR(PENYELIA!F42,"-")</f>
        <v>20.279334333333335</v>
      </c>
      <c r="H42" s="620">
        <f>IF(G42="-","-",G42-F42)</f>
        <v>0.27933433333333468</v>
      </c>
      <c r="I42" s="620">
        <f>IFERROR((PENYELIA!AJ42),"-")</f>
        <v>1.3774334440267606</v>
      </c>
      <c r="J42" s="1392"/>
      <c r="K42" s="1157" t="str">
        <f>PENYELIA!I42</f>
        <v>±</v>
      </c>
      <c r="L42" s="1157">
        <f>IFERROR((PENYELIA!AL42),"-")</f>
        <v>0.11269771956899828</v>
      </c>
    </row>
    <row r="43" spans="2:18" ht="6.75" customHeight="1" x14ac:dyDescent="0.25">
      <c r="B43" s="653"/>
      <c r="C43" s="653"/>
      <c r="D43" s="654"/>
      <c r="E43" s="655"/>
      <c r="F43" s="656"/>
      <c r="G43" s="656"/>
      <c r="H43" s="656"/>
      <c r="I43" s="657"/>
      <c r="J43" s="657"/>
      <c r="K43" s="657"/>
      <c r="L43" s="658"/>
      <c r="M43" s="636"/>
      <c r="N43" s="636"/>
      <c r="O43" s="636"/>
      <c r="P43" s="637"/>
      <c r="Q43" s="633"/>
    </row>
    <row r="44" spans="2:18" ht="14.5" x14ac:dyDescent="0.25">
      <c r="B44" s="256" t="str">
        <f>PENYELIA!B44</f>
        <v>c. Kalibrasi Laju Rekaman</v>
      </c>
      <c r="C44" s="633"/>
      <c r="D44" s="646"/>
      <c r="E44" s="659"/>
      <c r="F44" s="657"/>
      <c r="G44" s="657"/>
      <c r="H44" s="657"/>
      <c r="I44" s="657"/>
      <c r="J44" s="657"/>
      <c r="K44" s="657"/>
      <c r="L44" s="658"/>
      <c r="M44" s="636"/>
      <c r="N44" s="636"/>
      <c r="O44" s="636"/>
      <c r="P44" s="637"/>
      <c r="Q44" s="633"/>
    </row>
    <row r="45" spans="2:18" s="651" customFormat="1" ht="25.5" customHeight="1" x14ac:dyDescent="0.25">
      <c r="B45" s="1440" t="s">
        <v>29</v>
      </c>
      <c r="C45" s="1440" t="s">
        <v>30</v>
      </c>
      <c r="D45" s="1409" t="s">
        <v>56</v>
      </c>
      <c r="E45" s="1367" t="s">
        <v>146</v>
      </c>
      <c r="F45" s="1442" t="str">
        <f>PENYELIA!E45</f>
        <v>Lebar Pulsa EKG Simulator (mm)</v>
      </c>
      <c r="G45" s="1365" t="s">
        <v>355</v>
      </c>
      <c r="H45" s="1367" t="s">
        <v>356</v>
      </c>
      <c r="I45" s="1367" t="s">
        <v>357</v>
      </c>
      <c r="J45" s="1367" t="s">
        <v>334</v>
      </c>
      <c r="K45" s="1365" t="s">
        <v>337</v>
      </c>
      <c r="L45" s="1369"/>
      <c r="M45" s="648"/>
      <c r="O45" s="650"/>
      <c r="P45" s="650"/>
      <c r="Q45" s="650"/>
    </row>
    <row r="46" spans="2:18" s="651" customFormat="1" ht="21" customHeight="1" x14ac:dyDescent="0.25">
      <c r="B46" s="1440"/>
      <c r="C46" s="1441"/>
      <c r="D46" s="1442"/>
      <c r="E46" s="1446"/>
      <c r="F46" s="1442"/>
      <c r="G46" s="1366"/>
      <c r="H46" s="1368"/>
      <c r="I46" s="1368"/>
      <c r="J46" s="1374"/>
      <c r="K46" s="1366"/>
      <c r="L46" s="1370"/>
      <c r="M46" s="648"/>
      <c r="O46" s="650"/>
      <c r="P46" s="650"/>
      <c r="Q46" s="650"/>
    </row>
    <row r="47" spans="2:18" ht="22.5" customHeight="1" x14ac:dyDescent="0.25">
      <c r="B47" s="660">
        <v>1</v>
      </c>
      <c r="C47" s="1382" t="str">
        <f>PENYELIA!C47</f>
        <v>Laju Rekaman</v>
      </c>
      <c r="D47" s="1438" t="str">
        <f>LK!E62</f>
        <v>120 BPM,      2 mV</v>
      </c>
      <c r="E47" s="619">
        <v>25</v>
      </c>
      <c r="F47" s="661">
        <f>IFERROR(PENYELIA!E47,"-")</f>
        <v>100</v>
      </c>
      <c r="G47" s="662">
        <f>IFERROR(PENYELIA!F47,"-")</f>
        <v>103.99333433333334</v>
      </c>
      <c r="H47" s="620">
        <f>IF(G47="-","-",G47-F47)</f>
        <v>3.9933343333333369</v>
      </c>
      <c r="I47" s="662">
        <f>IFERROR((PENYELIA!AJ47),"-")</f>
        <v>3.8399906676069904</v>
      </c>
      <c r="J47" s="1443" t="s">
        <v>339</v>
      </c>
      <c r="K47" s="1157" t="str">
        <f>PENYELIA!I47</f>
        <v>±</v>
      </c>
      <c r="L47" s="1157">
        <f>IFERROR(PENYELIA!AL47,"-")</f>
        <v>2.2113328136335215E-2</v>
      </c>
      <c r="N47" s="633"/>
    </row>
    <row r="48" spans="2:18" ht="22.5" customHeight="1" x14ac:dyDescent="0.25">
      <c r="B48" s="660">
        <v>2</v>
      </c>
      <c r="C48" s="1383"/>
      <c r="D48" s="1439"/>
      <c r="E48" s="619">
        <v>50</v>
      </c>
      <c r="F48" s="661">
        <f>IFERROR(PENYELIA!E48,"-")</f>
        <v>100</v>
      </c>
      <c r="G48" s="662">
        <f>IFERROR(PENYELIA!F48,"-")</f>
        <v>100.11066766666666</v>
      </c>
      <c r="H48" s="620">
        <f>IF(G48="-","-",G48-F48)</f>
        <v>0.11066766666665728</v>
      </c>
      <c r="I48" s="662">
        <f>IFERROR((PENYELIA!AJ48),"-")</f>
        <v>0.11054532873074198</v>
      </c>
      <c r="J48" s="1444"/>
      <c r="K48" s="1157" t="str">
        <f>PENYELIA!I48</f>
        <v>±</v>
      </c>
      <c r="L48" s="1157">
        <f>IFERROR(PENYELIA!AL48,"-")</f>
        <v>2.2420436320188909E-2</v>
      </c>
      <c r="N48" s="633"/>
    </row>
    <row r="49" spans="2:17" ht="7.5" customHeight="1" x14ac:dyDescent="0.25">
      <c r="B49" s="256"/>
      <c r="C49" s="256"/>
      <c r="D49" s="646"/>
      <c r="E49" s="659"/>
      <c r="F49" s="663"/>
      <c r="G49" s="663"/>
      <c r="H49" s="663"/>
      <c r="I49" s="663"/>
      <c r="J49" s="664"/>
      <c r="K49" s="664"/>
      <c r="L49" s="925"/>
      <c r="M49" s="665"/>
      <c r="N49" s="636"/>
      <c r="O49" s="636"/>
      <c r="P49" s="637"/>
      <c r="Q49" s="633"/>
    </row>
    <row r="50" spans="2:17" ht="14.5" x14ac:dyDescent="0.25">
      <c r="B50" s="256" t="str">
        <f>ID!B53</f>
        <v>d. Kalibrasi Sinyal Sinusoida</v>
      </c>
      <c r="C50" s="633"/>
      <c r="D50" s="646"/>
      <c r="E50" s="659"/>
      <c r="F50" s="657"/>
      <c r="G50" s="657"/>
      <c r="H50" s="657"/>
      <c r="I50" s="657"/>
      <c r="J50" s="270"/>
      <c r="K50" s="270"/>
      <c r="L50" s="926"/>
      <c r="M50" s="636"/>
      <c r="N50" s="636"/>
      <c r="O50" s="636"/>
      <c r="P50" s="637"/>
      <c r="Q50" s="633"/>
    </row>
    <row r="51" spans="2:17" s="651" customFormat="1" ht="21" customHeight="1" x14ac:dyDescent="0.25">
      <c r="B51" s="1440" t="s">
        <v>29</v>
      </c>
      <c r="C51" s="1440" t="s">
        <v>30</v>
      </c>
      <c r="D51" s="1409" t="s">
        <v>56</v>
      </c>
      <c r="E51" s="1409" t="s">
        <v>150</v>
      </c>
      <c r="F51" s="1367" t="s">
        <v>354</v>
      </c>
      <c r="G51" s="1365" t="s">
        <v>355</v>
      </c>
      <c r="H51" s="1367" t="s">
        <v>356</v>
      </c>
      <c r="I51" s="1367" t="s">
        <v>357</v>
      </c>
      <c r="J51" s="1367" t="s">
        <v>334</v>
      </c>
      <c r="K51" s="1365" t="s">
        <v>337</v>
      </c>
      <c r="L51" s="1369"/>
      <c r="M51" s="648"/>
      <c r="N51" s="649"/>
      <c r="O51" s="650"/>
      <c r="P51" s="650"/>
      <c r="Q51" s="650"/>
    </row>
    <row r="52" spans="2:17" s="651" customFormat="1" ht="24" customHeight="1" x14ac:dyDescent="0.25">
      <c r="B52" s="1440"/>
      <c r="C52" s="1441"/>
      <c r="D52" s="1442"/>
      <c r="E52" s="1442"/>
      <c r="F52" s="1368"/>
      <c r="G52" s="1366"/>
      <c r="H52" s="1368"/>
      <c r="I52" s="1368"/>
      <c r="J52" s="1374"/>
      <c r="K52" s="1366"/>
      <c r="L52" s="1370"/>
      <c r="M52" s="648"/>
      <c r="N52" s="649"/>
      <c r="O52" s="650"/>
      <c r="P52" s="650"/>
      <c r="Q52" s="650"/>
    </row>
    <row r="53" spans="2:17" ht="45" customHeight="1" x14ac:dyDescent="0.25">
      <c r="B53" s="660">
        <v>1</v>
      </c>
      <c r="C53" s="666" t="s">
        <v>358</v>
      </c>
      <c r="D53" s="667" t="str">
        <f>PENYELIA!D53</f>
        <v>Sine Wave,    10 Hz,1 mV</v>
      </c>
      <c r="E53" s="431">
        <f>PENYELIA!E53</f>
        <v>20</v>
      </c>
      <c r="F53" s="668">
        <f>IFERROR(PENYELIA!E53,"-")</f>
        <v>20</v>
      </c>
      <c r="G53" s="662">
        <f>IFERROR(PENYELIA!F53,"-")</f>
        <v>19.993334333333333</v>
      </c>
      <c r="H53" s="620">
        <f>IF(G53="-","-",G53-F53)</f>
        <v>-6.6656666666666808E-3</v>
      </c>
      <c r="I53" s="662">
        <f>IFERROR((PENYELIA!AJ53),"-")</f>
        <v>-3.3339444814632704E-2</v>
      </c>
      <c r="J53" s="1157" t="str">
        <f>IF(G53="-","-","± 10")</f>
        <v>± 10</v>
      </c>
      <c r="K53" s="1157" t="str">
        <f>PENYELIA!I53</f>
        <v>±</v>
      </c>
      <c r="L53" s="1157">
        <f>IFERROR((PENYELIA!AL53),"-")</f>
        <v>0.11056664068167607</v>
      </c>
    </row>
    <row r="54" spans="2:17" ht="7.5" customHeight="1" x14ac:dyDescent="0.25">
      <c r="B54" s="256"/>
      <c r="C54" s="256"/>
      <c r="D54" s="646"/>
      <c r="E54" s="659"/>
      <c r="F54" s="657"/>
      <c r="G54" s="657"/>
      <c r="H54" s="657"/>
      <c r="I54" s="657"/>
      <c r="J54" s="270"/>
      <c r="K54" s="924"/>
      <c r="L54" s="926"/>
      <c r="M54" s="636"/>
      <c r="N54" s="636"/>
      <c r="O54" s="636"/>
      <c r="P54" s="637"/>
      <c r="Q54" s="633"/>
    </row>
    <row r="55" spans="2:17" ht="14.5" x14ac:dyDescent="0.25">
      <c r="B55" s="256" t="str">
        <f>ID!B58</f>
        <v>e. Kalibrasi Sinyal ECG Normal</v>
      </c>
      <c r="C55" s="633"/>
      <c r="D55" s="646"/>
      <c r="E55" s="659"/>
      <c r="F55" s="657"/>
      <c r="G55" s="657"/>
      <c r="H55" s="657"/>
      <c r="I55" s="657"/>
      <c r="J55" s="270"/>
      <c r="K55" s="924"/>
      <c r="L55" s="926"/>
      <c r="M55" s="636"/>
      <c r="N55" s="636"/>
      <c r="O55" s="636"/>
      <c r="P55" s="637"/>
      <c r="Q55" s="633"/>
    </row>
    <row r="56" spans="2:17" s="651" customFormat="1" ht="21" customHeight="1" x14ac:dyDescent="0.25">
      <c r="B56" s="1440" t="s">
        <v>29</v>
      </c>
      <c r="C56" s="1440" t="s">
        <v>30</v>
      </c>
      <c r="D56" s="1409" t="s">
        <v>56</v>
      </c>
      <c r="E56" s="1409" t="s">
        <v>150</v>
      </c>
      <c r="F56" s="1367" t="str">
        <f>ID!F59</f>
        <v>Tinggi amplitudo
(mm)</v>
      </c>
      <c r="G56" s="1365" t="s">
        <v>355</v>
      </c>
      <c r="H56" s="1367" t="s">
        <v>356</v>
      </c>
      <c r="I56" s="1367" t="s">
        <v>357</v>
      </c>
      <c r="J56" s="1367" t="s">
        <v>334</v>
      </c>
      <c r="K56" s="1365" t="s">
        <v>337</v>
      </c>
      <c r="L56" s="1369"/>
      <c r="M56" s="648"/>
      <c r="N56" s="649"/>
      <c r="O56" s="650"/>
      <c r="P56" s="650"/>
      <c r="Q56" s="650"/>
    </row>
    <row r="57" spans="2:17" s="651" customFormat="1" ht="25.5" customHeight="1" x14ac:dyDescent="0.25">
      <c r="B57" s="1440"/>
      <c r="C57" s="1441"/>
      <c r="D57" s="1442"/>
      <c r="E57" s="1442"/>
      <c r="F57" s="1368"/>
      <c r="G57" s="1366"/>
      <c r="H57" s="1368"/>
      <c r="I57" s="1368"/>
      <c r="J57" s="1374"/>
      <c r="K57" s="1366"/>
      <c r="L57" s="1370"/>
      <c r="M57" s="648"/>
      <c r="N57" s="649"/>
      <c r="O57" s="650"/>
      <c r="P57" s="650"/>
      <c r="Q57" s="650"/>
    </row>
    <row r="58" spans="2:17" ht="45" customHeight="1" x14ac:dyDescent="0.25">
      <c r="B58" s="660">
        <v>1</v>
      </c>
      <c r="C58" s="666" t="str">
        <f>PENYELIA!C58</f>
        <v>Sinyal ECG Normal</v>
      </c>
      <c r="D58" s="667" t="str">
        <f>PENYELIA!D58</f>
        <v>60 BPM, 
2 mV</v>
      </c>
      <c r="E58" s="431">
        <v>10</v>
      </c>
      <c r="F58" s="668">
        <v>20</v>
      </c>
      <c r="G58" s="662">
        <f>IFERROR(PENYELIA!F58,"-")</f>
        <v>19.993334333333333</v>
      </c>
      <c r="H58" s="620">
        <f>IF(G58="-","-",G58-F58)</f>
        <v>-6.6656666666666808E-3</v>
      </c>
      <c r="I58" s="662">
        <f>IFERROR((PENYELIA!AJ58),"-")</f>
        <v>-3.3339444814632704E-2</v>
      </c>
      <c r="J58" s="1157" t="str">
        <f>IF(G58="-","-","± 5")</f>
        <v>± 5</v>
      </c>
      <c r="K58" s="1157" t="str">
        <f>PENYELIA!I58</f>
        <v>±</v>
      </c>
      <c r="L58" s="1157">
        <f>IFERROR((PENYELIA!AL58),"-")</f>
        <v>0.11056664068167607</v>
      </c>
    </row>
    <row r="59" spans="2:17" ht="14.5" x14ac:dyDescent="0.25">
      <c r="B59" s="669"/>
      <c r="C59" s="670"/>
      <c r="D59" s="671"/>
      <c r="E59" s="672"/>
      <c r="F59" s="672"/>
      <c r="G59" s="673"/>
      <c r="H59" s="674"/>
      <c r="I59" s="675"/>
      <c r="J59" s="676"/>
      <c r="K59" s="676"/>
      <c r="L59" s="633"/>
      <c r="M59" s="636"/>
      <c r="N59" s="633"/>
      <c r="O59" s="633"/>
      <c r="P59" s="633"/>
      <c r="Q59" s="633"/>
    </row>
    <row r="60" spans="2:17" ht="14.5" x14ac:dyDescent="0.25">
      <c r="B60" s="669"/>
      <c r="C60" s="670"/>
      <c r="D60" s="671"/>
      <c r="E60" s="672"/>
      <c r="F60" s="672"/>
      <c r="G60" s="673"/>
      <c r="H60" s="674"/>
      <c r="I60" s="675"/>
      <c r="J60" s="676"/>
      <c r="K60" s="676"/>
      <c r="L60" s="633"/>
      <c r="M60" s="636"/>
      <c r="N60" s="633"/>
      <c r="O60" s="633"/>
      <c r="P60" s="633"/>
      <c r="Q60" s="633"/>
    </row>
    <row r="61" spans="2:17" ht="14.5" x14ac:dyDescent="0.25">
      <c r="B61" s="669"/>
      <c r="C61" s="670"/>
      <c r="D61" s="671"/>
      <c r="E61" s="672"/>
      <c r="F61" s="672"/>
      <c r="G61" s="673"/>
      <c r="H61" s="674"/>
      <c r="I61" s="675"/>
      <c r="J61" s="676"/>
      <c r="K61" s="676"/>
      <c r="L61" s="633"/>
      <c r="M61" s="636"/>
      <c r="N61" s="633"/>
      <c r="O61" s="633"/>
      <c r="P61" s="633"/>
      <c r="Q61" s="633"/>
    </row>
    <row r="62" spans="2:17" ht="3" customHeight="1" x14ac:dyDescent="0.25">
      <c r="B62" s="669"/>
      <c r="C62" s="670"/>
      <c r="D62" s="671"/>
      <c r="E62" s="672"/>
      <c r="F62" s="672"/>
      <c r="G62" s="673"/>
      <c r="H62" s="674"/>
      <c r="I62" s="675"/>
      <c r="J62" s="676"/>
      <c r="K62" s="676"/>
      <c r="L62" s="633"/>
      <c r="M62" s="636"/>
      <c r="N62" s="633"/>
      <c r="O62" s="633"/>
      <c r="P62" s="633"/>
      <c r="Q62" s="633"/>
    </row>
    <row r="63" spans="2:17" ht="13.5" customHeight="1" x14ac:dyDescent="0.25">
      <c r="B63" s="669"/>
      <c r="C63" s="670"/>
      <c r="D63" s="671"/>
      <c r="E63" s="672"/>
      <c r="F63" s="672"/>
      <c r="G63" s="673"/>
      <c r="H63" s="674"/>
      <c r="I63" s="675"/>
      <c r="J63" s="676"/>
      <c r="K63" s="676"/>
      <c r="L63" s="633"/>
      <c r="M63" s="636"/>
      <c r="N63" s="633"/>
      <c r="O63" s="633"/>
      <c r="P63" s="633"/>
      <c r="Q63" s="633"/>
    </row>
    <row r="64" spans="2:17" ht="14.5" hidden="1" x14ac:dyDescent="0.25">
      <c r="B64" s="669"/>
      <c r="C64" s="670"/>
      <c r="D64" s="671"/>
      <c r="E64" s="672"/>
      <c r="F64" s="672"/>
      <c r="G64" s="673"/>
      <c r="H64" s="674"/>
      <c r="I64" s="675"/>
      <c r="J64" s="676"/>
      <c r="K64" s="676"/>
      <c r="L64" s="633"/>
      <c r="M64" s="636"/>
      <c r="N64" s="633"/>
      <c r="O64" s="633"/>
      <c r="P64" s="633"/>
      <c r="Q64" s="633"/>
    </row>
    <row r="65" spans="1:23" ht="14.5" hidden="1" x14ac:dyDescent="0.25">
      <c r="B65" s="669"/>
      <c r="C65" s="670"/>
      <c r="D65" s="671"/>
      <c r="E65" s="672"/>
      <c r="F65" s="672"/>
      <c r="G65" s="673"/>
      <c r="H65" s="674"/>
      <c r="I65" s="675"/>
      <c r="J65" s="676"/>
      <c r="K65" s="676"/>
      <c r="L65" s="633"/>
      <c r="M65" s="636"/>
      <c r="N65" s="633"/>
      <c r="O65" s="633"/>
      <c r="P65" s="633"/>
      <c r="Q65" s="633"/>
    </row>
    <row r="66" spans="1:23" ht="7.5" hidden="1" customHeight="1" x14ac:dyDescent="0.25">
      <c r="B66" s="669"/>
      <c r="C66" s="670"/>
      <c r="D66" s="671"/>
      <c r="E66" s="672"/>
      <c r="F66" s="672"/>
      <c r="G66" s="673"/>
      <c r="H66" s="674"/>
      <c r="I66" s="675"/>
      <c r="J66" s="676"/>
      <c r="K66" s="676"/>
      <c r="L66" s="633"/>
      <c r="M66" s="636"/>
      <c r="N66" s="633"/>
      <c r="O66" s="633"/>
      <c r="P66" s="633"/>
      <c r="Q66" s="633"/>
    </row>
    <row r="67" spans="1:23" ht="12.75" customHeight="1" x14ac:dyDescent="0.2">
      <c r="B67" s="669"/>
      <c r="C67" s="670"/>
      <c r="D67" s="671"/>
      <c r="E67" s="672"/>
      <c r="F67" s="672"/>
      <c r="G67" s="673"/>
      <c r="H67" s="674"/>
      <c r="I67" s="675"/>
      <c r="J67" s="676"/>
      <c r="K67" s="676"/>
      <c r="L67" s="677" t="s">
        <v>359</v>
      </c>
      <c r="N67" s="633"/>
      <c r="O67" s="633"/>
      <c r="P67" s="633"/>
      <c r="Q67" s="633"/>
    </row>
    <row r="68" spans="1:23" ht="23.25" customHeight="1" x14ac:dyDescent="0.25">
      <c r="A68" s="678"/>
      <c r="B68" s="659"/>
      <c r="C68" s="659"/>
      <c r="D68" s="659"/>
      <c r="E68" s="659"/>
      <c r="F68" s="659"/>
      <c r="G68" s="659"/>
      <c r="H68" s="659"/>
      <c r="I68" s="659"/>
      <c r="J68" s="659"/>
      <c r="K68" s="659"/>
      <c r="N68" s="633"/>
      <c r="O68" s="636"/>
      <c r="P68" s="636"/>
      <c r="Q68" s="636"/>
      <c r="R68" s="679"/>
      <c r="S68" s="678"/>
      <c r="T68" s="678"/>
      <c r="U68" s="678"/>
      <c r="V68" s="678"/>
      <c r="W68" s="678"/>
    </row>
    <row r="69" spans="1:23" ht="15" customHeight="1" x14ac:dyDescent="0.25">
      <c r="A69" s="678"/>
      <c r="B69" s="659"/>
      <c r="C69" s="659"/>
      <c r="D69" s="659"/>
      <c r="E69" s="659"/>
      <c r="F69" s="659"/>
      <c r="G69" s="659"/>
      <c r="H69" s="659"/>
      <c r="I69" s="659"/>
      <c r="J69" s="659"/>
      <c r="K69" s="659"/>
      <c r="L69" s="657"/>
      <c r="M69" s="253"/>
      <c r="N69" s="253"/>
      <c r="O69" s="636"/>
      <c r="P69" s="636"/>
      <c r="Q69" s="636"/>
      <c r="R69" s="679"/>
      <c r="S69" s="678"/>
      <c r="T69" s="678"/>
      <c r="U69" s="678"/>
      <c r="V69" s="678"/>
      <c r="W69" s="678"/>
    </row>
    <row r="70" spans="1:23" ht="14.5" x14ac:dyDescent="0.25">
      <c r="A70" s="687" t="s">
        <v>154</v>
      </c>
      <c r="B70" s="687" t="s">
        <v>155</v>
      </c>
      <c r="C70" s="688"/>
      <c r="D70" s="689"/>
      <c r="E70" s="689"/>
      <c r="F70" s="689"/>
      <c r="G70" s="689"/>
      <c r="H70" s="689"/>
      <c r="I70" s="689"/>
      <c r="J70" s="182"/>
      <c r="K70" s="182"/>
      <c r="L70" s="182"/>
      <c r="N70" s="657"/>
      <c r="O70" s="680"/>
      <c r="P70" s="636"/>
      <c r="Q70" s="636"/>
      <c r="R70" s="679"/>
      <c r="S70" s="678"/>
      <c r="T70" s="678"/>
      <c r="U70" s="678"/>
      <c r="V70" s="678"/>
      <c r="W70" s="678"/>
    </row>
    <row r="71" spans="1:23" ht="15" customHeight="1" x14ac:dyDescent="0.25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7"/>
      <c r="O71" s="680"/>
      <c r="P71" s="636"/>
      <c r="Q71" s="636"/>
      <c r="R71" s="679"/>
      <c r="S71" s="678"/>
      <c r="T71" s="678"/>
      <c r="U71" s="678"/>
      <c r="V71" s="678"/>
      <c r="W71" s="678"/>
    </row>
    <row r="72" spans="1:23" ht="15" customHeight="1" x14ac:dyDescent="0.25">
      <c r="A72" s="179"/>
      <c r="B72" s="180" t="str">
        <f>PENYELIA!B62</f>
        <v>Hasil pengukuran keselamatan listrik tertelusur ke Satuan Internasional ( SI ) melalui PT. Kaliman</v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7"/>
      <c r="O72" s="680"/>
      <c r="P72" s="636"/>
      <c r="Q72" s="636"/>
      <c r="R72" s="679"/>
      <c r="S72" s="678"/>
      <c r="T72" s="678"/>
      <c r="U72" s="678"/>
      <c r="V72" s="678"/>
      <c r="W72" s="678"/>
    </row>
    <row r="73" spans="1:23" ht="14.5" x14ac:dyDescent="0.25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7"/>
      <c r="O73" s="680"/>
      <c r="P73" s="636"/>
      <c r="Q73" s="636"/>
      <c r="R73" s="679"/>
      <c r="S73" s="678"/>
      <c r="T73" s="678"/>
      <c r="U73" s="678"/>
      <c r="V73" s="678"/>
      <c r="W73" s="678"/>
    </row>
    <row r="74" spans="1:23" ht="15" customHeight="1" x14ac:dyDescent="0.25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7"/>
      <c r="O74" s="680"/>
      <c r="P74" s="636"/>
      <c r="Q74" s="636"/>
      <c r="R74" s="679"/>
      <c r="S74" s="678"/>
      <c r="T74" s="678"/>
      <c r="U74" s="678"/>
      <c r="V74" s="678"/>
      <c r="W74" s="678"/>
    </row>
    <row r="75" spans="1:23" ht="14.25" customHeight="1" x14ac:dyDescent="0.25">
      <c r="A75" s="272" t="s">
        <v>346</v>
      </c>
      <c r="B75" s="180" t="str">
        <f>PENYELIA!B65</f>
        <v>Alat tidak boleh digunakan pada instalasi tanpa dilengkapi grounding</v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7"/>
      <c r="O75" s="680"/>
      <c r="P75" s="636"/>
      <c r="Q75" s="636"/>
      <c r="R75" s="679"/>
      <c r="S75" s="678"/>
      <c r="T75" s="678"/>
      <c r="U75" s="678"/>
      <c r="V75" s="678"/>
      <c r="W75" s="678"/>
    </row>
    <row r="76" spans="1:23" ht="15" customHeight="1" x14ac:dyDescent="0.25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7"/>
      <c r="O76" s="680"/>
      <c r="P76" s="636"/>
      <c r="Q76" s="636"/>
      <c r="R76" s="679"/>
      <c r="S76" s="678"/>
      <c r="T76" s="678"/>
      <c r="U76" s="678"/>
      <c r="V76" s="678"/>
      <c r="W76" s="678"/>
    </row>
    <row r="77" spans="1:23" ht="15" customHeight="1" x14ac:dyDescent="0.25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7"/>
      <c r="O77" s="680"/>
      <c r="P77" s="636"/>
      <c r="Q77" s="636"/>
      <c r="R77" s="679"/>
      <c r="S77" s="678"/>
      <c r="T77" s="678"/>
      <c r="U77" s="678"/>
      <c r="V77" s="678"/>
      <c r="W77" s="678"/>
    </row>
    <row r="78" spans="1:23" ht="14.5" x14ac:dyDescent="0.25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6"/>
      <c r="P78" s="636"/>
      <c r="Q78" s="636"/>
      <c r="R78" s="679"/>
      <c r="S78" s="678"/>
      <c r="T78" s="678"/>
      <c r="U78" s="678"/>
      <c r="V78" s="678"/>
      <c r="W78" s="678"/>
    </row>
    <row r="79" spans="1:23" ht="14.5" x14ac:dyDescent="0.25">
      <c r="A79" s="185"/>
      <c r="B79" s="190" t="str">
        <f>PENYELIA!B69</f>
        <v>Multiparameter Simulator, Merek : RIGEL , Model : PatSim200, SN : 15L-0684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6"/>
      <c r="P79" s="636"/>
      <c r="Q79" s="636"/>
      <c r="R79" s="679"/>
      <c r="S79" s="678"/>
      <c r="T79" s="678"/>
      <c r="U79" s="678"/>
      <c r="V79" s="678"/>
      <c r="W79" s="678"/>
    </row>
    <row r="80" spans="1:23" ht="14.5" x14ac:dyDescent="0.25">
      <c r="A80" s="185"/>
      <c r="B80" s="190" t="str">
        <f>PENYELIA!B70</f>
        <v>Electrical Safety Analyzer, Merek : Fluke, Model : ESA 615, SN : 4669058</v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6"/>
      <c r="P80" s="636"/>
      <c r="Q80" s="636"/>
      <c r="R80" s="637"/>
    </row>
    <row r="81" spans="1:19" ht="14.5" x14ac:dyDescent="0.25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6"/>
      <c r="P81" s="636"/>
      <c r="Q81" s="636"/>
      <c r="R81" s="637"/>
    </row>
    <row r="82" spans="1:19" ht="15" customHeight="1" x14ac:dyDescent="0.2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6"/>
      <c r="P82" s="636"/>
      <c r="Q82" s="636"/>
      <c r="R82" s="637"/>
    </row>
    <row r="83" spans="1:19" ht="14.5" x14ac:dyDescent="0.25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6"/>
      <c r="P83" s="636"/>
      <c r="Q83" s="636"/>
      <c r="R83" s="637"/>
    </row>
    <row r="84" spans="1:19" ht="15" customHeight="1" x14ac:dyDescent="0.25">
      <c r="A84" s="185"/>
      <c r="B84" s="1448" t="str">
        <f>PENYELIA!B74</f>
        <v>Alat yang dikalibrasi dalam batas toleransi dan dinyatakan LAIK PAKAI, dimana hasil atau skor akhir sama dengan atau melampaui 70 % berdasarkan Keputusan Direktur Jenderal Pelayanan Kesehatan No : HK.02.02/V/0412/2020</v>
      </c>
      <c r="C84" s="1448"/>
      <c r="D84" s="1448"/>
      <c r="E84" s="1448"/>
      <c r="F84" s="1448"/>
      <c r="G84" s="1448"/>
      <c r="H84" s="1448"/>
      <c r="I84" s="1448"/>
      <c r="J84" s="1448"/>
      <c r="K84" s="1448"/>
      <c r="L84" s="1448"/>
      <c r="N84" s="253"/>
      <c r="O84" s="636"/>
      <c r="P84" s="636"/>
      <c r="Q84" s="636"/>
      <c r="R84" s="637"/>
      <c r="S84" s="678"/>
    </row>
    <row r="85" spans="1:19" ht="15" customHeight="1" x14ac:dyDescent="0.25">
      <c r="A85" s="185"/>
      <c r="B85" s="1448"/>
      <c r="C85" s="1448"/>
      <c r="D85" s="1448"/>
      <c r="E85" s="1448"/>
      <c r="F85" s="1448"/>
      <c r="G85" s="1448"/>
      <c r="H85" s="1448"/>
      <c r="I85" s="1448"/>
      <c r="J85" s="1448"/>
      <c r="K85" s="1448"/>
      <c r="L85" s="1448"/>
      <c r="N85" s="253"/>
      <c r="O85" s="636"/>
      <c r="P85" s="636"/>
      <c r="Q85" s="636"/>
      <c r="R85" s="637"/>
    </row>
    <row r="86" spans="1:19" ht="15" customHeight="1" x14ac:dyDescent="0.25">
      <c r="A86" s="185"/>
      <c r="B86" s="690"/>
      <c r="C86" s="690"/>
      <c r="D86" s="690"/>
      <c r="E86" s="690"/>
      <c r="F86" s="690"/>
      <c r="G86" s="690"/>
      <c r="H86" s="690"/>
      <c r="I86" s="690"/>
      <c r="J86" s="690"/>
      <c r="K86" s="921"/>
      <c r="L86" s="690"/>
      <c r="N86" s="253"/>
      <c r="O86" s="636"/>
      <c r="P86" s="636"/>
      <c r="Q86" s="636"/>
      <c r="R86" s="637"/>
    </row>
    <row r="87" spans="1:19" ht="14.5" x14ac:dyDescent="0.25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6"/>
      <c r="P87" s="636"/>
      <c r="Q87" s="636"/>
      <c r="R87" s="637"/>
    </row>
    <row r="88" spans="1:19" ht="14.5" x14ac:dyDescent="0.25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91"/>
      <c r="K88" s="691"/>
      <c r="L88" s="691"/>
      <c r="N88" s="253"/>
      <c r="O88" s="636"/>
      <c r="P88" s="636"/>
      <c r="Q88" s="636"/>
      <c r="R88" s="637"/>
    </row>
    <row r="89" spans="1:19" ht="15" customHeight="1" x14ac:dyDescent="0.25">
      <c r="A89" s="185"/>
      <c r="B89" s="692"/>
      <c r="C89" s="181"/>
      <c r="D89" s="181"/>
      <c r="E89" s="181"/>
      <c r="F89" s="181"/>
      <c r="G89" s="181"/>
      <c r="H89" s="181"/>
      <c r="I89" s="181"/>
      <c r="J89" s="693"/>
      <c r="K89" s="693"/>
      <c r="L89" s="694"/>
      <c r="N89" s="253"/>
      <c r="O89" s="636"/>
      <c r="P89" s="636"/>
      <c r="Q89" s="636"/>
      <c r="R89" s="637"/>
    </row>
    <row r="90" spans="1:19" ht="15" customHeight="1" x14ac:dyDescent="0.25">
      <c r="A90" s="185"/>
      <c r="B90" s="695"/>
      <c r="C90" s="695"/>
      <c r="D90" s="695"/>
      <c r="E90" s="695"/>
      <c r="F90" s="695"/>
      <c r="G90" s="276"/>
      <c r="H90" s="276"/>
      <c r="I90" s="276"/>
      <c r="J90" s="696"/>
      <c r="K90" s="696"/>
      <c r="L90" s="694"/>
      <c r="N90" s="253"/>
      <c r="O90" s="636"/>
      <c r="P90" s="636"/>
      <c r="Q90" s="636"/>
      <c r="R90" s="637"/>
    </row>
    <row r="91" spans="1:19" ht="15" customHeight="1" x14ac:dyDescent="0.25">
      <c r="A91" s="185"/>
      <c r="B91" s="697"/>
      <c r="C91" s="283"/>
      <c r="D91" s="283"/>
      <c r="E91" s="283"/>
      <c r="F91" s="698"/>
      <c r="G91" s="276"/>
      <c r="H91" s="276"/>
      <c r="I91" s="276"/>
      <c r="J91" s="696"/>
      <c r="K91" s="696"/>
      <c r="L91" s="694"/>
      <c r="N91" s="253"/>
      <c r="O91" s="636"/>
      <c r="P91" s="636"/>
      <c r="Q91" s="636"/>
      <c r="R91" s="637"/>
    </row>
    <row r="92" spans="1:19" ht="15" customHeight="1" x14ac:dyDescent="0.25">
      <c r="A92" s="185"/>
      <c r="B92" s="697"/>
      <c r="C92" s="284"/>
      <c r="D92" s="284"/>
      <c r="E92" s="284"/>
      <c r="F92" s="284"/>
      <c r="G92" s="276"/>
      <c r="H92" s="285" t="s">
        <v>360</v>
      </c>
      <c r="I92" s="276"/>
      <c r="J92" s="276"/>
      <c r="K92" s="276"/>
      <c r="L92" s="694"/>
      <c r="N92" s="253"/>
      <c r="O92" s="636"/>
      <c r="P92" s="636"/>
      <c r="Q92" s="636"/>
      <c r="R92" s="637"/>
    </row>
    <row r="93" spans="1:19" ht="14.5" x14ac:dyDescent="0.25">
      <c r="A93" s="185"/>
      <c r="B93" s="275"/>
      <c r="C93" s="275"/>
      <c r="D93" s="275"/>
      <c r="E93" s="275"/>
      <c r="F93" s="275"/>
      <c r="G93" s="276"/>
      <c r="H93" s="285" t="s">
        <v>361</v>
      </c>
      <c r="I93" s="276"/>
      <c r="J93" s="276"/>
      <c r="K93" s="276"/>
      <c r="L93" s="185"/>
      <c r="N93" s="253"/>
      <c r="O93" s="636"/>
      <c r="P93" s="636"/>
      <c r="Q93" s="683"/>
      <c r="R93" s="637"/>
    </row>
    <row r="94" spans="1:19" ht="14.5" x14ac:dyDescent="0.25">
      <c r="A94" s="185"/>
      <c r="B94" s="277"/>
      <c r="C94" s="277"/>
      <c r="D94" s="277"/>
      <c r="E94" s="277"/>
      <c r="F94" s="277"/>
      <c r="G94" s="276"/>
      <c r="H94" s="285" t="s">
        <v>362</v>
      </c>
      <c r="I94" s="276"/>
      <c r="J94" s="276"/>
      <c r="K94" s="276"/>
      <c r="L94" s="185"/>
      <c r="N94" s="253"/>
      <c r="O94" s="685"/>
      <c r="P94" s="636"/>
      <c r="Q94" s="636"/>
      <c r="R94" s="637"/>
    </row>
    <row r="95" spans="1:19" ht="14.5" x14ac:dyDescent="0.25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6"/>
      <c r="Q95" s="636"/>
      <c r="R95" s="637"/>
    </row>
    <row r="96" spans="1:19" ht="14.5" x14ac:dyDescent="0.25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6"/>
      <c r="P96" s="636"/>
      <c r="Q96" s="636"/>
      <c r="R96" s="637"/>
    </row>
    <row r="97" spans="1:17" ht="14" x14ac:dyDescent="0.25">
      <c r="A97" s="699"/>
      <c r="B97" s="699"/>
      <c r="C97" s="699"/>
      <c r="D97" s="699"/>
      <c r="E97" s="699"/>
      <c r="F97" s="699"/>
      <c r="G97" s="276"/>
      <c r="H97" s="285"/>
      <c r="I97" s="276"/>
      <c r="J97" s="276"/>
      <c r="K97" s="276"/>
      <c r="L97" s="699"/>
      <c r="N97" s="686"/>
      <c r="O97" s="686"/>
      <c r="P97" s="686"/>
      <c r="Q97" s="686"/>
    </row>
    <row r="98" spans="1:17" ht="14" x14ac:dyDescent="0.25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ht="14" x14ac:dyDescent="0.3">
      <c r="A99" s="276"/>
      <c r="B99" s="276"/>
      <c r="C99" s="276"/>
      <c r="D99" s="276"/>
      <c r="E99" s="276"/>
      <c r="F99" s="276"/>
      <c r="G99" s="276"/>
      <c r="H99" s="358" t="s">
        <v>491</v>
      </c>
      <c r="I99" s="276"/>
      <c r="J99" s="276"/>
      <c r="K99" s="276"/>
      <c r="L99" s="276"/>
    </row>
    <row r="100" spans="1:17" ht="14" x14ac:dyDescent="0.25">
      <c r="A100" s="276"/>
      <c r="B100" s="276"/>
      <c r="C100" s="276"/>
      <c r="D100" s="276"/>
      <c r="E100" s="276"/>
      <c r="F100" s="276"/>
      <c r="G100" s="276"/>
      <c r="H100" s="357" t="s">
        <v>363</v>
      </c>
      <c r="I100" s="276"/>
      <c r="J100" s="276"/>
      <c r="K100" s="276"/>
      <c r="L100" s="276"/>
    </row>
    <row r="101" spans="1:17" x14ac:dyDescent="0.25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5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5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5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5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5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5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5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5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5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5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5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5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5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5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5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5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5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5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5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5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5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5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5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5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5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5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5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5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5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5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5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5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5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5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5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5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5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5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5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5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5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5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5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5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4"/>
      <c r="P151" s="644"/>
      <c r="Q151" s="644"/>
      <c r="R151" s="633"/>
      <c r="S151" s="633"/>
      <c r="T151" s="633"/>
      <c r="U151" s="633"/>
      <c r="V151" s="633"/>
      <c r="W151" s="633"/>
    </row>
    <row r="152" spans="1:23" x14ac:dyDescent="0.25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364</v>
      </c>
      <c r="O153" s="644"/>
      <c r="P153" s="644"/>
      <c r="Q153" s="644"/>
      <c r="R153" s="633"/>
      <c r="S153" s="633"/>
      <c r="T153" s="633"/>
      <c r="U153" s="633"/>
      <c r="V153" s="633"/>
      <c r="W153" s="633"/>
    </row>
  </sheetData>
  <sheetProtection formatCells="0" formatColumns="0" formatRows="0" insertColumns="0" insertRows="0" deleteColumns="0" deleteRows="0"/>
  <mergeCells count="64"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topLeftCell="A25" zoomScaleNormal="100" zoomScaleSheetLayoutView="90" workbookViewId="0">
      <selection activeCell="B47" sqref="B47"/>
    </sheetView>
  </sheetViews>
  <sheetFormatPr defaultColWidth="9.36328125" defaultRowHeight="12.5" x14ac:dyDescent="0.25"/>
  <cols>
    <col min="1" max="1" width="18.36328125" style="960" customWidth="1"/>
    <col min="2" max="2" width="26.36328125" style="960" customWidth="1"/>
    <col min="3" max="3" width="3.36328125" style="960" customWidth="1"/>
    <col min="4" max="4" width="11.54296875" style="960" customWidth="1"/>
    <col min="5" max="5" width="9.453125" style="960" customWidth="1"/>
    <col min="6" max="6" width="22.54296875" style="960" customWidth="1"/>
    <col min="7" max="7" width="9.36328125" style="960"/>
    <col min="8" max="8" width="18.6328125" style="960" customWidth="1"/>
    <col min="9" max="9" width="12.36328125" style="960" customWidth="1"/>
    <col min="10" max="16384" width="9.36328125" style="960"/>
  </cols>
  <sheetData>
    <row r="1" spans="1:15" x14ac:dyDescent="0.25">
      <c r="H1" s="961"/>
      <c r="I1" s="962"/>
      <c r="J1" s="962"/>
    </row>
    <row r="2" spans="1:15" ht="30" x14ac:dyDescent="0.25">
      <c r="A2" s="1472" t="str">
        <f>B46</f>
        <v>SERTIFIKAT KALIBRASI</v>
      </c>
      <c r="B2" s="1472"/>
      <c r="C2" s="1472"/>
      <c r="D2" s="1472"/>
      <c r="E2" s="1472"/>
      <c r="F2" s="1472"/>
      <c r="H2" s="963"/>
      <c r="I2" s="1473"/>
      <c r="J2" s="1474"/>
    </row>
    <row r="3" spans="1:15" ht="14" x14ac:dyDescent="0.3">
      <c r="A3" s="1475" t="str">
        <f>"Nomor : 18 /"&amp;" "&amp;[1]ID!I2</f>
        <v>Nomor : 18 / 1 / IV - 21 / E - 00.000 DL</v>
      </c>
      <c r="B3" s="1475"/>
      <c r="C3" s="1475"/>
      <c r="D3" s="1475"/>
      <c r="E3" s="1475"/>
      <c r="F3" s="1475"/>
    </row>
    <row r="4" spans="1:15" ht="13" x14ac:dyDescent="0.3">
      <c r="C4" s="960" t="s">
        <v>591</v>
      </c>
      <c r="D4" s="1476" t="str">
        <f>ID!E11</f>
        <v xml:space="preserve"> MK.020-18</v>
      </c>
      <c r="E4" s="1476"/>
      <c r="F4" s="1476"/>
      <c r="H4" s="964"/>
      <c r="I4" s="964"/>
      <c r="J4" s="964"/>
    </row>
    <row r="5" spans="1:15" ht="14.5" x14ac:dyDescent="0.35">
      <c r="H5" s="1477"/>
      <c r="I5" s="1477"/>
      <c r="J5" s="1477"/>
    </row>
    <row r="6" spans="1:15" ht="14" x14ac:dyDescent="0.25">
      <c r="A6" s="965" t="s">
        <v>592</v>
      </c>
      <c r="B6" s="966" t="s">
        <v>623</v>
      </c>
      <c r="C6" s="967"/>
      <c r="D6" s="1459" t="s">
        <v>593</v>
      </c>
      <c r="E6" s="1460"/>
      <c r="F6" s="968" t="str">
        <f>MID(A3,SEARCH("E - ",A3),LEN(A3))</f>
        <v>E - 00.000 DL</v>
      </c>
    </row>
    <row r="7" spans="1:15" ht="14" x14ac:dyDescent="0.25">
      <c r="A7" s="969"/>
      <c r="B7" s="969"/>
      <c r="C7" s="969"/>
    </row>
    <row r="8" spans="1:15" ht="14" x14ac:dyDescent="0.25">
      <c r="A8" s="1454" t="s">
        <v>2</v>
      </c>
      <c r="B8" s="1454"/>
      <c r="C8" s="970" t="s">
        <v>3</v>
      </c>
      <c r="D8" s="1454" t="str">
        <f>ID!E4</f>
        <v xml:space="preserve"> MED Cardio</v>
      </c>
      <c r="E8" s="1454"/>
      <c r="F8" s="1454"/>
      <c r="I8" s="1469"/>
      <c r="J8" s="1469"/>
    </row>
    <row r="9" spans="1:15" ht="14" x14ac:dyDescent="0.25">
      <c r="A9" s="1454" t="s">
        <v>594</v>
      </c>
      <c r="B9" s="1454"/>
      <c r="C9" s="970" t="s">
        <v>3</v>
      </c>
      <c r="D9" s="1454" t="str">
        <f>ID!E5</f>
        <v xml:space="preserve"> ECG - 3303B</v>
      </c>
      <c r="E9" s="1454"/>
      <c r="F9" s="1454"/>
      <c r="I9" s="1469"/>
      <c r="J9" s="1469"/>
    </row>
    <row r="10" spans="1:15" ht="14.5" x14ac:dyDescent="0.35">
      <c r="A10" s="1454" t="s">
        <v>595</v>
      </c>
      <c r="B10" s="1454"/>
      <c r="C10" s="970" t="s">
        <v>3</v>
      </c>
      <c r="D10" s="1454" t="str">
        <f>ID!E6</f>
        <v xml:space="preserve"> ECG - 3303B1701075</v>
      </c>
      <c r="E10" s="1454"/>
      <c r="F10" s="1454"/>
      <c r="I10" s="1470"/>
      <c r="J10" s="1461"/>
      <c r="O10" s="971"/>
    </row>
    <row r="11" spans="1:15" s="962" customFormat="1" ht="14.5" hidden="1" x14ac:dyDescent="0.35">
      <c r="A11" s="1471" t="s">
        <v>596</v>
      </c>
      <c r="B11" s="1471"/>
      <c r="C11" s="972" t="s">
        <v>3</v>
      </c>
      <c r="D11" s="973" t="str">
        <f>I11&amp;"    "&amp;J11&amp;""</f>
        <v xml:space="preserve">    </v>
      </c>
      <c r="E11" s="973"/>
      <c r="F11" s="974">
        <f>J11</f>
        <v>0</v>
      </c>
      <c r="I11" s="975"/>
      <c r="J11" s="976"/>
      <c r="O11" s="976"/>
    </row>
    <row r="12" spans="1:15" s="962" customFormat="1" ht="14.5" hidden="1" x14ac:dyDescent="0.35">
      <c r="A12" s="1471" t="s">
        <v>597</v>
      </c>
      <c r="B12" s="1471"/>
      <c r="C12" s="972" t="s">
        <v>3</v>
      </c>
      <c r="D12" s="977">
        <f>[1]LH!E8</f>
        <v>1</v>
      </c>
      <c r="E12" s="977"/>
      <c r="F12" s="974"/>
      <c r="I12" s="978"/>
      <c r="J12" s="976"/>
      <c r="O12" s="976"/>
    </row>
    <row r="13" spans="1:15" ht="14.5" x14ac:dyDescent="0.35">
      <c r="A13" s="979"/>
      <c r="B13" s="979"/>
      <c r="C13" s="969"/>
      <c r="I13" s="1468"/>
      <c r="J13" s="1468"/>
      <c r="O13" s="971"/>
    </row>
    <row r="14" spans="1:15" ht="28.5" customHeight="1" x14ac:dyDescent="0.35">
      <c r="A14" s="980" t="s">
        <v>598</v>
      </c>
      <c r="B14" s="981"/>
      <c r="C14" s="969"/>
      <c r="D14" s="1459" t="s">
        <v>599</v>
      </c>
      <c r="E14" s="1460"/>
      <c r="F14" s="982"/>
      <c r="I14" s="1461"/>
      <c r="J14" s="1461"/>
      <c r="O14" s="971"/>
    </row>
    <row r="15" spans="1:15" ht="14.5" x14ac:dyDescent="0.25">
      <c r="A15" s="983"/>
      <c r="B15" s="969"/>
      <c r="C15" s="969"/>
      <c r="D15" s="969"/>
      <c r="E15" s="969"/>
      <c r="I15" s="1462"/>
      <c r="J15" s="1462"/>
    </row>
    <row r="16" spans="1:15" s="962" customFormat="1" ht="42.75" customHeight="1" x14ac:dyDescent="0.3">
      <c r="A16" s="1463" t="s">
        <v>600</v>
      </c>
      <c r="B16" s="1463"/>
      <c r="C16" s="984" t="s">
        <v>3</v>
      </c>
      <c r="D16" s="1464" t="s">
        <v>608</v>
      </c>
      <c r="E16" s="1464"/>
      <c r="F16" s="1464"/>
      <c r="H16" s="985"/>
      <c r="I16" s="1465"/>
      <c r="J16" s="1466"/>
    </row>
    <row r="17" spans="1:10" ht="14.5" x14ac:dyDescent="0.35">
      <c r="A17" s="1454" t="str">
        <f>"Nama Ruang "</f>
        <v xml:space="preserve">Nama Ruang </v>
      </c>
      <c r="B17" s="1454"/>
      <c r="C17" s="970" t="s">
        <v>3</v>
      </c>
      <c r="D17" s="1456" t="str">
        <f>ID!E10</f>
        <v xml:space="preserve"> Poli Geriatri</v>
      </c>
      <c r="E17" s="1456"/>
      <c r="F17" s="1456"/>
      <c r="H17" s="1467"/>
      <c r="I17" s="1467"/>
      <c r="J17" s="1467"/>
    </row>
    <row r="18" spans="1:10" ht="14.5" x14ac:dyDescent="0.35">
      <c r="A18" s="1454" t="s">
        <v>489</v>
      </c>
      <c r="B18" s="1454"/>
      <c r="C18" s="970" t="s">
        <v>3</v>
      </c>
      <c r="D18" s="1458" t="str">
        <f>ID!E7</f>
        <v xml:space="preserve"> 25 Maret 2021</v>
      </c>
      <c r="E18" s="1458"/>
      <c r="F18" s="1458"/>
      <c r="H18" s="986"/>
      <c r="I18" s="986"/>
      <c r="J18" s="986"/>
    </row>
    <row r="19" spans="1:10" ht="14.25" customHeight="1" x14ac:dyDescent="0.25">
      <c r="A19" s="1454" t="str">
        <f>"Tanggal "&amp;B50</f>
        <v>Tanggal Kalibrasi</v>
      </c>
      <c r="B19" s="1454"/>
      <c r="C19" s="970" t="s">
        <v>3</v>
      </c>
      <c r="D19" s="1458" t="str">
        <f>ID!E8</f>
        <v xml:space="preserve"> 25 Maret 2021</v>
      </c>
      <c r="E19" s="1458"/>
      <c r="F19" s="1458"/>
    </row>
    <row r="20" spans="1:10" ht="14" x14ac:dyDescent="0.25">
      <c r="A20" s="1454" t="str">
        <f>"Penanggungjawab "&amp;B50</f>
        <v>Penanggungjawab Kalibrasi</v>
      </c>
      <c r="B20" s="1454"/>
      <c r="C20" s="970" t="s">
        <v>3</v>
      </c>
      <c r="D20" s="1454" t="str">
        <f>ID!B82</f>
        <v>Muhammad Iqbal Saiful Rahman</v>
      </c>
      <c r="E20" s="1454"/>
      <c r="F20" s="1454"/>
    </row>
    <row r="21" spans="1:10" ht="14.5" x14ac:dyDescent="0.35">
      <c r="A21" s="1454" t="str">
        <f>"Lokasi "&amp;B50</f>
        <v>Lokasi Kalibrasi</v>
      </c>
      <c r="B21" s="1454"/>
      <c r="C21" s="970" t="s">
        <v>3</v>
      </c>
      <c r="D21" s="1456" t="str">
        <f>ID!E9</f>
        <v xml:space="preserve"> Poli Geriatri</v>
      </c>
      <c r="E21" s="1456"/>
      <c r="F21" s="1456"/>
      <c r="H21" s="987"/>
    </row>
    <row r="22" spans="1:10" ht="31.5" customHeight="1" x14ac:dyDescent="0.25">
      <c r="A22" s="1456" t="str">
        <f>"Hasil "&amp;B50</f>
        <v>Hasil Kalibrasi</v>
      </c>
      <c r="B22" s="1456"/>
      <c r="C22" s="988" t="s">
        <v>3</v>
      </c>
      <c r="D22" s="1457" t="s">
        <v>609</v>
      </c>
      <c r="E22" s="1457"/>
      <c r="F22" s="1457"/>
    </row>
    <row r="23" spans="1:10" ht="14" x14ac:dyDescent="0.25">
      <c r="A23" s="1454" t="s">
        <v>127</v>
      </c>
      <c r="B23" s="1454"/>
      <c r="C23" s="970" t="s">
        <v>3</v>
      </c>
      <c r="D23" s="1454" t="str">
        <f>D4</f>
        <v xml:space="preserve"> MK.020-18</v>
      </c>
      <c r="E23" s="1454"/>
      <c r="F23" s="1454"/>
    </row>
    <row r="26" spans="1:10" ht="26.25" customHeight="1" x14ac:dyDescent="0.25">
      <c r="D26" s="989" t="s">
        <v>602</v>
      </c>
      <c r="E26" s="1455">
        <f ca="1">TODAY()</f>
        <v>44664</v>
      </c>
      <c r="F26" s="1455"/>
    </row>
    <row r="27" spans="1:10" ht="14" x14ac:dyDescent="0.25">
      <c r="D27" s="1454" t="s">
        <v>603</v>
      </c>
      <c r="E27" s="1454"/>
      <c r="F27" s="1454"/>
    </row>
    <row r="28" spans="1:10" ht="14" x14ac:dyDescent="0.25">
      <c r="D28" s="1454" t="s">
        <v>604</v>
      </c>
      <c r="E28" s="1454"/>
      <c r="F28" s="1454"/>
    </row>
    <row r="29" spans="1:10" ht="14" x14ac:dyDescent="0.25">
      <c r="D29" s="990"/>
      <c r="E29" s="990"/>
    </row>
    <row r="30" spans="1:10" ht="14" x14ac:dyDescent="0.25">
      <c r="D30" s="990"/>
      <c r="E30" s="990"/>
    </row>
    <row r="31" spans="1:10" ht="14" x14ac:dyDescent="0.25">
      <c r="D31" s="990"/>
      <c r="E31" s="990"/>
    </row>
    <row r="32" spans="1:10" ht="14" x14ac:dyDescent="0.25">
      <c r="D32" s="1454" t="s">
        <v>605</v>
      </c>
      <c r="E32" s="1454"/>
      <c r="F32" s="1454"/>
    </row>
    <row r="33" spans="1:6" ht="14" x14ac:dyDescent="0.25">
      <c r="D33" s="1453" t="s">
        <v>606</v>
      </c>
      <c r="E33" s="1453"/>
      <c r="F33" s="1453"/>
    </row>
    <row r="36" spans="1:6" ht="13" x14ac:dyDescent="0.25">
      <c r="A36" s="991"/>
      <c r="B36" s="991"/>
      <c r="C36" s="991"/>
      <c r="D36" s="991"/>
      <c r="E36" s="991"/>
      <c r="F36" s="991"/>
    </row>
    <row r="42" spans="1:6" ht="13" thickBot="1" x14ac:dyDescent="0.3"/>
    <row r="43" spans="1:6" ht="31.5" customHeight="1" x14ac:dyDescent="0.25">
      <c r="A43" s="992" t="s">
        <v>610</v>
      </c>
      <c r="B43" s="993" t="str">
        <f>MID(ID!I2,SEARCH("E - ",ID!I2),LEN(ID!I2))</f>
        <v>E - 003.30 DL</v>
      </c>
    </row>
    <row r="44" spans="1:6" x14ac:dyDescent="0.25">
      <c r="A44" s="994"/>
      <c r="B44" s="995"/>
    </row>
    <row r="45" spans="1:6" ht="24" customHeight="1" x14ac:dyDescent="0.25">
      <c r="A45" s="996" t="s">
        <v>611</v>
      </c>
      <c r="B45" s="997" t="str">
        <f>ID!A1</f>
        <v>INPUT DATA KALIBRASI ELECTROCARDIOGRAPH</v>
      </c>
    </row>
    <row r="46" spans="1:6" ht="39" customHeight="1" x14ac:dyDescent="0.25">
      <c r="A46" s="996" t="s">
        <v>612</v>
      </c>
      <c r="B46" s="998" t="str">
        <f>IF(B45="INPUT DATA KALIBRASI ELECTROCARDIOGRAPH",B47,B48)</f>
        <v>SERTIFIKAT KALIBRASI</v>
      </c>
    </row>
    <row r="47" spans="1:6" ht="22.5" customHeight="1" x14ac:dyDescent="0.25">
      <c r="A47" s="996" t="s">
        <v>613</v>
      </c>
      <c r="B47" s="995" t="s">
        <v>614</v>
      </c>
    </row>
    <row r="48" spans="1:6" x14ac:dyDescent="0.25">
      <c r="A48" s="994"/>
      <c r="B48" s="995" t="s">
        <v>590</v>
      </c>
    </row>
    <row r="49" spans="1:2" x14ac:dyDescent="0.25">
      <c r="A49" s="994"/>
      <c r="B49" s="995"/>
    </row>
    <row r="50" spans="1:2" ht="48" customHeight="1" x14ac:dyDescent="0.25">
      <c r="A50" s="996" t="s">
        <v>615</v>
      </c>
      <c r="B50" s="995" t="str">
        <f>IF(RIGHT(A2,10)=" KALIBRASI","Kalibrasi","Pengujian")</f>
        <v>Kalibrasi</v>
      </c>
    </row>
    <row r="51" spans="1:2" x14ac:dyDescent="0.25">
      <c r="A51" s="994"/>
      <c r="B51" s="995"/>
    </row>
    <row r="52" spans="1:2" s="1000" customFormat="1" ht="34.5" customHeight="1" x14ac:dyDescent="0.3">
      <c r="A52" s="996" t="s">
        <v>616</v>
      </c>
      <c r="B52" s="999" t="s">
        <v>601</v>
      </c>
    </row>
    <row r="53" spans="1:2" x14ac:dyDescent="0.25">
      <c r="A53" s="994"/>
      <c r="B53" s="995"/>
    </row>
    <row r="54" spans="1:2" ht="50.25" customHeight="1" x14ac:dyDescent="0.3">
      <c r="A54" s="1001" t="s">
        <v>617</v>
      </c>
      <c r="B54" s="1002" t="e">
        <f>DATE(YEAR(D19)+1,MONTH(D19),DAY(D19))</f>
        <v>#VALUE!</v>
      </c>
    </row>
    <row r="55" spans="1:2" ht="27" customHeight="1" x14ac:dyDescent="0.25">
      <c r="A55" s="996" t="s">
        <v>618</v>
      </c>
      <c r="B55" s="1003" t="e">
        <f>TEXT(B54,"d mmmm yyyy")</f>
        <v>#VALUE!</v>
      </c>
    </row>
    <row r="56" spans="1:2" x14ac:dyDescent="0.25">
      <c r="A56" s="994"/>
      <c r="B56" s="995"/>
    </row>
    <row r="57" spans="1:2" ht="30" customHeight="1" x14ac:dyDescent="0.3">
      <c r="A57" s="1001" t="s">
        <v>619</v>
      </c>
      <c r="B57" s="1004" t="e">
        <f>IF(B46=B47,B58,B59)</f>
        <v>#VALUE!</v>
      </c>
    </row>
    <row r="58" spans="1:2" ht="14" x14ac:dyDescent="0.3">
      <c r="A58" s="994" t="s">
        <v>620</v>
      </c>
      <c r="B58" s="1005" t="e">
        <f>CONCATENATE(B60,B55)</f>
        <v>#VALUE!</v>
      </c>
    </row>
    <row r="59" spans="1:2" ht="14" x14ac:dyDescent="0.3">
      <c r="A59" s="994"/>
      <c r="B59" s="1005" t="e">
        <f>CONCATENATE(B61,B55)</f>
        <v>#VALUE!</v>
      </c>
    </row>
    <row r="60" spans="1:2" ht="42" customHeight="1" x14ac:dyDescent="0.3">
      <c r="A60" s="1006" t="s">
        <v>613</v>
      </c>
      <c r="B60" s="1005" t="s">
        <v>621</v>
      </c>
    </row>
    <row r="61" spans="1:2" ht="39.75" customHeight="1" thickBot="1" x14ac:dyDescent="0.35">
      <c r="A61" s="1007"/>
      <c r="B61" s="1008" t="s">
        <v>622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6328125" defaultRowHeight="12.5" x14ac:dyDescent="0.25"/>
  <cols>
    <col min="1" max="5" width="8.6328125" style="461"/>
    <col min="6" max="6" width="11.54296875" style="461" customWidth="1"/>
    <col min="7" max="16384" width="8.6328125" style="461"/>
  </cols>
  <sheetData>
    <row r="1" spans="1:31" ht="18" thickBot="1" x14ac:dyDescent="0.35">
      <c r="A1" s="1478" t="s">
        <v>365</v>
      </c>
      <c r="B1" s="1479"/>
      <c r="C1" s="1479"/>
      <c r="D1" s="1479"/>
      <c r="E1" s="1479"/>
      <c r="F1" s="1479"/>
      <c r="G1" s="1480"/>
      <c r="H1" s="1479"/>
      <c r="I1" s="1479"/>
      <c r="J1" s="1479"/>
      <c r="K1" s="1479"/>
      <c r="L1" s="1479"/>
      <c r="M1" s="1480"/>
      <c r="N1" s="1479"/>
      <c r="O1" s="1481"/>
      <c r="P1" s="460"/>
      <c r="Q1" s="1478" t="s">
        <v>365</v>
      </c>
      <c r="R1" s="1479"/>
      <c r="S1" s="1479"/>
      <c r="T1" s="1479"/>
      <c r="U1" s="1479"/>
      <c r="V1" s="1479"/>
      <c r="W1" s="1480"/>
      <c r="X1" s="1479"/>
      <c r="Y1" s="1479"/>
      <c r="Z1" s="1479"/>
      <c r="AA1" s="1479"/>
      <c r="AB1" s="1479"/>
      <c r="AC1" s="1480"/>
      <c r="AD1" s="1479"/>
      <c r="AE1" s="1481"/>
    </row>
    <row r="2" spans="1:31" ht="13.5" thickBot="1" x14ac:dyDescent="0.35">
      <c r="A2" s="1493">
        <v>1</v>
      </c>
      <c r="B2" s="1574" t="s">
        <v>366</v>
      </c>
      <c r="C2" s="1574"/>
      <c r="D2" s="1574"/>
      <c r="E2" s="1574"/>
      <c r="F2" s="1574"/>
      <c r="G2" s="462"/>
      <c r="H2" s="1574" t="str">
        <f>B2</f>
        <v>KOREKSI KIMO THERMOHYGROMETER 15062873</v>
      </c>
      <c r="I2" s="1574"/>
      <c r="J2" s="1574"/>
      <c r="K2" s="1574"/>
      <c r="L2" s="1574"/>
      <c r="M2" s="462"/>
      <c r="N2" s="1502" t="s">
        <v>367</v>
      </c>
      <c r="O2" s="1502"/>
      <c r="P2" s="460"/>
      <c r="Q2" s="1493">
        <v>19</v>
      </c>
      <c r="R2" s="1496" t="s">
        <v>464</v>
      </c>
      <c r="S2" s="1497"/>
      <c r="T2" s="1497"/>
      <c r="U2" s="1497"/>
      <c r="V2" s="1498"/>
      <c r="W2" s="89"/>
      <c r="X2" s="1499" t="str">
        <f>R2</f>
        <v>KOREKSI EXTECH SD700 A.100615</v>
      </c>
      <c r="Y2" s="1500"/>
      <c r="Z2" s="1500"/>
      <c r="AA2" s="1500"/>
      <c r="AB2" s="1501"/>
      <c r="AC2" s="462"/>
      <c r="AD2" s="1502" t="s">
        <v>367</v>
      </c>
      <c r="AE2" s="1502"/>
    </row>
    <row r="3" spans="1:31" ht="13.5" customHeight="1" thickBot="1" x14ac:dyDescent="0.35">
      <c r="A3" s="1494"/>
      <c r="B3" s="1575" t="s">
        <v>368</v>
      </c>
      <c r="C3" s="1575"/>
      <c r="D3" s="1575" t="s">
        <v>237</v>
      </c>
      <c r="E3" s="1575"/>
      <c r="F3" s="1575" t="s">
        <v>231</v>
      </c>
      <c r="H3" s="1575" t="s">
        <v>369</v>
      </c>
      <c r="I3" s="1575"/>
      <c r="J3" s="1575" t="s">
        <v>237</v>
      </c>
      <c r="K3" s="1575"/>
      <c r="L3" s="1575" t="s">
        <v>231</v>
      </c>
      <c r="N3" s="463" t="s">
        <v>368</v>
      </c>
      <c r="O3" s="464">
        <v>0.6</v>
      </c>
      <c r="P3" s="460"/>
      <c r="Q3" s="1494"/>
      <c r="R3" s="1491" t="s">
        <v>368</v>
      </c>
      <c r="S3" s="1492"/>
      <c r="T3" s="1503" t="s">
        <v>237</v>
      </c>
      <c r="U3" s="1504"/>
      <c r="V3" s="1505" t="s">
        <v>231</v>
      </c>
      <c r="W3"/>
      <c r="X3" s="1491" t="s">
        <v>369</v>
      </c>
      <c r="Y3" s="1492"/>
      <c r="Z3" s="1503" t="s">
        <v>237</v>
      </c>
      <c r="AA3" s="1504"/>
      <c r="AB3" s="1505" t="s">
        <v>231</v>
      </c>
      <c r="AC3"/>
      <c r="AD3" s="590" t="s">
        <v>368</v>
      </c>
      <c r="AE3" s="591">
        <v>0.1</v>
      </c>
    </row>
    <row r="4" spans="1:31" ht="15" thickBot="1" x14ac:dyDescent="0.35">
      <c r="A4" s="1494"/>
      <c r="B4" s="1572" t="s">
        <v>370</v>
      </c>
      <c r="C4" s="1572"/>
      <c r="D4" s="465">
        <v>2020</v>
      </c>
      <c r="E4" s="465">
        <v>2017</v>
      </c>
      <c r="F4" s="1575"/>
      <c r="H4" s="1573" t="s">
        <v>17</v>
      </c>
      <c r="I4" s="1572"/>
      <c r="J4" s="568">
        <f>D4</f>
        <v>2020</v>
      </c>
      <c r="K4" s="568">
        <f>E4</f>
        <v>2017</v>
      </c>
      <c r="L4" s="1575"/>
      <c r="N4" s="463" t="s">
        <v>17</v>
      </c>
      <c r="O4" s="464">
        <v>3.1</v>
      </c>
      <c r="P4" s="460"/>
      <c r="Q4" s="1494"/>
      <c r="R4" s="1507" t="s">
        <v>370</v>
      </c>
      <c r="S4" s="1508"/>
      <c r="T4" s="592">
        <v>2020</v>
      </c>
      <c r="U4" s="593">
        <v>2021</v>
      </c>
      <c r="V4" s="1506"/>
      <c r="W4"/>
      <c r="X4" s="1509" t="s">
        <v>17</v>
      </c>
      <c r="Y4" s="1510"/>
      <c r="Z4" s="594">
        <f>T4</f>
        <v>2020</v>
      </c>
      <c r="AA4" s="595">
        <f>U4</f>
        <v>2021</v>
      </c>
      <c r="AB4" s="1506"/>
      <c r="AC4"/>
      <c r="AD4" s="596" t="s">
        <v>17</v>
      </c>
      <c r="AE4" s="597">
        <v>1.5</v>
      </c>
    </row>
    <row r="5" spans="1:31" ht="13" x14ac:dyDescent="0.3">
      <c r="A5" s="1494"/>
      <c r="B5" s="466"/>
      <c r="C5" s="467">
        <v>15</v>
      </c>
      <c r="D5" s="467">
        <v>-0.5</v>
      </c>
      <c r="E5" s="467">
        <v>0.3</v>
      </c>
      <c r="F5" s="468">
        <f t="shared" ref="F5:F11" si="0">0.5*(MAX(D5:E5)-MIN(D5:E5))</f>
        <v>0.4</v>
      </c>
      <c r="H5" s="466"/>
      <c r="I5" s="467">
        <v>35</v>
      </c>
      <c r="J5" s="467">
        <v>-6</v>
      </c>
      <c r="K5" s="467">
        <v>-9.4</v>
      </c>
      <c r="L5" s="468">
        <f t="shared" ref="L5:L11" si="1">0.5*(MAX(J5:K5)-MIN(J5:K5))</f>
        <v>1.7000000000000002</v>
      </c>
      <c r="O5" s="469"/>
      <c r="P5" s="460"/>
      <c r="Q5" s="1494"/>
      <c r="R5"/>
      <c r="S5" s="575">
        <v>15</v>
      </c>
      <c r="T5" s="576">
        <v>0</v>
      </c>
      <c r="U5" s="577">
        <v>0</v>
      </c>
      <c r="V5" s="578">
        <f t="shared" ref="V5:V11" si="2">0.5*(MAX(T5:U5)-MIN(T5:U5))</f>
        <v>0</v>
      </c>
      <c r="W5"/>
      <c r="X5" s="81"/>
      <c r="Y5" s="575">
        <v>35</v>
      </c>
      <c r="Z5" s="576">
        <v>-0.4</v>
      </c>
      <c r="AA5" s="577">
        <v>-1.5</v>
      </c>
      <c r="AB5" s="578">
        <f t="shared" ref="AB5:AB11" si="3">0.5*(MAX(Z5:AA5)-MIN(Z5:AA5))</f>
        <v>0.55000000000000004</v>
      </c>
      <c r="AC5"/>
      <c r="AD5"/>
      <c r="AE5" s="76"/>
    </row>
    <row r="6" spans="1:31" ht="13" x14ac:dyDescent="0.3">
      <c r="A6" s="1494"/>
      <c r="B6" s="466"/>
      <c r="C6" s="467">
        <v>20</v>
      </c>
      <c r="D6" s="467">
        <v>-0.2</v>
      </c>
      <c r="E6" s="467">
        <v>0.2</v>
      </c>
      <c r="F6" s="468">
        <f>0.5*(MAX(D6:E6)-MIN(D6:E6))</f>
        <v>0.2</v>
      </c>
      <c r="H6" s="466"/>
      <c r="I6" s="467">
        <v>40</v>
      </c>
      <c r="J6" s="467">
        <v>-5.8</v>
      </c>
      <c r="K6" s="467">
        <v>-8.6</v>
      </c>
      <c r="L6" s="468">
        <f t="shared" si="1"/>
        <v>1.4</v>
      </c>
      <c r="O6" s="469"/>
      <c r="P6" s="460"/>
      <c r="Q6" s="1494"/>
      <c r="R6"/>
      <c r="S6" s="579">
        <v>20</v>
      </c>
      <c r="T6" s="580">
        <v>-0.1</v>
      </c>
      <c r="U6" s="581">
        <v>0.1</v>
      </c>
      <c r="V6" s="582">
        <f t="shared" si="2"/>
        <v>0.1</v>
      </c>
      <c r="W6"/>
      <c r="X6" s="81"/>
      <c r="Y6" s="579">
        <v>40</v>
      </c>
      <c r="Z6" s="580">
        <v>-0.2</v>
      </c>
      <c r="AA6" s="581">
        <v>-0.8</v>
      </c>
      <c r="AB6" s="582">
        <f t="shared" si="3"/>
        <v>0.30000000000000004</v>
      </c>
      <c r="AC6"/>
      <c r="AD6"/>
      <c r="AE6" s="76"/>
    </row>
    <row r="7" spans="1:31" ht="13" x14ac:dyDescent="0.3">
      <c r="A7" s="1494"/>
      <c r="B7" s="466"/>
      <c r="C7" s="467">
        <v>25</v>
      </c>
      <c r="D7" s="467">
        <v>9.9999999999999995E-7</v>
      </c>
      <c r="E7" s="467">
        <v>0.1</v>
      </c>
      <c r="F7" s="468">
        <f t="shared" si="0"/>
        <v>4.9999500000000002E-2</v>
      </c>
      <c r="H7" s="466"/>
      <c r="I7" s="467">
        <v>50</v>
      </c>
      <c r="J7" s="467">
        <v>-5.3</v>
      </c>
      <c r="K7" s="467">
        <v>-7.2</v>
      </c>
      <c r="L7" s="468">
        <f t="shared" si="1"/>
        <v>0.95000000000000018</v>
      </c>
      <c r="O7" s="469"/>
      <c r="P7" s="460"/>
      <c r="Q7" s="1494"/>
      <c r="R7"/>
      <c r="S7" s="579">
        <v>25</v>
      </c>
      <c r="T7" s="580">
        <v>-0.2</v>
      </c>
      <c r="U7" s="581">
        <v>0</v>
      </c>
      <c r="V7" s="582">
        <f t="shared" si="2"/>
        <v>0.1</v>
      </c>
      <c r="W7"/>
      <c r="X7" s="81"/>
      <c r="Y7" s="579">
        <v>50</v>
      </c>
      <c r="Z7" s="580">
        <v>-0.2</v>
      </c>
      <c r="AA7" s="581">
        <v>-0.2</v>
      </c>
      <c r="AB7" s="582">
        <f t="shared" si="3"/>
        <v>0</v>
      </c>
      <c r="AC7"/>
      <c r="AD7"/>
      <c r="AE7" s="76"/>
    </row>
    <row r="8" spans="1:31" ht="13" x14ac:dyDescent="0.3">
      <c r="A8" s="1494"/>
      <c r="B8" s="466"/>
      <c r="C8" s="470">
        <v>30</v>
      </c>
      <c r="D8" s="471">
        <v>9.9999999999999995E-7</v>
      </c>
      <c r="E8" s="471">
        <v>-0.2</v>
      </c>
      <c r="F8" s="468">
        <f t="shared" si="0"/>
        <v>0.10000050000000001</v>
      </c>
      <c r="H8" s="466"/>
      <c r="I8" s="470">
        <v>60</v>
      </c>
      <c r="J8" s="471">
        <v>-4.4000000000000004</v>
      </c>
      <c r="K8" s="471">
        <v>-5.2</v>
      </c>
      <c r="L8" s="468">
        <f t="shared" si="1"/>
        <v>0.39999999999999991</v>
      </c>
      <c r="O8" s="469"/>
      <c r="P8" s="460"/>
      <c r="Q8" s="1494"/>
      <c r="R8"/>
      <c r="S8" s="583">
        <v>30</v>
      </c>
      <c r="T8" s="584">
        <v>-0.2</v>
      </c>
      <c r="U8" s="585">
        <v>-0.1</v>
      </c>
      <c r="V8" s="582">
        <f t="shared" si="2"/>
        <v>0.05</v>
      </c>
      <c r="W8"/>
      <c r="X8" s="81"/>
      <c r="Y8" s="583">
        <v>60</v>
      </c>
      <c r="Z8" s="584">
        <v>-0.2</v>
      </c>
      <c r="AA8" s="598">
        <v>0.2</v>
      </c>
      <c r="AB8" s="582">
        <f t="shared" si="3"/>
        <v>0.2</v>
      </c>
      <c r="AC8"/>
      <c r="AD8"/>
      <c r="AE8" s="76"/>
    </row>
    <row r="9" spans="1:31" ht="13.5" customHeight="1" x14ac:dyDescent="0.3">
      <c r="A9" s="1494"/>
      <c r="B9" s="466"/>
      <c r="C9" s="470">
        <v>35</v>
      </c>
      <c r="D9" s="471">
        <v>-0.1</v>
      </c>
      <c r="E9" s="471">
        <v>-0.5</v>
      </c>
      <c r="F9" s="468">
        <f t="shared" si="0"/>
        <v>0.2</v>
      </c>
      <c r="H9" s="466"/>
      <c r="I9" s="470">
        <v>70</v>
      </c>
      <c r="J9" s="471">
        <v>-3.2</v>
      </c>
      <c r="K9" s="471">
        <v>-2.6</v>
      </c>
      <c r="L9" s="468">
        <f t="shared" si="1"/>
        <v>0.30000000000000004</v>
      </c>
      <c r="O9" s="469"/>
      <c r="P9" s="460"/>
      <c r="Q9" s="1494"/>
      <c r="R9"/>
      <c r="S9" s="583">
        <v>35</v>
      </c>
      <c r="T9" s="584">
        <v>-0.3</v>
      </c>
      <c r="U9" s="585">
        <v>-0.1</v>
      </c>
      <c r="V9" s="582">
        <f t="shared" si="2"/>
        <v>9.9999999999999992E-2</v>
      </c>
      <c r="W9"/>
      <c r="X9" s="81"/>
      <c r="Y9" s="583">
        <v>70</v>
      </c>
      <c r="Z9" s="584">
        <v>-0.3</v>
      </c>
      <c r="AA9" s="585">
        <v>-0.7</v>
      </c>
      <c r="AB9" s="582">
        <f t="shared" si="3"/>
        <v>0.19999999999999998</v>
      </c>
      <c r="AC9"/>
      <c r="AD9"/>
      <c r="AE9" s="76"/>
    </row>
    <row r="10" spans="1:31" ht="13.5" customHeight="1" x14ac:dyDescent="0.3">
      <c r="A10" s="1494"/>
      <c r="B10" s="466"/>
      <c r="C10" s="470">
        <v>37</v>
      </c>
      <c r="D10" s="471">
        <v>-0.2</v>
      </c>
      <c r="E10" s="471">
        <v>-0.6</v>
      </c>
      <c r="F10" s="468">
        <f t="shared" si="0"/>
        <v>0.19999999999999998</v>
      </c>
      <c r="H10" s="466"/>
      <c r="I10" s="470">
        <v>80</v>
      </c>
      <c r="J10" s="471">
        <v>-1.6</v>
      </c>
      <c r="K10" s="471">
        <v>0.7</v>
      </c>
      <c r="L10" s="468">
        <f t="shared" si="1"/>
        <v>1.1499999999999999</v>
      </c>
      <c r="O10" s="469"/>
      <c r="P10" s="460"/>
      <c r="Q10" s="1494"/>
      <c r="R10"/>
      <c r="S10" s="583">
        <v>37</v>
      </c>
      <c r="T10" s="584">
        <v>-0.3</v>
      </c>
      <c r="U10" s="585">
        <v>0</v>
      </c>
      <c r="V10" s="582">
        <f t="shared" si="2"/>
        <v>0.15</v>
      </c>
      <c r="W10"/>
      <c r="X10" s="81"/>
      <c r="Y10" s="583">
        <v>80</v>
      </c>
      <c r="Z10" s="584">
        <v>-0.5</v>
      </c>
      <c r="AA10" s="585">
        <v>-0.9</v>
      </c>
      <c r="AB10" s="582">
        <f t="shared" si="3"/>
        <v>0.2</v>
      </c>
      <c r="AC10"/>
      <c r="AD10"/>
      <c r="AE10" s="76"/>
    </row>
    <row r="11" spans="1:31" ht="13.5" thickBot="1" x14ac:dyDescent="0.35">
      <c r="A11" s="1495"/>
      <c r="B11" s="466"/>
      <c r="C11" s="470">
        <v>40</v>
      </c>
      <c r="D11" s="471">
        <v>-0.3</v>
      </c>
      <c r="E11" s="471">
        <v>-0.8</v>
      </c>
      <c r="F11" s="468">
        <f t="shared" si="0"/>
        <v>0.25</v>
      </c>
      <c r="G11" s="472"/>
      <c r="H11" s="466"/>
      <c r="I11" s="470">
        <v>90</v>
      </c>
      <c r="J11" s="471">
        <v>0.3</v>
      </c>
      <c r="K11" s="471">
        <v>4.5</v>
      </c>
      <c r="L11" s="468">
        <f t="shared" si="1"/>
        <v>2.1</v>
      </c>
      <c r="M11" s="472"/>
      <c r="N11" s="472"/>
      <c r="O11" s="473"/>
      <c r="P11" s="460"/>
      <c r="Q11" s="1495"/>
      <c r="R11" s="445"/>
      <c r="S11" s="586">
        <v>40</v>
      </c>
      <c r="T11" s="587">
        <v>-0.4</v>
      </c>
      <c r="U11" s="588">
        <v>0.2</v>
      </c>
      <c r="V11" s="589">
        <f t="shared" si="2"/>
        <v>0.30000000000000004</v>
      </c>
      <c r="W11" s="445"/>
      <c r="X11" s="444"/>
      <c r="Y11" s="586">
        <v>90</v>
      </c>
      <c r="Z11" s="587">
        <v>-0.8</v>
      </c>
      <c r="AA11" s="588">
        <v>-0.6</v>
      </c>
      <c r="AB11" s="589">
        <f t="shared" si="3"/>
        <v>0.10000000000000003</v>
      </c>
      <c r="AC11" s="445"/>
      <c r="AD11" s="445"/>
      <c r="AE11" s="446"/>
    </row>
    <row r="12" spans="1:31" ht="13.5" thickBot="1" x14ac:dyDescent="0.35">
      <c r="A12" s="474"/>
      <c r="B12" s="474"/>
      <c r="O12" s="469"/>
      <c r="P12" s="460"/>
    </row>
    <row r="13" spans="1:31" ht="13" x14ac:dyDescent="0.3">
      <c r="A13" s="1493">
        <v>2</v>
      </c>
      <c r="B13" s="1574" t="s">
        <v>371</v>
      </c>
      <c r="C13" s="1574"/>
      <c r="D13" s="1574"/>
      <c r="E13" s="1574"/>
      <c r="F13" s="1574"/>
      <c r="G13" s="462"/>
      <c r="H13" s="1574" t="str">
        <f>B13</f>
        <v>KOREKSI KIMO THERMOHYGROMETER 15062874</v>
      </c>
      <c r="I13" s="1574"/>
      <c r="J13" s="1574"/>
      <c r="K13" s="1574"/>
      <c r="L13" s="1574"/>
      <c r="M13" s="462"/>
      <c r="N13" s="1502" t="s">
        <v>367</v>
      </c>
      <c r="O13" s="1502"/>
      <c r="P13" s="460"/>
    </row>
    <row r="14" spans="1:31" ht="13" x14ac:dyDescent="0.3">
      <c r="A14" s="1494"/>
      <c r="B14" s="1575" t="s">
        <v>368</v>
      </c>
      <c r="C14" s="1575"/>
      <c r="D14" s="1575" t="s">
        <v>237</v>
      </c>
      <c r="E14" s="1575"/>
      <c r="F14" s="1575" t="s">
        <v>231</v>
      </c>
      <c r="H14" s="1575" t="s">
        <v>369</v>
      </c>
      <c r="I14" s="1575"/>
      <c r="J14" s="1575" t="s">
        <v>237</v>
      </c>
      <c r="K14" s="1575"/>
      <c r="L14" s="1575" t="s">
        <v>231</v>
      </c>
      <c r="N14" s="463" t="s">
        <v>368</v>
      </c>
      <c r="O14" s="475">
        <v>0.3</v>
      </c>
      <c r="P14" s="460"/>
    </row>
    <row r="15" spans="1:31" ht="14.5" x14ac:dyDescent="0.3">
      <c r="A15" s="1494"/>
      <c r="B15" s="1572" t="s">
        <v>370</v>
      </c>
      <c r="C15" s="1572"/>
      <c r="D15" s="798">
        <v>2021</v>
      </c>
      <c r="E15" s="465">
        <v>2018</v>
      </c>
      <c r="F15" s="1575"/>
      <c r="H15" s="1573" t="s">
        <v>17</v>
      </c>
      <c r="I15" s="1572"/>
      <c r="J15" s="799">
        <f>'DB Thermohygro'!D15</f>
        <v>2021</v>
      </c>
      <c r="K15" s="568">
        <f>E15</f>
        <v>2018</v>
      </c>
      <c r="L15" s="1575"/>
      <c r="N15" s="463" t="s">
        <v>17</v>
      </c>
      <c r="O15" s="475">
        <v>3.3</v>
      </c>
      <c r="P15" s="460"/>
    </row>
    <row r="16" spans="1:31" ht="13" x14ac:dyDescent="0.3">
      <c r="A16" s="1494"/>
      <c r="B16" s="466"/>
      <c r="C16" s="467">
        <v>15</v>
      </c>
      <c r="D16" s="580">
        <v>0.4</v>
      </c>
      <c r="E16" s="467">
        <v>9.9999999999999995E-7</v>
      </c>
      <c r="F16" s="468">
        <f t="shared" ref="F16:F22" si="4">0.5*(MAX(E16:E16)-MIN(E16:E16))</f>
        <v>0</v>
      </c>
      <c r="H16" s="466"/>
      <c r="I16" s="467">
        <v>35</v>
      </c>
      <c r="J16" s="580">
        <v>9.9999999999999995E-7</v>
      </c>
      <c r="K16" s="467">
        <v>-1.6</v>
      </c>
      <c r="L16" s="468">
        <f t="shared" ref="L16:L22" si="5">0.5*(MAX(K16:K16)-MIN(K16:K16))</f>
        <v>0</v>
      </c>
      <c r="O16" s="469"/>
      <c r="P16" s="460"/>
    </row>
    <row r="17" spans="1:16" ht="13" x14ac:dyDescent="0.3">
      <c r="A17" s="1494"/>
      <c r="B17" s="466"/>
      <c r="C17" s="467">
        <v>20</v>
      </c>
      <c r="D17" s="580">
        <v>0.7</v>
      </c>
      <c r="E17" s="467">
        <v>-0.1</v>
      </c>
      <c r="F17" s="468">
        <f t="shared" si="4"/>
        <v>0</v>
      </c>
      <c r="H17" s="466"/>
      <c r="I17" s="467">
        <v>40</v>
      </c>
      <c r="J17" s="580">
        <v>-6.2</v>
      </c>
      <c r="K17" s="467">
        <v>-1.6</v>
      </c>
      <c r="L17" s="468">
        <f t="shared" si="5"/>
        <v>0</v>
      </c>
      <c r="O17" s="469"/>
      <c r="P17" s="460"/>
    </row>
    <row r="18" spans="1:16" ht="13" x14ac:dyDescent="0.3">
      <c r="A18" s="1494"/>
      <c r="B18" s="466"/>
      <c r="C18" s="467">
        <v>25</v>
      </c>
      <c r="D18" s="580">
        <v>0.5</v>
      </c>
      <c r="E18" s="467">
        <v>-0.2</v>
      </c>
      <c r="F18" s="468">
        <f t="shared" si="4"/>
        <v>0</v>
      </c>
      <c r="H18" s="466"/>
      <c r="I18" s="467">
        <v>50</v>
      </c>
      <c r="J18" s="580">
        <v>-5.3</v>
      </c>
      <c r="K18" s="467">
        <v>-1.5</v>
      </c>
      <c r="L18" s="468">
        <f t="shared" si="5"/>
        <v>0</v>
      </c>
      <c r="O18" s="469"/>
      <c r="P18" s="460"/>
    </row>
    <row r="19" spans="1:16" ht="13" x14ac:dyDescent="0.3">
      <c r="A19" s="1494"/>
      <c r="B19" s="466"/>
      <c r="C19" s="470">
        <v>30</v>
      </c>
      <c r="D19" s="584">
        <v>0.2</v>
      </c>
      <c r="E19" s="476">
        <v>-0.3</v>
      </c>
      <c r="F19" s="468">
        <f t="shared" si="4"/>
        <v>0</v>
      </c>
      <c r="H19" s="466"/>
      <c r="I19" s="470">
        <v>60</v>
      </c>
      <c r="J19" s="584">
        <v>-4</v>
      </c>
      <c r="K19" s="476">
        <v>-1.3</v>
      </c>
      <c r="L19" s="468">
        <f t="shared" si="5"/>
        <v>0</v>
      </c>
      <c r="O19" s="469"/>
      <c r="P19" s="460"/>
    </row>
    <row r="20" spans="1:16" ht="13" x14ac:dyDescent="0.3">
      <c r="A20" s="1494"/>
      <c r="B20" s="466"/>
      <c r="C20" s="470">
        <v>35</v>
      </c>
      <c r="D20" s="584">
        <v>-0.1</v>
      </c>
      <c r="E20" s="476">
        <v>-0.3</v>
      </c>
      <c r="F20" s="468">
        <f t="shared" si="4"/>
        <v>0</v>
      </c>
      <c r="H20" s="466"/>
      <c r="I20" s="470">
        <v>70</v>
      </c>
      <c r="J20" s="584">
        <v>-2.4</v>
      </c>
      <c r="K20" s="476">
        <v>-1.1000000000000001</v>
      </c>
      <c r="L20" s="468">
        <f t="shared" si="5"/>
        <v>0</v>
      </c>
      <c r="O20" s="469"/>
      <c r="P20" s="460"/>
    </row>
    <row r="21" spans="1:16" ht="13" x14ac:dyDescent="0.3">
      <c r="A21" s="1494"/>
      <c r="B21" s="466"/>
      <c r="C21" s="470">
        <v>37</v>
      </c>
      <c r="D21" s="584">
        <v>-0.2</v>
      </c>
      <c r="E21" s="476">
        <v>-0.3</v>
      </c>
      <c r="F21" s="468">
        <f t="shared" si="4"/>
        <v>0</v>
      </c>
      <c r="H21" s="466"/>
      <c r="I21" s="470">
        <v>80</v>
      </c>
      <c r="J21" s="584">
        <v>-0.5</v>
      </c>
      <c r="K21" s="476">
        <v>-0.7</v>
      </c>
      <c r="L21" s="468">
        <f t="shared" si="5"/>
        <v>0</v>
      </c>
      <c r="O21" s="469"/>
      <c r="P21" s="460"/>
    </row>
    <row r="22" spans="1:16" ht="13.5" thickBot="1" x14ac:dyDescent="0.35">
      <c r="A22" s="1495"/>
      <c r="B22" s="466"/>
      <c r="C22" s="470">
        <v>40</v>
      </c>
      <c r="D22" s="584">
        <v>-0.1</v>
      </c>
      <c r="E22" s="476">
        <v>-0.3</v>
      </c>
      <c r="F22" s="468">
        <f t="shared" si="4"/>
        <v>0</v>
      </c>
      <c r="G22" s="472"/>
      <c r="H22" s="466"/>
      <c r="I22" s="470">
        <v>90</v>
      </c>
      <c r="J22" s="584">
        <v>1.7</v>
      </c>
      <c r="K22" s="476">
        <v>-0.3</v>
      </c>
      <c r="L22" s="468">
        <f t="shared" si="5"/>
        <v>0</v>
      </c>
      <c r="M22" s="472"/>
      <c r="N22" s="472"/>
      <c r="O22" s="473"/>
      <c r="P22" s="460"/>
    </row>
    <row r="23" spans="1:16" ht="13.5" thickBot="1" x14ac:dyDescent="0.35">
      <c r="A23" s="474"/>
      <c r="B23" s="474"/>
      <c r="O23" s="469"/>
      <c r="P23" s="460"/>
    </row>
    <row r="24" spans="1:16" ht="13" x14ac:dyDescent="0.3">
      <c r="A24" s="1493">
        <v>3</v>
      </c>
      <c r="B24" s="1574" t="s">
        <v>372</v>
      </c>
      <c r="C24" s="1574"/>
      <c r="D24" s="1574"/>
      <c r="E24" s="1574"/>
      <c r="F24" s="1574"/>
      <c r="G24" s="462"/>
      <c r="H24" s="1574" t="str">
        <f>B24</f>
        <v>KOREKSI KIMO THERMOHYGROMETER 14082463</v>
      </c>
      <c r="I24" s="1574"/>
      <c r="J24" s="1574"/>
      <c r="K24" s="1574"/>
      <c r="L24" s="1574"/>
      <c r="M24" s="462"/>
      <c r="N24" s="1502" t="s">
        <v>367</v>
      </c>
      <c r="O24" s="1502"/>
      <c r="P24" s="460"/>
    </row>
    <row r="25" spans="1:16" ht="13" x14ac:dyDescent="0.3">
      <c r="A25" s="1494"/>
      <c r="B25" s="1575" t="s">
        <v>368</v>
      </c>
      <c r="C25" s="1575"/>
      <c r="D25" s="1575" t="s">
        <v>237</v>
      </c>
      <c r="E25" s="1575"/>
      <c r="F25" s="1575" t="s">
        <v>231</v>
      </c>
      <c r="H25" s="1575" t="s">
        <v>369</v>
      </c>
      <c r="I25" s="1575"/>
      <c r="J25" s="1575" t="s">
        <v>237</v>
      </c>
      <c r="K25" s="1575"/>
      <c r="L25" s="1575" t="s">
        <v>231</v>
      </c>
      <c r="N25" s="463" t="s">
        <v>368</v>
      </c>
      <c r="O25" s="475">
        <v>0.3</v>
      </c>
      <c r="P25" s="460"/>
    </row>
    <row r="26" spans="1:16" ht="14.5" x14ac:dyDescent="0.3">
      <c r="A26" s="1494"/>
      <c r="B26" s="1572" t="s">
        <v>370</v>
      </c>
      <c r="C26" s="1572"/>
      <c r="D26" s="798">
        <v>2021</v>
      </c>
      <c r="E26" s="465">
        <v>2018</v>
      </c>
      <c r="F26" s="1575"/>
      <c r="H26" s="1573" t="s">
        <v>17</v>
      </c>
      <c r="I26" s="1572"/>
      <c r="J26" s="799">
        <f>'DB Thermohygro'!D26</f>
        <v>2021</v>
      </c>
      <c r="K26" s="568">
        <f>E26</f>
        <v>2018</v>
      </c>
      <c r="L26" s="1575"/>
      <c r="N26" s="463" t="s">
        <v>17</v>
      </c>
      <c r="O26" s="475">
        <v>3.1</v>
      </c>
      <c r="P26" s="460"/>
    </row>
    <row r="27" spans="1:16" ht="13" x14ac:dyDescent="0.3">
      <c r="A27" s="1494"/>
      <c r="B27" s="466"/>
      <c r="C27" s="467">
        <v>15</v>
      </c>
      <c r="D27" s="580">
        <v>0.4</v>
      </c>
      <c r="E27" s="467">
        <v>9.9999999999999995E-7</v>
      </c>
      <c r="F27" s="468">
        <f t="shared" ref="F27:F33" si="6">0.5*(MAX(E27:E27)-MIN(E27:E27))</f>
        <v>0</v>
      </c>
      <c r="H27" s="466"/>
      <c r="I27" s="467">
        <v>30</v>
      </c>
      <c r="J27" s="580">
        <v>9.9999999999999995E-7</v>
      </c>
      <c r="K27" s="467">
        <v>-5.7</v>
      </c>
      <c r="L27" s="468">
        <f t="shared" ref="L27:L33" si="7">0.5*(MAX(K27:K27)-MIN(K27:K27))</f>
        <v>0</v>
      </c>
      <c r="O27" s="469"/>
      <c r="P27" s="460"/>
    </row>
    <row r="28" spans="1:16" ht="13" x14ac:dyDescent="0.3">
      <c r="A28" s="1494"/>
      <c r="B28" s="466"/>
      <c r="C28" s="467">
        <v>20</v>
      </c>
      <c r="D28" s="580">
        <v>1</v>
      </c>
      <c r="E28" s="467">
        <v>0</v>
      </c>
      <c r="F28" s="468">
        <f t="shared" si="6"/>
        <v>0</v>
      </c>
      <c r="H28" s="466"/>
      <c r="I28" s="467">
        <v>40</v>
      </c>
      <c r="J28" s="580">
        <v>-5.9</v>
      </c>
      <c r="K28" s="467">
        <v>-5.3</v>
      </c>
      <c r="L28" s="468">
        <f t="shared" si="7"/>
        <v>0</v>
      </c>
      <c r="O28" s="469"/>
      <c r="P28" s="460"/>
    </row>
    <row r="29" spans="1:16" ht="13" x14ac:dyDescent="0.3">
      <c r="A29" s="1494"/>
      <c r="B29" s="466"/>
      <c r="C29" s="467">
        <v>25</v>
      </c>
      <c r="D29" s="580">
        <v>0.7</v>
      </c>
      <c r="E29" s="467">
        <v>-0.1</v>
      </c>
      <c r="F29" s="468">
        <f t="shared" si="6"/>
        <v>0</v>
      </c>
      <c r="H29" s="466"/>
      <c r="I29" s="467">
        <v>50</v>
      </c>
      <c r="J29" s="580">
        <v>-4.5</v>
      </c>
      <c r="K29" s="467">
        <v>-4.9000000000000004</v>
      </c>
      <c r="L29" s="468">
        <f t="shared" si="7"/>
        <v>0</v>
      </c>
      <c r="O29" s="469"/>
      <c r="P29" s="460"/>
    </row>
    <row r="30" spans="1:16" ht="13" x14ac:dyDescent="0.3">
      <c r="A30" s="1494"/>
      <c r="B30" s="466"/>
      <c r="C30" s="470">
        <v>30</v>
      </c>
      <c r="D30" s="584">
        <v>9.9999999999999995E-7</v>
      </c>
      <c r="E30" s="476">
        <v>-0.3</v>
      </c>
      <c r="F30" s="468">
        <f t="shared" si="6"/>
        <v>0</v>
      </c>
      <c r="H30" s="466"/>
      <c r="I30" s="470">
        <v>60</v>
      </c>
      <c r="J30" s="584">
        <v>-3.2</v>
      </c>
      <c r="K30" s="476">
        <v>-4.3</v>
      </c>
      <c r="L30" s="468">
        <f t="shared" si="7"/>
        <v>0</v>
      </c>
      <c r="O30" s="469"/>
      <c r="P30" s="460"/>
    </row>
    <row r="31" spans="1:16" ht="13" x14ac:dyDescent="0.3">
      <c r="A31" s="1494"/>
      <c r="B31" s="466"/>
      <c r="C31" s="470">
        <v>35</v>
      </c>
      <c r="D31" s="584">
        <v>-0.3</v>
      </c>
      <c r="E31" s="476">
        <v>-0.5</v>
      </c>
      <c r="F31" s="468">
        <f t="shared" si="6"/>
        <v>0</v>
      </c>
      <c r="H31" s="466"/>
      <c r="I31" s="470">
        <v>70</v>
      </c>
      <c r="J31" s="584">
        <v>-2</v>
      </c>
      <c r="K31" s="476">
        <v>-3.6</v>
      </c>
      <c r="L31" s="468">
        <f t="shared" si="7"/>
        <v>0</v>
      </c>
      <c r="O31" s="469"/>
      <c r="P31" s="460"/>
    </row>
    <row r="32" spans="1:16" ht="13" x14ac:dyDescent="0.3">
      <c r="A32" s="1494"/>
      <c r="B32" s="466"/>
      <c r="C32" s="470">
        <v>37</v>
      </c>
      <c r="D32" s="584">
        <v>-0.2</v>
      </c>
      <c r="E32" s="476">
        <v>-0.6</v>
      </c>
      <c r="F32" s="468">
        <f t="shared" si="6"/>
        <v>0</v>
      </c>
      <c r="H32" s="466"/>
      <c r="I32" s="470">
        <v>80</v>
      </c>
      <c r="J32" s="584">
        <v>-0.8</v>
      </c>
      <c r="K32" s="476">
        <v>-2.9</v>
      </c>
      <c r="L32" s="468">
        <f t="shared" si="7"/>
        <v>0</v>
      </c>
      <c r="O32" s="469"/>
      <c r="P32" s="460"/>
    </row>
    <row r="33" spans="1:16" ht="13.5" thickBot="1" x14ac:dyDescent="0.35">
      <c r="A33" s="1495"/>
      <c r="B33" s="466"/>
      <c r="C33" s="470">
        <v>40</v>
      </c>
      <c r="D33" s="584">
        <v>0.2</v>
      </c>
      <c r="E33" s="476">
        <v>-0.7</v>
      </c>
      <c r="F33" s="468">
        <f t="shared" si="6"/>
        <v>0</v>
      </c>
      <c r="G33" s="472"/>
      <c r="H33" s="466"/>
      <c r="I33" s="470">
        <v>90</v>
      </c>
      <c r="J33" s="584">
        <v>0.3</v>
      </c>
      <c r="K33" s="476">
        <v>-2</v>
      </c>
      <c r="L33" s="468">
        <f t="shared" si="7"/>
        <v>0</v>
      </c>
      <c r="M33" s="472"/>
      <c r="N33" s="472"/>
      <c r="O33" s="473"/>
      <c r="P33" s="460"/>
    </row>
    <row r="34" spans="1:16" ht="13.5" thickBot="1" x14ac:dyDescent="0.35">
      <c r="A34" s="474"/>
      <c r="B34" s="474"/>
      <c r="H34" s="477"/>
      <c r="O34" s="469"/>
      <c r="P34" s="460"/>
    </row>
    <row r="35" spans="1:16" ht="13.5" thickBot="1" x14ac:dyDescent="0.35">
      <c r="A35" s="1551">
        <v>4</v>
      </c>
      <c r="B35" s="1554" t="s">
        <v>373</v>
      </c>
      <c r="C35" s="1555"/>
      <c r="D35" s="1555"/>
      <c r="E35" s="1555"/>
      <c r="F35" s="1556"/>
      <c r="G35" s="462"/>
      <c r="H35" s="1554" t="str">
        <f>B35</f>
        <v>KOREKSI KIMO THERMOHYGROMETER 15062872</v>
      </c>
      <c r="I35" s="1555"/>
      <c r="J35" s="1555"/>
      <c r="K35" s="1555"/>
      <c r="L35" s="1556"/>
      <c r="M35" s="462"/>
      <c r="N35" s="1567" t="s">
        <v>367</v>
      </c>
      <c r="O35" s="1568"/>
      <c r="P35" s="460"/>
    </row>
    <row r="36" spans="1:16" ht="13.5" thickBot="1" x14ac:dyDescent="0.35">
      <c r="A36" s="1552"/>
      <c r="B36" s="1557" t="s">
        <v>368</v>
      </c>
      <c r="C36" s="1558"/>
      <c r="D36" s="1559" t="s">
        <v>237</v>
      </c>
      <c r="E36" s="1560"/>
      <c r="F36" s="1561" t="s">
        <v>231</v>
      </c>
      <c r="H36" s="1557" t="s">
        <v>369</v>
      </c>
      <c r="I36" s="1558"/>
      <c r="J36" s="1559" t="s">
        <v>237</v>
      </c>
      <c r="K36" s="1560"/>
      <c r="L36" s="1561" t="s">
        <v>231</v>
      </c>
      <c r="N36" s="478" t="s">
        <v>368</v>
      </c>
      <c r="O36" s="479">
        <v>0.6</v>
      </c>
      <c r="P36" s="460"/>
    </row>
    <row r="37" spans="1:16" ht="15" thickBot="1" x14ac:dyDescent="0.35">
      <c r="A37" s="1552"/>
      <c r="B37" s="1563" t="s">
        <v>370</v>
      </c>
      <c r="C37" s="1564"/>
      <c r="D37" s="592">
        <v>2019</v>
      </c>
      <c r="E37" s="480">
        <v>2017</v>
      </c>
      <c r="F37" s="1562"/>
      <c r="H37" s="1565" t="s">
        <v>17</v>
      </c>
      <c r="I37" s="1566"/>
      <c r="J37" s="594">
        <f>D37</f>
        <v>2019</v>
      </c>
      <c r="K37" s="481">
        <f>E37</f>
        <v>2017</v>
      </c>
      <c r="L37" s="1562"/>
      <c r="N37" s="482" t="s">
        <v>17</v>
      </c>
      <c r="O37" s="483">
        <v>2.6</v>
      </c>
      <c r="P37" s="460"/>
    </row>
    <row r="38" spans="1:16" ht="13" x14ac:dyDescent="0.3">
      <c r="A38" s="1552"/>
      <c r="C38" s="484">
        <v>15</v>
      </c>
      <c r="D38" s="576">
        <v>-0.2</v>
      </c>
      <c r="E38" s="485">
        <v>-0.1</v>
      </c>
      <c r="F38" s="486">
        <f t="shared" ref="F38:F44" si="8">0.5*(MAX(E38:E38)-MIN(E38:E38))</f>
        <v>0</v>
      </c>
      <c r="H38" s="474"/>
      <c r="I38" s="484">
        <v>35</v>
      </c>
      <c r="J38" s="576">
        <v>-4.5</v>
      </c>
      <c r="K38" s="485">
        <v>-1.7</v>
      </c>
      <c r="L38" s="486">
        <f t="shared" ref="L38:L44" si="9">0.5*(MAX(K38:K38)-MIN(K38:K38))</f>
        <v>0</v>
      </c>
      <c r="O38" s="469"/>
      <c r="P38" s="460"/>
    </row>
    <row r="39" spans="1:16" ht="13" x14ac:dyDescent="0.3">
      <c r="A39" s="1552"/>
      <c r="C39" s="487">
        <v>20</v>
      </c>
      <c r="D39" s="580">
        <v>-0.1</v>
      </c>
      <c r="E39" s="467">
        <v>-0.3</v>
      </c>
      <c r="F39" s="488">
        <f t="shared" si="8"/>
        <v>0</v>
      </c>
      <c r="H39" s="474"/>
      <c r="I39" s="487">
        <v>40</v>
      </c>
      <c r="J39" s="580">
        <v>-4.4000000000000004</v>
      </c>
      <c r="K39" s="467">
        <v>-1.5</v>
      </c>
      <c r="L39" s="488">
        <f t="shared" si="9"/>
        <v>0</v>
      </c>
      <c r="O39" s="469"/>
      <c r="P39" s="460"/>
    </row>
    <row r="40" spans="1:16" ht="13" x14ac:dyDescent="0.3">
      <c r="A40" s="1552"/>
      <c r="C40" s="487">
        <v>25</v>
      </c>
      <c r="D40" s="580">
        <v>-0.1</v>
      </c>
      <c r="E40" s="467">
        <v>-0.5</v>
      </c>
      <c r="F40" s="488">
        <f t="shared" si="8"/>
        <v>0</v>
      </c>
      <c r="H40" s="474"/>
      <c r="I40" s="487">
        <v>50</v>
      </c>
      <c r="J40" s="580">
        <v>-4.3</v>
      </c>
      <c r="K40" s="467">
        <v>-1</v>
      </c>
      <c r="L40" s="488">
        <f t="shared" si="9"/>
        <v>0</v>
      </c>
      <c r="O40" s="469"/>
      <c r="P40" s="460"/>
    </row>
    <row r="41" spans="1:16" ht="13" x14ac:dyDescent="0.3">
      <c r="A41" s="1552"/>
      <c r="C41" s="489">
        <v>30</v>
      </c>
      <c r="D41" s="584">
        <v>-0.1</v>
      </c>
      <c r="E41" s="471">
        <v>-0.6</v>
      </c>
      <c r="F41" s="488">
        <f t="shared" si="8"/>
        <v>0</v>
      </c>
      <c r="H41" s="474"/>
      <c r="I41" s="489">
        <v>60</v>
      </c>
      <c r="J41" s="584">
        <v>-4.2</v>
      </c>
      <c r="K41" s="471">
        <v>-0.3</v>
      </c>
      <c r="L41" s="488">
        <f t="shared" si="9"/>
        <v>0</v>
      </c>
      <c r="O41" s="469"/>
      <c r="P41" s="460"/>
    </row>
    <row r="42" spans="1:16" ht="13" x14ac:dyDescent="0.3">
      <c r="A42" s="1552"/>
      <c r="C42" s="489">
        <v>35</v>
      </c>
      <c r="D42" s="584">
        <v>-0.3</v>
      </c>
      <c r="E42" s="471">
        <v>-0.6</v>
      </c>
      <c r="F42" s="488">
        <f t="shared" si="8"/>
        <v>0</v>
      </c>
      <c r="H42" s="474"/>
      <c r="I42" s="489">
        <v>70</v>
      </c>
      <c r="J42" s="584">
        <v>-4</v>
      </c>
      <c r="K42" s="471">
        <v>0.7</v>
      </c>
      <c r="L42" s="488">
        <f t="shared" si="9"/>
        <v>0</v>
      </c>
      <c r="O42" s="469"/>
      <c r="P42" s="460"/>
    </row>
    <row r="43" spans="1:16" ht="13" x14ac:dyDescent="0.3">
      <c r="A43" s="1552"/>
      <c r="C43" s="489">
        <v>37</v>
      </c>
      <c r="D43" s="584">
        <v>-0.4</v>
      </c>
      <c r="E43" s="471">
        <v>-0.6</v>
      </c>
      <c r="F43" s="488">
        <f t="shared" si="8"/>
        <v>0</v>
      </c>
      <c r="H43" s="474"/>
      <c r="I43" s="489">
        <v>80</v>
      </c>
      <c r="J43" s="584">
        <v>-3.8</v>
      </c>
      <c r="K43" s="471">
        <v>1.9</v>
      </c>
      <c r="L43" s="488">
        <f t="shared" si="9"/>
        <v>0</v>
      </c>
      <c r="O43" s="469"/>
      <c r="P43" s="460"/>
    </row>
    <row r="44" spans="1:16" ht="13.5" thickBot="1" x14ac:dyDescent="0.35">
      <c r="A44" s="1553"/>
      <c r="B44" s="472"/>
      <c r="C44" s="490">
        <v>40</v>
      </c>
      <c r="D44" s="587">
        <v>-0.5</v>
      </c>
      <c r="E44" s="471">
        <v>-0.6</v>
      </c>
      <c r="F44" s="492">
        <f t="shared" si="8"/>
        <v>0</v>
      </c>
      <c r="G44" s="472"/>
      <c r="H44" s="493"/>
      <c r="I44" s="490">
        <v>90</v>
      </c>
      <c r="J44" s="587">
        <v>-3.5</v>
      </c>
      <c r="K44" s="494">
        <v>3.3</v>
      </c>
      <c r="L44" s="492">
        <f t="shared" si="9"/>
        <v>0</v>
      </c>
      <c r="M44" s="472"/>
      <c r="N44" s="472"/>
      <c r="O44" s="473"/>
      <c r="P44" s="460"/>
    </row>
    <row r="45" spans="1:16" ht="13.5" thickBot="1" x14ac:dyDescent="0.35">
      <c r="A45" s="474"/>
      <c r="B45" s="474"/>
      <c r="O45" s="469"/>
      <c r="P45" s="460"/>
    </row>
    <row r="46" spans="1:16" ht="13.5" thickBot="1" x14ac:dyDescent="0.35">
      <c r="A46" s="1551">
        <v>5</v>
      </c>
      <c r="B46" s="1554" t="s">
        <v>374</v>
      </c>
      <c r="C46" s="1555"/>
      <c r="D46" s="1555"/>
      <c r="E46" s="1555"/>
      <c r="F46" s="1556"/>
      <c r="G46" s="462"/>
      <c r="H46" s="1554" t="str">
        <f>B46</f>
        <v>KOREKSI KIMO THERMOHYGROMETER 15062875</v>
      </c>
      <c r="I46" s="1555"/>
      <c r="J46" s="1555"/>
      <c r="K46" s="1555"/>
      <c r="L46" s="1556"/>
      <c r="M46" s="462"/>
      <c r="N46" s="1567" t="s">
        <v>367</v>
      </c>
      <c r="O46" s="1568"/>
      <c r="P46" s="460"/>
    </row>
    <row r="47" spans="1:16" ht="13.5" thickBot="1" x14ac:dyDescent="0.35">
      <c r="A47" s="1552"/>
      <c r="B47" s="1557" t="s">
        <v>368</v>
      </c>
      <c r="C47" s="1558"/>
      <c r="D47" s="1559" t="s">
        <v>237</v>
      </c>
      <c r="E47" s="1560"/>
      <c r="F47" s="1561" t="s">
        <v>231</v>
      </c>
      <c r="H47" s="1557" t="s">
        <v>369</v>
      </c>
      <c r="I47" s="1558"/>
      <c r="J47" s="1559" t="s">
        <v>237</v>
      </c>
      <c r="K47" s="1560"/>
      <c r="L47" s="1561" t="s">
        <v>231</v>
      </c>
      <c r="N47" s="478" t="s">
        <v>368</v>
      </c>
      <c r="O47" s="479">
        <v>0.4</v>
      </c>
      <c r="P47" s="460"/>
    </row>
    <row r="48" spans="1:16" ht="15" thickBot="1" x14ac:dyDescent="0.35">
      <c r="A48" s="1552"/>
      <c r="B48" s="1563" t="s">
        <v>370</v>
      </c>
      <c r="C48" s="1564"/>
      <c r="D48" s="480">
        <v>2020</v>
      </c>
      <c r="E48" s="480">
        <v>2017</v>
      </c>
      <c r="F48" s="1562"/>
      <c r="H48" s="1565" t="s">
        <v>17</v>
      </c>
      <c r="I48" s="1566"/>
      <c r="J48" s="481">
        <f>D48</f>
        <v>2020</v>
      </c>
      <c r="K48" s="481">
        <f>E48</f>
        <v>2017</v>
      </c>
      <c r="L48" s="1562"/>
      <c r="N48" s="482" t="s">
        <v>17</v>
      </c>
      <c r="O48" s="483">
        <v>2.8</v>
      </c>
      <c r="P48" s="460"/>
    </row>
    <row r="49" spans="1:16" ht="13" x14ac:dyDescent="0.3">
      <c r="A49" s="1552"/>
      <c r="C49" s="484">
        <v>15</v>
      </c>
      <c r="D49" s="485">
        <v>-0.3</v>
      </c>
      <c r="E49" s="485">
        <v>0.3</v>
      </c>
      <c r="F49" s="486">
        <f t="shared" ref="F49:F55" si="10">0.5*(MAX(D49:E49)-MIN(D49:E49))</f>
        <v>0.3</v>
      </c>
      <c r="H49" s="474"/>
      <c r="I49" s="484">
        <v>35</v>
      </c>
      <c r="J49" s="485">
        <v>-7.7</v>
      </c>
      <c r="K49" s="485">
        <v>-9.6</v>
      </c>
      <c r="L49" s="486">
        <f t="shared" ref="L49:L55" si="11">0.5*(MAX(J49:K49)-MIN(J49:K49))</f>
        <v>0.94999999999999973</v>
      </c>
      <c r="O49" s="469"/>
      <c r="P49" s="460"/>
    </row>
    <row r="50" spans="1:16" ht="13" x14ac:dyDescent="0.3">
      <c r="A50" s="1552"/>
      <c r="C50" s="487">
        <v>20</v>
      </c>
      <c r="D50" s="467">
        <v>0.1</v>
      </c>
      <c r="E50" s="467">
        <v>0.3</v>
      </c>
      <c r="F50" s="488">
        <f t="shared" si="10"/>
        <v>9.9999999999999992E-2</v>
      </c>
      <c r="H50" s="474"/>
      <c r="I50" s="487">
        <v>40</v>
      </c>
      <c r="J50" s="467">
        <v>-7.2</v>
      </c>
      <c r="K50" s="467">
        <v>-8</v>
      </c>
      <c r="L50" s="488">
        <f t="shared" si="11"/>
        <v>0.39999999999999991</v>
      </c>
      <c r="O50" s="469"/>
      <c r="P50" s="460"/>
    </row>
    <row r="51" spans="1:16" ht="13" x14ac:dyDescent="0.3">
      <c r="A51" s="1552"/>
      <c r="C51" s="487">
        <v>25</v>
      </c>
      <c r="D51" s="467">
        <v>0.4</v>
      </c>
      <c r="E51" s="467">
        <v>0.2</v>
      </c>
      <c r="F51" s="488">
        <f t="shared" si="10"/>
        <v>0.1</v>
      </c>
      <c r="H51" s="474"/>
      <c r="I51" s="487">
        <v>50</v>
      </c>
      <c r="J51" s="467">
        <v>-6.2</v>
      </c>
      <c r="K51" s="467">
        <v>-6.2</v>
      </c>
      <c r="L51" s="488">
        <f t="shared" si="11"/>
        <v>0</v>
      </c>
      <c r="O51" s="469"/>
      <c r="P51" s="460"/>
    </row>
    <row r="52" spans="1:16" ht="13" x14ac:dyDescent="0.3">
      <c r="A52" s="1552"/>
      <c r="C52" s="489">
        <v>30</v>
      </c>
      <c r="D52" s="471">
        <v>0.6</v>
      </c>
      <c r="E52" s="471">
        <v>0.1</v>
      </c>
      <c r="F52" s="488">
        <f t="shared" si="10"/>
        <v>0.25</v>
      </c>
      <c r="H52" s="474"/>
      <c r="I52" s="489">
        <v>60</v>
      </c>
      <c r="J52" s="471">
        <v>-5.2</v>
      </c>
      <c r="K52" s="471">
        <v>-4.2</v>
      </c>
      <c r="L52" s="488">
        <f t="shared" si="11"/>
        <v>0.5</v>
      </c>
      <c r="O52" s="469"/>
      <c r="P52" s="460"/>
    </row>
    <row r="53" spans="1:16" ht="13" x14ac:dyDescent="0.3">
      <c r="A53" s="1552"/>
      <c r="C53" s="489">
        <v>35</v>
      </c>
      <c r="D53" s="471">
        <v>0.7</v>
      </c>
      <c r="E53" s="929">
        <v>9.9999999999999995E-7</v>
      </c>
      <c r="F53" s="488">
        <f t="shared" si="10"/>
        <v>0.34999949999999996</v>
      </c>
      <c r="H53" s="474"/>
      <c r="I53" s="489">
        <v>70</v>
      </c>
      <c r="J53" s="471">
        <v>-4.0999999999999996</v>
      </c>
      <c r="K53" s="471">
        <v>-2.1</v>
      </c>
      <c r="L53" s="488">
        <f t="shared" si="11"/>
        <v>0.99999999999999978</v>
      </c>
      <c r="O53" s="469"/>
      <c r="P53" s="460"/>
    </row>
    <row r="54" spans="1:16" ht="13" x14ac:dyDescent="0.3">
      <c r="A54" s="1552"/>
      <c r="C54" s="489">
        <v>37</v>
      </c>
      <c r="D54" s="471">
        <v>0.7</v>
      </c>
      <c r="E54" s="929">
        <v>9.9999999999999995E-7</v>
      </c>
      <c r="F54" s="488">
        <f t="shared" si="10"/>
        <v>0.34999949999999996</v>
      </c>
      <c r="H54" s="474"/>
      <c r="I54" s="489">
        <v>80</v>
      </c>
      <c r="J54" s="471">
        <v>-3</v>
      </c>
      <c r="K54" s="471">
        <v>0.2</v>
      </c>
      <c r="L54" s="488">
        <f t="shared" si="11"/>
        <v>1.6</v>
      </c>
      <c r="O54" s="469"/>
      <c r="P54" s="460"/>
    </row>
    <row r="55" spans="1:16" ht="13.5" thickBot="1" x14ac:dyDescent="0.35">
      <c r="A55" s="1553"/>
      <c r="B55" s="472"/>
      <c r="C55" s="490">
        <v>40</v>
      </c>
      <c r="D55" s="494">
        <v>0.7</v>
      </c>
      <c r="E55" s="494">
        <v>-0.1</v>
      </c>
      <c r="F55" s="492">
        <f t="shared" si="10"/>
        <v>0.39999999999999997</v>
      </c>
      <c r="G55" s="472"/>
      <c r="H55" s="493"/>
      <c r="I55" s="490">
        <v>90</v>
      </c>
      <c r="J55" s="494">
        <v>-1.8</v>
      </c>
      <c r="K55" s="494">
        <v>2.7</v>
      </c>
      <c r="L55" s="492">
        <f t="shared" si="11"/>
        <v>2.25</v>
      </c>
      <c r="M55" s="472"/>
      <c r="N55" s="472"/>
      <c r="O55" s="473"/>
      <c r="P55" s="460"/>
    </row>
    <row r="56" spans="1:16" ht="13.5" thickBot="1" x14ac:dyDescent="0.35">
      <c r="A56" s="495"/>
      <c r="B56" s="496"/>
      <c r="C56" s="496"/>
      <c r="D56" s="496"/>
      <c r="E56" s="497"/>
      <c r="F56" s="498"/>
      <c r="G56" s="306"/>
      <c r="H56" s="496"/>
      <c r="I56" s="496"/>
      <c r="J56" s="496"/>
      <c r="K56" s="497"/>
      <c r="L56" s="498"/>
      <c r="O56" s="469"/>
      <c r="P56" s="460"/>
    </row>
    <row r="57" spans="1:16" ht="13.5" thickBot="1" x14ac:dyDescent="0.35">
      <c r="A57" s="1551">
        <v>6</v>
      </c>
      <c r="B57" s="1554" t="s">
        <v>375</v>
      </c>
      <c r="C57" s="1555"/>
      <c r="D57" s="1555"/>
      <c r="E57" s="1555"/>
      <c r="F57" s="1556"/>
      <c r="G57" s="462"/>
      <c r="H57" s="1554" t="str">
        <f>B57</f>
        <v>KOREKSI GREISINGER 34903046</v>
      </c>
      <c r="I57" s="1555"/>
      <c r="J57" s="1555"/>
      <c r="K57" s="1555"/>
      <c r="L57" s="1556"/>
      <c r="M57" s="462"/>
      <c r="N57" s="1567" t="s">
        <v>367</v>
      </c>
      <c r="O57" s="1568"/>
      <c r="P57" s="460"/>
    </row>
    <row r="58" spans="1:16" ht="13.5" thickBot="1" x14ac:dyDescent="0.35">
      <c r="A58" s="1552"/>
      <c r="B58" s="1557" t="s">
        <v>368</v>
      </c>
      <c r="C58" s="1558"/>
      <c r="D58" s="1559" t="s">
        <v>237</v>
      </c>
      <c r="E58" s="1560"/>
      <c r="F58" s="1561" t="s">
        <v>231</v>
      </c>
      <c r="H58" s="1557" t="s">
        <v>369</v>
      </c>
      <c r="I58" s="1558"/>
      <c r="J58" s="1559" t="s">
        <v>237</v>
      </c>
      <c r="K58" s="1560"/>
      <c r="L58" s="1561" t="s">
        <v>231</v>
      </c>
      <c r="N58" s="478" t="s">
        <v>368</v>
      </c>
      <c r="O58" s="479">
        <v>0.8</v>
      </c>
      <c r="P58" s="460"/>
    </row>
    <row r="59" spans="1:16" ht="15" thickBot="1" x14ac:dyDescent="0.35">
      <c r="A59" s="1552"/>
      <c r="B59" s="1563" t="s">
        <v>370</v>
      </c>
      <c r="C59" s="1564"/>
      <c r="D59" s="480">
        <v>2019</v>
      </c>
      <c r="E59" s="480">
        <v>2018</v>
      </c>
      <c r="F59" s="1562"/>
      <c r="H59" s="1565" t="s">
        <v>17</v>
      </c>
      <c r="I59" s="1566"/>
      <c r="J59" s="481">
        <f>D59</f>
        <v>2019</v>
      </c>
      <c r="K59" s="481">
        <f>E59</f>
        <v>2018</v>
      </c>
      <c r="L59" s="1562"/>
      <c r="N59" s="482" t="s">
        <v>17</v>
      </c>
      <c r="O59" s="499">
        <v>2.6</v>
      </c>
      <c r="P59" s="460"/>
    </row>
    <row r="60" spans="1:16" ht="13" x14ac:dyDescent="0.3">
      <c r="A60" s="1552"/>
      <c r="C60" s="484">
        <v>15</v>
      </c>
      <c r="D60" s="485">
        <v>0.4</v>
      </c>
      <c r="E60" s="485">
        <v>0.4</v>
      </c>
      <c r="F60" s="486">
        <f t="shared" ref="F60:F66" si="12">0.5*(MAX(D60:E60)-MIN(D60:E60))</f>
        <v>0</v>
      </c>
      <c r="H60" s="474"/>
      <c r="I60" s="484">
        <v>30</v>
      </c>
      <c r="J60" s="485">
        <v>-1.5</v>
      </c>
      <c r="K60" s="485">
        <v>-4.9000000000000004</v>
      </c>
      <c r="L60" s="486">
        <f t="shared" ref="L60:L66" si="13">0.5*(MAX(J60:K60)-MIN(J60:K60))</f>
        <v>1.7000000000000002</v>
      </c>
      <c r="O60" s="469"/>
      <c r="P60" s="460"/>
    </row>
    <row r="61" spans="1:16" ht="13" x14ac:dyDescent="0.3">
      <c r="A61" s="1552"/>
      <c r="C61" s="487">
        <v>20</v>
      </c>
      <c r="D61" s="467">
        <v>0.3</v>
      </c>
      <c r="E61" s="467">
        <v>0.2</v>
      </c>
      <c r="F61" s="488">
        <f t="shared" si="12"/>
        <v>4.9999999999999989E-2</v>
      </c>
      <c r="H61" s="474"/>
      <c r="I61" s="487">
        <v>40</v>
      </c>
      <c r="J61" s="467">
        <v>-3.8</v>
      </c>
      <c r="K61" s="467">
        <v>-3.4</v>
      </c>
      <c r="L61" s="488">
        <f t="shared" si="13"/>
        <v>0.19999999999999996</v>
      </c>
      <c r="O61" s="469"/>
      <c r="P61" s="460"/>
    </row>
    <row r="62" spans="1:16" ht="13" x14ac:dyDescent="0.3">
      <c r="A62" s="1552"/>
      <c r="C62" s="487">
        <v>25</v>
      </c>
      <c r="D62" s="467">
        <v>0.2</v>
      </c>
      <c r="E62" s="467">
        <v>-0.1</v>
      </c>
      <c r="F62" s="488">
        <f t="shared" si="12"/>
        <v>0.15000000000000002</v>
      </c>
      <c r="H62" s="474"/>
      <c r="I62" s="487">
        <v>50</v>
      </c>
      <c r="J62" s="467">
        <v>-5.4</v>
      </c>
      <c r="K62" s="467">
        <v>-2.5</v>
      </c>
      <c r="L62" s="488">
        <f t="shared" si="13"/>
        <v>1.4500000000000002</v>
      </c>
      <c r="O62" s="469"/>
      <c r="P62" s="460"/>
    </row>
    <row r="63" spans="1:16" ht="13" x14ac:dyDescent="0.3">
      <c r="A63" s="1552"/>
      <c r="C63" s="489">
        <v>30</v>
      </c>
      <c r="D63" s="470">
        <v>0.1</v>
      </c>
      <c r="E63" s="470">
        <v>-0.5</v>
      </c>
      <c r="F63" s="488">
        <f t="shared" si="12"/>
        <v>0.3</v>
      </c>
      <c r="H63" s="474"/>
      <c r="I63" s="489">
        <v>60</v>
      </c>
      <c r="J63" s="470">
        <v>-6.4</v>
      </c>
      <c r="K63" s="470">
        <v>-2</v>
      </c>
      <c r="L63" s="488">
        <f t="shared" si="13"/>
        <v>2.2000000000000002</v>
      </c>
      <c r="O63" s="469"/>
      <c r="P63" s="460"/>
    </row>
    <row r="64" spans="1:16" ht="13" x14ac:dyDescent="0.3">
      <c r="A64" s="1552"/>
      <c r="C64" s="489">
        <v>35</v>
      </c>
      <c r="D64" s="470">
        <v>0.1</v>
      </c>
      <c r="E64" s="470">
        <v>-0.9</v>
      </c>
      <c r="F64" s="488">
        <f t="shared" si="12"/>
        <v>0.5</v>
      </c>
      <c r="H64" s="474"/>
      <c r="I64" s="489">
        <v>70</v>
      </c>
      <c r="J64" s="470">
        <v>-6.7</v>
      </c>
      <c r="K64" s="470">
        <v>-2.1</v>
      </c>
      <c r="L64" s="488">
        <f t="shared" si="13"/>
        <v>2.2999999999999998</v>
      </c>
      <c r="O64" s="469"/>
      <c r="P64" s="460"/>
    </row>
    <row r="65" spans="1:16" ht="13" x14ac:dyDescent="0.3">
      <c r="A65" s="1552"/>
      <c r="C65" s="489">
        <v>37</v>
      </c>
      <c r="D65" s="470">
        <v>0.1</v>
      </c>
      <c r="E65" s="470">
        <v>-1.1000000000000001</v>
      </c>
      <c r="F65" s="488">
        <f t="shared" si="12"/>
        <v>0.60000000000000009</v>
      </c>
      <c r="H65" s="474"/>
      <c r="I65" s="489">
        <v>80</v>
      </c>
      <c r="J65" s="470">
        <v>-6.3</v>
      </c>
      <c r="K65" s="470">
        <v>-2.6</v>
      </c>
      <c r="L65" s="488">
        <f t="shared" si="13"/>
        <v>1.8499999999999999</v>
      </c>
      <c r="O65" s="469"/>
      <c r="P65" s="460"/>
    </row>
    <row r="66" spans="1:16" ht="13.5" thickBot="1" x14ac:dyDescent="0.35">
      <c r="A66" s="1553"/>
      <c r="B66" s="472"/>
      <c r="C66" s="490">
        <v>40</v>
      </c>
      <c r="D66" s="491">
        <v>0.1</v>
      </c>
      <c r="E66" s="491">
        <v>-1.4</v>
      </c>
      <c r="F66" s="492">
        <f t="shared" si="12"/>
        <v>0.75</v>
      </c>
      <c r="G66" s="472"/>
      <c r="H66" s="493"/>
      <c r="I66" s="490">
        <v>90</v>
      </c>
      <c r="J66" s="491">
        <v>-5.2</v>
      </c>
      <c r="K66" s="491">
        <v>-2.6</v>
      </c>
      <c r="L66" s="492">
        <f t="shared" si="13"/>
        <v>1.3</v>
      </c>
      <c r="M66" s="472"/>
      <c r="N66" s="472"/>
      <c r="O66" s="473"/>
      <c r="P66" s="460"/>
    </row>
    <row r="67" spans="1:16" ht="13.5" thickBot="1" x14ac:dyDescent="0.35">
      <c r="A67" s="495"/>
      <c r="B67" s="496"/>
      <c r="C67" s="496"/>
      <c r="D67" s="496"/>
      <c r="E67" s="497"/>
      <c r="F67" s="498"/>
      <c r="G67" s="306"/>
      <c r="H67" s="496"/>
      <c r="I67" s="496"/>
      <c r="J67" s="496"/>
      <c r="K67" s="497"/>
      <c r="L67" s="498"/>
      <c r="O67" s="469"/>
      <c r="P67" s="460"/>
    </row>
    <row r="68" spans="1:16" ht="13.5" thickBot="1" x14ac:dyDescent="0.35">
      <c r="A68" s="1551">
        <v>7</v>
      </c>
      <c r="B68" s="1554" t="s">
        <v>376</v>
      </c>
      <c r="C68" s="1555"/>
      <c r="D68" s="1555"/>
      <c r="E68" s="1555"/>
      <c r="F68" s="1556"/>
      <c r="G68" s="462"/>
      <c r="H68" s="1554" t="str">
        <f>B68</f>
        <v>KOREKSI GREISINGER 34903053</v>
      </c>
      <c r="I68" s="1555"/>
      <c r="J68" s="1555"/>
      <c r="K68" s="1555"/>
      <c r="L68" s="1556"/>
      <c r="M68" s="462"/>
      <c r="N68" s="1567" t="s">
        <v>367</v>
      </c>
      <c r="O68" s="1568"/>
      <c r="P68" s="460"/>
    </row>
    <row r="69" spans="1:16" ht="13.5" thickBot="1" x14ac:dyDescent="0.35">
      <c r="A69" s="1552"/>
      <c r="B69" s="1557" t="s">
        <v>368</v>
      </c>
      <c r="C69" s="1558"/>
      <c r="D69" s="1559" t="s">
        <v>237</v>
      </c>
      <c r="E69" s="1560"/>
      <c r="F69" s="1561" t="s">
        <v>231</v>
      </c>
      <c r="H69" s="1557" t="s">
        <v>369</v>
      </c>
      <c r="I69" s="1558"/>
      <c r="J69" s="1559" t="s">
        <v>237</v>
      </c>
      <c r="K69" s="1560"/>
      <c r="L69" s="1561" t="s">
        <v>231</v>
      </c>
      <c r="N69" s="478" t="s">
        <v>368</v>
      </c>
      <c r="O69" s="479">
        <v>0.3</v>
      </c>
      <c r="P69" s="460"/>
    </row>
    <row r="70" spans="1:16" ht="15" thickBot="1" x14ac:dyDescent="0.35">
      <c r="A70" s="1552"/>
      <c r="B70" s="1563" t="s">
        <v>370</v>
      </c>
      <c r="C70" s="1564"/>
      <c r="D70" s="592">
        <v>2021</v>
      </c>
      <c r="E70" s="480">
        <v>2018</v>
      </c>
      <c r="F70" s="1562"/>
      <c r="H70" s="1565" t="s">
        <v>17</v>
      </c>
      <c r="I70" s="1566"/>
      <c r="J70" s="594">
        <f>'DB Thermohygro'!D70</f>
        <v>2021</v>
      </c>
      <c r="K70" s="481">
        <f>E70</f>
        <v>2018</v>
      </c>
      <c r="L70" s="1562"/>
      <c r="N70" s="482" t="s">
        <v>17</v>
      </c>
      <c r="O70" s="483">
        <v>2.2999999999999998</v>
      </c>
      <c r="P70" s="460"/>
    </row>
    <row r="71" spans="1:16" ht="13" x14ac:dyDescent="0.3">
      <c r="A71" s="1552"/>
      <c r="C71" s="484">
        <v>15</v>
      </c>
      <c r="D71" s="576">
        <v>0.1</v>
      </c>
      <c r="E71" s="485">
        <v>0.3</v>
      </c>
      <c r="F71" s="486">
        <f t="shared" ref="F71:F77" si="14">0.5*(MAX(E71:E71)-MIN(E71:E71))</f>
        <v>0</v>
      </c>
      <c r="H71" s="474"/>
      <c r="I71" s="484">
        <v>30</v>
      </c>
      <c r="J71" s="576">
        <v>-1.9</v>
      </c>
      <c r="K71" s="485">
        <v>1.8</v>
      </c>
      <c r="L71" s="486">
        <f t="shared" ref="L71:L77" si="15">0.5*(MAX(K71:K71)-MIN(K71:K71))</f>
        <v>0</v>
      </c>
      <c r="O71" s="469"/>
      <c r="P71" s="460"/>
    </row>
    <row r="72" spans="1:16" ht="13" x14ac:dyDescent="0.3">
      <c r="A72" s="1552"/>
      <c r="C72" s="487">
        <v>20</v>
      </c>
      <c r="D72" s="580">
        <v>9.9999999999999995E-7</v>
      </c>
      <c r="E72" s="467">
        <v>0.1</v>
      </c>
      <c r="F72" s="488">
        <f t="shared" si="14"/>
        <v>0</v>
      </c>
      <c r="H72" s="474"/>
      <c r="I72" s="487">
        <v>40</v>
      </c>
      <c r="J72" s="580">
        <v>-1.9</v>
      </c>
      <c r="K72" s="467">
        <v>1.2</v>
      </c>
      <c r="L72" s="488">
        <f t="shared" si="15"/>
        <v>0</v>
      </c>
      <c r="O72" s="469"/>
      <c r="P72" s="460"/>
    </row>
    <row r="73" spans="1:16" ht="13" x14ac:dyDescent="0.3">
      <c r="A73" s="1552"/>
      <c r="C73" s="487">
        <v>25</v>
      </c>
      <c r="D73" s="580">
        <v>9.9999999999999995E-7</v>
      </c>
      <c r="E73" s="467">
        <v>-0.2</v>
      </c>
      <c r="F73" s="488">
        <f t="shared" si="14"/>
        <v>0</v>
      </c>
      <c r="H73" s="474"/>
      <c r="I73" s="487">
        <v>50</v>
      </c>
      <c r="J73" s="580">
        <v>-1.9</v>
      </c>
      <c r="K73" s="467">
        <v>0.8</v>
      </c>
      <c r="L73" s="488">
        <f t="shared" si="15"/>
        <v>0</v>
      </c>
      <c r="O73" s="469"/>
      <c r="P73" s="460"/>
    </row>
    <row r="74" spans="1:16" ht="13" x14ac:dyDescent="0.3">
      <c r="A74" s="1552"/>
      <c r="C74" s="489">
        <v>30</v>
      </c>
      <c r="D74" s="584">
        <v>9.9999999999999995E-7</v>
      </c>
      <c r="E74" s="470">
        <v>-0.6</v>
      </c>
      <c r="F74" s="488">
        <f t="shared" si="14"/>
        <v>0</v>
      </c>
      <c r="H74" s="474"/>
      <c r="I74" s="489">
        <v>60</v>
      </c>
      <c r="J74" s="584">
        <v>-2.1</v>
      </c>
      <c r="K74" s="470">
        <v>0.7</v>
      </c>
      <c r="L74" s="488">
        <f t="shared" si="15"/>
        <v>0</v>
      </c>
      <c r="O74" s="469"/>
      <c r="P74" s="460"/>
    </row>
    <row r="75" spans="1:16" ht="13" x14ac:dyDescent="0.3">
      <c r="A75" s="1552"/>
      <c r="C75" s="489">
        <v>35</v>
      </c>
      <c r="D75" s="584">
        <v>9.9999999999999995E-7</v>
      </c>
      <c r="E75" s="470">
        <v>-1.1000000000000001</v>
      </c>
      <c r="F75" s="488">
        <f t="shared" si="14"/>
        <v>0</v>
      </c>
      <c r="H75" s="474"/>
      <c r="I75" s="489">
        <v>70</v>
      </c>
      <c r="J75" s="584">
        <v>-2.2999999999999998</v>
      </c>
      <c r="K75" s="470">
        <v>0.9</v>
      </c>
      <c r="L75" s="488">
        <f t="shared" si="15"/>
        <v>0</v>
      </c>
      <c r="O75" s="469"/>
      <c r="P75" s="460"/>
    </row>
    <row r="76" spans="1:16" ht="13" x14ac:dyDescent="0.3">
      <c r="A76" s="1552"/>
      <c r="C76" s="489">
        <v>37</v>
      </c>
      <c r="D76" s="584">
        <v>9.9999999999999995E-7</v>
      </c>
      <c r="E76" s="470">
        <v>-1.4</v>
      </c>
      <c r="F76" s="488">
        <f t="shared" si="14"/>
        <v>0</v>
      </c>
      <c r="H76" s="474"/>
      <c r="I76" s="489">
        <v>80</v>
      </c>
      <c r="J76" s="584">
        <v>-2.6</v>
      </c>
      <c r="K76" s="470">
        <v>1.2</v>
      </c>
      <c r="L76" s="488">
        <f t="shared" si="15"/>
        <v>0</v>
      </c>
      <c r="O76" s="469"/>
      <c r="P76" s="460"/>
    </row>
    <row r="77" spans="1:16" ht="13.5" thickBot="1" x14ac:dyDescent="0.35">
      <c r="A77" s="1553"/>
      <c r="B77" s="472"/>
      <c r="C77" s="490">
        <v>40</v>
      </c>
      <c r="D77" s="587">
        <v>0.1</v>
      </c>
      <c r="E77" s="491">
        <v>-1.7</v>
      </c>
      <c r="F77" s="492">
        <f t="shared" si="14"/>
        <v>0</v>
      </c>
      <c r="G77" s="472"/>
      <c r="H77" s="493"/>
      <c r="I77" s="490">
        <v>90</v>
      </c>
      <c r="J77" s="587">
        <v>-3</v>
      </c>
      <c r="K77" s="491">
        <v>1.8</v>
      </c>
      <c r="L77" s="492">
        <f t="shared" si="15"/>
        <v>0</v>
      </c>
      <c r="M77" s="472"/>
      <c r="N77" s="472"/>
      <c r="O77" s="473"/>
      <c r="P77" s="460"/>
    </row>
    <row r="78" spans="1:16" ht="13.5" thickBot="1" x14ac:dyDescent="0.35">
      <c r="A78" s="495"/>
      <c r="B78" s="496"/>
      <c r="C78" s="496"/>
      <c r="D78" s="496"/>
      <c r="E78" s="497"/>
      <c r="F78" s="498"/>
      <c r="G78" s="306"/>
      <c r="H78" s="496"/>
      <c r="I78" s="496"/>
      <c r="J78" s="496"/>
      <c r="K78" s="497"/>
      <c r="L78" s="498"/>
      <c r="O78" s="469"/>
      <c r="P78" s="460"/>
    </row>
    <row r="79" spans="1:16" ht="13.5" thickBot="1" x14ac:dyDescent="0.35">
      <c r="A79" s="1551">
        <v>8</v>
      </c>
      <c r="B79" s="1554" t="s">
        <v>377</v>
      </c>
      <c r="C79" s="1555"/>
      <c r="D79" s="1555"/>
      <c r="E79" s="1555"/>
      <c r="F79" s="1556"/>
      <c r="G79" s="462"/>
      <c r="H79" s="1554" t="str">
        <f>B79</f>
        <v>KOREKSI GREISINGER 34903051</v>
      </c>
      <c r="I79" s="1555"/>
      <c r="J79" s="1555"/>
      <c r="K79" s="1555"/>
      <c r="L79" s="1556"/>
      <c r="M79" s="462"/>
      <c r="N79" s="1567" t="s">
        <v>367</v>
      </c>
      <c r="O79" s="1568"/>
      <c r="P79" s="460"/>
    </row>
    <row r="80" spans="1:16" ht="13.5" thickBot="1" x14ac:dyDescent="0.35">
      <c r="A80" s="1552"/>
      <c r="B80" s="1557" t="s">
        <v>368</v>
      </c>
      <c r="C80" s="1558"/>
      <c r="D80" s="1559" t="s">
        <v>237</v>
      </c>
      <c r="E80" s="1560"/>
      <c r="F80" s="1561" t="s">
        <v>231</v>
      </c>
      <c r="H80" s="1557" t="s">
        <v>369</v>
      </c>
      <c r="I80" s="1558"/>
      <c r="J80" s="1559" t="s">
        <v>237</v>
      </c>
      <c r="K80" s="1560"/>
      <c r="L80" s="1561" t="s">
        <v>231</v>
      </c>
      <c r="N80" s="478" t="s">
        <v>368</v>
      </c>
      <c r="O80" s="500">
        <v>0.3</v>
      </c>
      <c r="P80" s="460"/>
    </row>
    <row r="81" spans="1:16" ht="15" thickBot="1" x14ac:dyDescent="0.35">
      <c r="A81" s="1552"/>
      <c r="B81" s="1563" t="s">
        <v>370</v>
      </c>
      <c r="C81" s="1564"/>
      <c r="D81" s="592">
        <v>2021</v>
      </c>
      <c r="E81" s="480">
        <v>2019</v>
      </c>
      <c r="F81" s="1562"/>
      <c r="H81" s="1565" t="s">
        <v>17</v>
      </c>
      <c r="I81" s="1566"/>
      <c r="J81" s="594">
        <f>'DB Thermohygro'!D81</f>
        <v>2021</v>
      </c>
      <c r="K81" s="481">
        <f>E81</f>
        <v>2019</v>
      </c>
      <c r="L81" s="1562"/>
      <c r="N81" s="482" t="s">
        <v>17</v>
      </c>
      <c r="O81" s="499">
        <v>2.6</v>
      </c>
      <c r="P81" s="460"/>
    </row>
    <row r="82" spans="1:16" ht="13" x14ac:dyDescent="0.3">
      <c r="A82" s="1552"/>
      <c r="C82" s="501">
        <v>15</v>
      </c>
      <c r="D82" s="576">
        <v>0.1</v>
      </c>
      <c r="E82" s="485">
        <v>0</v>
      </c>
      <c r="F82" s="486">
        <f t="shared" ref="F82:F88" si="16">0.5*(MAX(E82:E82)-MIN(E82:E82))</f>
        <v>0</v>
      </c>
      <c r="H82" s="474"/>
      <c r="I82" s="501">
        <v>30</v>
      </c>
      <c r="J82" s="576">
        <v>-4</v>
      </c>
      <c r="K82" s="485">
        <v>-1.4</v>
      </c>
      <c r="L82" s="486">
        <f t="shared" ref="L82:L88" si="17">0.5*(MAX(K82:K82)-MIN(K82:K82))</f>
        <v>0</v>
      </c>
      <c r="O82" s="469"/>
      <c r="P82" s="460"/>
    </row>
    <row r="83" spans="1:16" ht="13" x14ac:dyDescent="0.3">
      <c r="A83" s="1552"/>
      <c r="C83" s="502">
        <v>20</v>
      </c>
      <c r="D83" s="576">
        <v>0</v>
      </c>
      <c r="E83" s="485">
        <v>-0.2</v>
      </c>
      <c r="F83" s="488">
        <f t="shared" si="16"/>
        <v>0</v>
      </c>
      <c r="H83" s="474"/>
      <c r="I83" s="502">
        <v>40</v>
      </c>
      <c r="J83" s="580">
        <v>-3.8</v>
      </c>
      <c r="K83" s="467">
        <v>-1.2</v>
      </c>
      <c r="L83" s="488">
        <f t="shared" si="17"/>
        <v>0</v>
      </c>
      <c r="O83" s="469"/>
      <c r="P83" s="460"/>
    </row>
    <row r="84" spans="1:16" ht="13" x14ac:dyDescent="0.3">
      <c r="A84" s="1552"/>
      <c r="C84" s="502">
        <v>25</v>
      </c>
      <c r="D84" s="576">
        <v>-0.1</v>
      </c>
      <c r="E84" s="485">
        <v>-0.4</v>
      </c>
      <c r="F84" s="488">
        <f t="shared" si="16"/>
        <v>0</v>
      </c>
      <c r="H84" s="474"/>
      <c r="I84" s="502">
        <v>50</v>
      </c>
      <c r="J84" s="580">
        <v>-3.8</v>
      </c>
      <c r="K84" s="467">
        <v>-1.2</v>
      </c>
      <c r="L84" s="488">
        <f t="shared" si="17"/>
        <v>0</v>
      </c>
      <c r="O84" s="469"/>
      <c r="P84" s="460"/>
    </row>
    <row r="85" spans="1:16" ht="13" x14ac:dyDescent="0.3">
      <c r="A85" s="1552"/>
      <c r="C85" s="503">
        <v>30</v>
      </c>
      <c r="D85" s="576">
        <v>-0.2</v>
      </c>
      <c r="E85" s="485">
        <v>-0.4</v>
      </c>
      <c r="F85" s="488">
        <f t="shared" si="16"/>
        <v>0</v>
      </c>
      <c r="H85" s="474"/>
      <c r="I85" s="503">
        <v>60</v>
      </c>
      <c r="J85" s="584">
        <v>-3.9</v>
      </c>
      <c r="K85" s="470">
        <v>-1.1000000000000001</v>
      </c>
      <c r="L85" s="488">
        <f t="shared" si="17"/>
        <v>0</v>
      </c>
      <c r="O85" s="469"/>
      <c r="P85" s="460"/>
    </row>
    <row r="86" spans="1:16" ht="13" x14ac:dyDescent="0.3">
      <c r="A86" s="1552"/>
      <c r="C86" s="503">
        <v>35</v>
      </c>
      <c r="D86" s="584">
        <v>-0.1</v>
      </c>
      <c r="E86" s="470">
        <v>-0.5</v>
      </c>
      <c r="F86" s="488">
        <f t="shared" si="16"/>
        <v>0</v>
      </c>
      <c r="H86" s="474"/>
      <c r="I86" s="503">
        <v>70</v>
      </c>
      <c r="J86" s="584">
        <v>-4.0999999999999996</v>
      </c>
      <c r="K86" s="470">
        <v>-1.2</v>
      </c>
      <c r="L86" s="488">
        <f t="shared" si="17"/>
        <v>0</v>
      </c>
      <c r="O86" s="469"/>
      <c r="P86" s="460"/>
    </row>
    <row r="87" spans="1:16" ht="13" x14ac:dyDescent="0.3">
      <c r="A87" s="1552"/>
      <c r="C87" s="503">
        <v>37</v>
      </c>
      <c r="D87" s="584">
        <v>-0.1</v>
      </c>
      <c r="E87" s="470">
        <v>-0.5</v>
      </c>
      <c r="F87" s="488">
        <f t="shared" si="16"/>
        <v>0</v>
      </c>
      <c r="H87" s="474"/>
      <c r="I87" s="503">
        <v>80</v>
      </c>
      <c r="J87" s="584">
        <v>-4.5</v>
      </c>
      <c r="K87" s="470">
        <v>-1.2</v>
      </c>
      <c r="L87" s="488">
        <f t="shared" si="17"/>
        <v>0</v>
      </c>
      <c r="O87" s="469"/>
      <c r="P87" s="460"/>
    </row>
    <row r="88" spans="1:16" ht="13.5" thickBot="1" x14ac:dyDescent="0.35">
      <c r="A88" s="1553"/>
      <c r="B88" s="472"/>
      <c r="C88" s="504">
        <v>40</v>
      </c>
      <c r="D88" s="587">
        <v>0</v>
      </c>
      <c r="E88" s="491">
        <v>-0.4</v>
      </c>
      <c r="F88" s="492">
        <f t="shared" si="16"/>
        <v>0</v>
      </c>
      <c r="G88" s="472"/>
      <c r="H88" s="493"/>
      <c r="I88" s="504">
        <v>90</v>
      </c>
      <c r="J88" s="587">
        <v>-4.9000000000000004</v>
      </c>
      <c r="K88" s="491">
        <v>-1.3</v>
      </c>
      <c r="L88" s="492">
        <f t="shared" si="17"/>
        <v>0</v>
      </c>
      <c r="M88" s="472"/>
      <c r="N88" s="472"/>
      <c r="O88" s="473"/>
      <c r="P88" s="460"/>
    </row>
    <row r="89" spans="1:16" ht="13.5" thickBot="1" x14ac:dyDescent="0.35">
      <c r="A89" s="495"/>
      <c r="B89" s="496"/>
      <c r="C89" s="496"/>
      <c r="D89" s="496"/>
      <c r="E89" s="497"/>
      <c r="F89" s="505"/>
      <c r="G89" s="306"/>
      <c r="H89" s="496"/>
      <c r="I89" s="496"/>
      <c r="J89" s="496"/>
      <c r="K89" s="497"/>
      <c r="L89" s="505"/>
      <c r="O89" s="469"/>
      <c r="P89" s="460"/>
    </row>
    <row r="90" spans="1:16" ht="13.5" thickBot="1" x14ac:dyDescent="0.35">
      <c r="A90" s="1551">
        <v>9</v>
      </c>
      <c r="B90" s="1554" t="s">
        <v>378</v>
      </c>
      <c r="C90" s="1555"/>
      <c r="D90" s="1555"/>
      <c r="E90" s="1555"/>
      <c r="F90" s="1556"/>
      <c r="G90" s="462"/>
      <c r="H90" s="1554" t="str">
        <f>B90</f>
        <v>KOREKSI GREISINGER 34904091</v>
      </c>
      <c r="I90" s="1555"/>
      <c r="J90" s="1555"/>
      <c r="K90" s="1555"/>
      <c r="L90" s="1556"/>
      <c r="M90" s="462"/>
      <c r="N90" s="1567" t="s">
        <v>367</v>
      </c>
      <c r="O90" s="1568"/>
      <c r="P90" s="460"/>
    </row>
    <row r="91" spans="1:16" ht="13.5" thickBot="1" x14ac:dyDescent="0.35">
      <c r="A91" s="1552"/>
      <c r="B91" s="1557" t="s">
        <v>368</v>
      </c>
      <c r="C91" s="1558"/>
      <c r="D91" s="1559" t="s">
        <v>237</v>
      </c>
      <c r="E91" s="1560"/>
      <c r="F91" s="1561" t="s">
        <v>231</v>
      </c>
      <c r="H91" s="1557" t="s">
        <v>369</v>
      </c>
      <c r="I91" s="1558"/>
      <c r="J91" s="1559" t="s">
        <v>237</v>
      </c>
      <c r="K91" s="1560"/>
      <c r="L91" s="1561" t="s">
        <v>231</v>
      </c>
      <c r="N91" s="478" t="s">
        <v>368</v>
      </c>
      <c r="O91" s="500">
        <v>0.3</v>
      </c>
      <c r="P91" s="460"/>
    </row>
    <row r="92" spans="1:16" ht="15" thickBot="1" x14ac:dyDescent="0.35">
      <c r="A92" s="1552"/>
      <c r="B92" s="1563" t="s">
        <v>370</v>
      </c>
      <c r="C92" s="1564"/>
      <c r="D92" s="480">
        <v>2019</v>
      </c>
      <c r="E92" s="506" t="s">
        <v>191</v>
      </c>
      <c r="F92" s="1562"/>
      <c r="H92" s="1565" t="s">
        <v>17</v>
      </c>
      <c r="I92" s="1566"/>
      <c r="J92" s="481">
        <f>D92</f>
        <v>2019</v>
      </c>
      <c r="K92" s="481" t="str">
        <f>E92</f>
        <v>-</v>
      </c>
      <c r="L92" s="1562"/>
      <c r="N92" s="482" t="s">
        <v>17</v>
      </c>
      <c r="O92" s="499">
        <v>2.4</v>
      </c>
      <c r="P92" s="460"/>
    </row>
    <row r="93" spans="1:16" ht="13" x14ac:dyDescent="0.3">
      <c r="A93" s="1552"/>
      <c r="B93" s="474"/>
      <c r="C93" s="501">
        <v>15</v>
      </c>
      <c r="D93" s="485">
        <v>9.9999999999999995E-7</v>
      </c>
      <c r="E93" s="507" t="s">
        <v>191</v>
      </c>
      <c r="F93" s="486">
        <f t="shared" ref="F93" si="18">0.5*(MAX(D93:E93)-MIN(D93:E93))</f>
        <v>0</v>
      </c>
      <c r="H93" s="474"/>
      <c r="I93" s="501">
        <v>30</v>
      </c>
      <c r="J93" s="485">
        <v>-1.2</v>
      </c>
      <c r="K93" s="507" t="s">
        <v>191</v>
      </c>
      <c r="L93" s="486">
        <f t="shared" ref="L93:L99" si="19">0.5*(MAX(J93:K93)-MIN(J93:K93))</f>
        <v>0</v>
      </c>
      <c r="O93" s="469"/>
      <c r="P93" s="460"/>
    </row>
    <row r="94" spans="1:16" ht="13" x14ac:dyDescent="0.3">
      <c r="A94" s="1552"/>
      <c r="B94" s="474"/>
      <c r="C94" s="502">
        <v>20</v>
      </c>
      <c r="D94" s="485">
        <v>-0.2</v>
      </c>
      <c r="E94" s="508" t="s">
        <v>191</v>
      </c>
      <c r="F94" s="488">
        <f>0.5*(MAX(D94:E94)-MIN(D94:E94))</f>
        <v>0</v>
      </c>
      <c r="H94" s="474"/>
      <c r="I94" s="502">
        <v>40</v>
      </c>
      <c r="J94" s="485">
        <v>-1</v>
      </c>
      <c r="K94" s="508" t="s">
        <v>191</v>
      </c>
      <c r="L94" s="488">
        <f t="shared" si="19"/>
        <v>0</v>
      </c>
      <c r="O94" s="469"/>
      <c r="P94" s="460"/>
    </row>
    <row r="95" spans="1:16" ht="13" x14ac:dyDescent="0.3">
      <c r="A95" s="1552"/>
      <c r="B95" s="474"/>
      <c r="C95" s="502">
        <v>25</v>
      </c>
      <c r="D95" s="485">
        <v>-0.4</v>
      </c>
      <c r="E95" s="508" t="s">
        <v>191</v>
      </c>
      <c r="F95" s="488">
        <f t="shared" ref="F95:F99" si="20">0.5*(MAX(D95:E95)-MIN(D95:E95))</f>
        <v>0</v>
      </c>
      <c r="H95" s="474"/>
      <c r="I95" s="502">
        <v>50</v>
      </c>
      <c r="J95" s="485">
        <v>-0.9</v>
      </c>
      <c r="K95" s="508" t="s">
        <v>191</v>
      </c>
      <c r="L95" s="488">
        <f t="shared" si="19"/>
        <v>0</v>
      </c>
      <c r="O95" s="469"/>
      <c r="P95" s="460"/>
    </row>
    <row r="96" spans="1:16" ht="13" x14ac:dyDescent="0.3">
      <c r="A96" s="1552"/>
      <c r="B96" s="474"/>
      <c r="C96" s="503">
        <v>30</v>
      </c>
      <c r="D96" s="485">
        <v>-0.5</v>
      </c>
      <c r="E96" s="471" t="s">
        <v>191</v>
      </c>
      <c r="F96" s="488">
        <f t="shared" si="20"/>
        <v>0</v>
      </c>
      <c r="H96" s="474"/>
      <c r="I96" s="503">
        <v>60</v>
      </c>
      <c r="J96" s="485">
        <v>-0.8</v>
      </c>
      <c r="K96" s="471" t="s">
        <v>191</v>
      </c>
      <c r="L96" s="488">
        <f t="shared" si="19"/>
        <v>0</v>
      </c>
      <c r="O96" s="469"/>
      <c r="P96" s="460"/>
    </row>
    <row r="97" spans="1:16" ht="13" x14ac:dyDescent="0.3">
      <c r="A97" s="1552"/>
      <c r="B97" s="474"/>
      <c r="C97" s="503">
        <v>35</v>
      </c>
      <c r="D97" s="485">
        <v>-0.5</v>
      </c>
      <c r="E97" s="471" t="s">
        <v>191</v>
      </c>
      <c r="F97" s="488">
        <f t="shared" si="20"/>
        <v>0</v>
      </c>
      <c r="H97" s="474"/>
      <c r="I97" s="503">
        <v>70</v>
      </c>
      <c r="J97" s="485">
        <v>-0.6</v>
      </c>
      <c r="K97" s="471" t="s">
        <v>191</v>
      </c>
      <c r="L97" s="488">
        <f t="shared" si="19"/>
        <v>0</v>
      </c>
      <c r="O97" s="469"/>
      <c r="P97" s="460"/>
    </row>
    <row r="98" spans="1:16" ht="13" x14ac:dyDescent="0.3">
      <c r="A98" s="1552"/>
      <c r="B98" s="474"/>
      <c r="C98" s="503">
        <v>37</v>
      </c>
      <c r="D98" s="485">
        <v>-0.5</v>
      </c>
      <c r="E98" s="471" t="s">
        <v>191</v>
      </c>
      <c r="F98" s="488">
        <f t="shared" si="20"/>
        <v>0</v>
      </c>
      <c r="H98" s="474"/>
      <c r="I98" s="503">
        <v>80</v>
      </c>
      <c r="J98" s="485">
        <v>-0.5</v>
      </c>
      <c r="K98" s="471" t="s">
        <v>191</v>
      </c>
      <c r="L98" s="488">
        <f t="shared" si="19"/>
        <v>0</v>
      </c>
      <c r="O98" s="469"/>
      <c r="P98" s="460"/>
    </row>
    <row r="99" spans="1:16" ht="13.5" thickBot="1" x14ac:dyDescent="0.35">
      <c r="A99" s="1553"/>
      <c r="B99" s="493"/>
      <c r="C99" s="504">
        <v>40</v>
      </c>
      <c r="D99" s="509">
        <v>-0.4</v>
      </c>
      <c r="E99" s="494" t="s">
        <v>191</v>
      </c>
      <c r="F99" s="492">
        <f t="shared" si="20"/>
        <v>0</v>
      </c>
      <c r="G99" s="472"/>
      <c r="H99" s="493"/>
      <c r="I99" s="504">
        <v>90</v>
      </c>
      <c r="J99" s="509">
        <v>-0.2</v>
      </c>
      <c r="K99" s="494" t="s">
        <v>191</v>
      </c>
      <c r="L99" s="492">
        <f t="shared" si="19"/>
        <v>0</v>
      </c>
      <c r="M99" s="472"/>
      <c r="N99" s="472"/>
      <c r="O99" s="473"/>
      <c r="P99" s="460"/>
    </row>
    <row r="100" spans="1:16" ht="13.5" thickBot="1" x14ac:dyDescent="0.35">
      <c r="A100" s="495"/>
      <c r="B100" s="496"/>
      <c r="C100" s="496"/>
      <c r="D100" s="496"/>
      <c r="E100" s="497"/>
      <c r="F100" s="505"/>
      <c r="G100" s="306"/>
      <c r="H100" s="496"/>
      <c r="I100" s="496"/>
      <c r="J100" s="496"/>
      <c r="K100" s="497"/>
      <c r="L100" s="505"/>
      <c r="M100" s="306"/>
      <c r="O100" s="469"/>
      <c r="P100" s="460"/>
    </row>
    <row r="101" spans="1:16" ht="13.5" thickBot="1" x14ac:dyDescent="0.35">
      <c r="A101" s="1551">
        <v>10</v>
      </c>
      <c r="B101" s="1554" t="s">
        <v>379</v>
      </c>
      <c r="C101" s="1555"/>
      <c r="D101" s="1555"/>
      <c r="E101" s="1555"/>
      <c r="F101" s="1556"/>
      <c r="G101" s="462"/>
      <c r="H101" s="1569" t="str">
        <f>B101</f>
        <v>KOREKSI Sekonic HE-21.000669</v>
      </c>
      <c r="I101" s="1570"/>
      <c r="J101" s="1570"/>
      <c r="K101" s="1570"/>
      <c r="L101" s="1571"/>
      <c r="M101" s="462"/>
      <c r="N101" s="1567" t="s">
        <v>367</v>
      </c>
      <c r="O101" s="1568"/>
      <c r="P101" s="460"/>
    </row>
    <row r="102" spans="1:16" ht="13.5" thickBot="1" x14ac:dyDescent="0.35">
      <c r="A102" s="1552"/>
      <c r="B102" s="1557" t="s">
        <v>368</v>
      </c>
      <c r="C102" s="1558"/>
      <c r="D102" s="1559" t="s">
        <v>237</v>
      </c>
      <c r="E102" s="1560"/>
      <c r="F102" s="1561" t="s">
        <v>231</v>
      </c>
      <c r="H102" s="1557" t="s">
        <v>369</v>
      </c>
      <c r="I102" s="1558"/>
      <c r="J102" s="1559" t="s">
        <v>237</v>
      </c>
      <c r="K102" s="1560"/>
      <c r="L102" s="1561" t="s">
        <v>231</v>
      </c>
      <c r="N102" s="478" t="s">
        <v>368</v>
      </c>
      <c r="O102" s="500">
        <v>0.3</v>
      </c>
      <c r="P102" s="460"/>
    </row>
    <row r="103" spans="1:16" ht="15" thickBot="1" x14ac:dyDescent="0.35">
      <c r="A103" s="1552"/>
      <c r="B103" s="1563" t="s">
        <v>370</v>
      </c>
      <c r="C103" s="1564"/>
      <c r="D103" s="480">
        <v>2019</v>
      </c>
      <c r="E103" s="480">
        <v>2016</v>
      </c>
      <c r="F103" s="1562"/>
      <c r="H103" s="1565" t="s">
        <v>17</v>
      </c>
      <c r="I103" s="1566"/>
      <c r="J103" s="481">
        <f>D103</f>
        <v>2019</v>
      </c>
      <c r="K103" s="481">
        <f>E103</f>
        <v>2016</v>
      </c>
      <c r="L103" s="1562"/>
      <c r="N103" s="482" t="s">
        <v>17</v>
      </c>
      <c r="O103" s="499">
        <v>1.5</v>
      </c>
      <c r="P103" s="460"/>
    </row>
    <row r="104" spans="1:16" ht="13" x14ac:dyDescent="0.3">
      <c r="A104" s="1552"/>
      <c r="C104" s="501">
        <v>15</v>
      </c>
      <c r="D104" s="485">
        <v>0.2</v>
      </c>
      <c r="E104" s="485">
        <v>0.2</v>
      </c>
      <c r="F104" s="486">
        <f t="shared" ref="F104:F110" si="21">0.5*(MAX(D104:E104)-MIN(D104:E104))</f>
        <v>0</v>
      </c>
      <c r="H104" s="474"/>
      <c r="I104" s="501">
        <v>30</v>
      </c>
      <c r="J104" s="485">
        <v>-2.9</v>
      </c>
      <c r="K104" s="485">
        <v>-5.8</v>
      </c>
      <c r="L104" s="486">
        <f t="shared" ref="L104:L107" si="22">0.5*(MAX(J104:K104)-MIN(J104:K104))</f>
        <v>1.45</v>
      </c>
      <c r="O104" s="469"/>
      <c r="P104" s="460"/>
    </row>
    <row r="105" spans="1:16" ht="13" x14ac:dyDescent="0.3">
      <c r="A105" s="1552"/>
      <c r="C105" s="502">
        <v>20</v>
      </c>
      <c r="D105" s="467">
        <v>0.2</v>
      </c>
      <c r="E105" s="467">
        <v>-0.7</v>
      </c>
      <c r="F105" s="488">
        <f t="shared" si="21"/>
        <v>0.44999999999999996</v>
      </c>
      <c r="H105" s="474"/>
      <c r="I105" s="502">
        <v>40</v>
      </c>
      <c r="J105" s="467">
        <v>-3.3</v>
      </c>
      <c r="K105" s="467">
        <v>-6.4</v>
      </c>
      <c r="L105" s="488">
        <f t="shared" si="22"/>
        <v>1.5500000000000003</v>
      </c>
      <c r="O105" s="469"/>
      <c r="P105" s="460"/>
    </row>
    <row r="106" spans="1:16" ht="13" x14ac:dyDescent="0.3">
      <c r="A106" s="1552"/>
      <c r="C106" s="502">
        <v>25</v>
      </c>
      <c r="D106" s="467">
        <v>0.1</v>
      </c>
      <c r="E106" s="467">
        <v>-0.5</v>
      </c>
      <c r="F106" s="488">
        <f t="shared" si="21"/>
        <v>0.3</v>
      </c>
      <c r="H106" s="474"/>
      <c r="I106" s="502">
        <v>50</v>
      </c>
      <c r="J106" s="467">
        <v>-3.1</v>
      </c>
      <c r="K106" s="467">
        <v>-6.1</v>
      </c>
      <c r="L106" s="488">
        <f t="shared" si="22"/>
        <v>1.4999999999999998</v>
      </c>
      <c r="O106" s="469"/>
      <c r="P106" s="460"/>
    </row>
    <row r="107" spans="1:16" ht="13" x14ac:dyDescent="0.3">
      <c r="A107" s="1552"/>
      <c r="C107" s="503">
        <v>30</v>
      </c>
      <c r="D107" s="470">
        <v>0.1</v>
      </c>
      <c r="E107" s="470">
        <v>0.2</v>
      </c>
      <c r="F107" s="488">
        <f t="shared" si="21"/>
        <v>0.05</v>
      </c>
      <c r="H107" s="474"/>
      <c r="I107" s="503">
        <v>60</v>
      </c>
      <c r="J107" s="470">
        <v>-2.1</v>
      </c>
      <c r="K107" s="470">
        <v>-5.6</v>
      </c>
      <c r="L107" s="488">
        <f t="shared" si="22"/>
        <v>1.7499999999999998</v>
      </c>
      <c r="O107" s="469"/>
      <c r="P107" s="460"/>
    </row>
    <row r="108" spans="1:16" ht="13" x14ac:dyDescent="0.3">
      <c r="A108" s="1552"/>
      <c r="C108" s="503">
        <v>35</v>
      </c>
      <c r="D108" s="470">
        <v>0.2</v>
      </c>
      <c r="E108" s="470">
        <v>0.8</v>
      </c>
      <c r="F108" s="488">
        <f t="shared" si="21"/>
        <v>0.30000000000000004</v>
      </c>
      <c r="H108" s="474"/>
      <c r="I108" s="503">
        <v>70</v>
      </c>
      <c r="J108" s="470">
        <v>-0.3</v>
      </c>
      <c r="K108" s="470">
        <v>-5.0999999999999996</v>
      </c>
      <c r="L108" s="488">
        <f>0.5*(MAX(J108:K108)-MIN(J108:K108))</f>
        <v>2.4</v>
      </c>
      <c r="O108" s="469"/>
      <c r="P108" s="460"/>
    </row>
    <row r="109" spans="1:16" ht="13" x14ac:dyDescent="0.3">
      <c r="A109" s="1552"/>
      <c r="C109" s="503">
        <v>37</v>
      </c>
      <c r="D109" s="470">
        <v>0.2</v>
      </c>
      <c r="E109" s="470">
        <v>0.4</v>
      </c>
      <c r="F109" s="488">
        <f t="shared" si="21"/>
        <v>0.1</v>
      </c>
      <c r="H109" s="474"/>
      <c r="I109" s="503">
        <v>80</v>
      </c>
      <c r="J109" s="470">
        <v>2.2000000000000002</v>
      </c>
      <c r="K109" s="470">
        <v>-4.7</v>
      </c>
      <c r="L109" s="488">
        <f t="shared" ref="L109:L110" si="23">0.5*(MAX(J109:K109)-MIN(J109:K109))</f>
        <v>3.45</v>
      </c>
      <c r="O109" s="469"/>
      <c r="P109" s="460"/>
    </row>
    <row r="110" spans="1:16" ht="13.5" thickBot="1" x14ac:dyDescent="0.35">
      <c r="A110" s="1553"/>
      <c r="B110" s="472"/>
      <c r="C110" s="504">
        <v>40</v>
      </c>
      <c r="D110" s="510">
        <v>0.2</v>
      </c>
      <c r="E110" s="510">
        <v>0</v>
      </c>
      <c r="F110" s="492">
        <f t="shared" si="21"/>
        <v>0.1</v>
      </c>
      <c r="G110" s="472"/>
      <c r="H110" s="493"/>
      <c r="I110" s="504">
        <v>90</v>
      </c>
      <c r="J110" s="490">
        <v>5.4</v>
      </c>
      <c r="K110" s="490">
        <v>0</v>
      </c>
      <c r="L110" s="492">
        <f t="shared" si="23"/>
        <v>2.7</v>
      </c>
      <c r="M110" s="472"/>
      <c r="N110" s="472"/>
      <c r="O110" s="473"/>
      <c r="P110" s="460"/>
    </row>
    <row r="111" spans="1:16" ht="13.5" thickBot="1" x14ac:dyDescent="0.35">
      <c r="A111" s="495"/>
      <c r="B111" s="496"/>
      <c r="C111" s="496"/>
      <c r="D111" s="496"/>
      <c r="E111" s="497"/>
      <c r="F111" s="505"/>
      <c r="G111" s="306"/>
      <c r="H111" s="496"/>
      <c r="I111" s="496"/>
      <c r="J111" s="496"/>
      <c r="K111" s="497"/>
      <c r="L111" s="505"/>
      <c r="M111" s="306"/>
      <c r="O111" s="469"/>
      <c r="P111" s="460"/>
    </row>
    <row r="112" spans="1:16" ht="13.5" thickBot="1" x14ac:dyDescent="0.35">
      <c r="A112" s="1551">
        <v>11</v>
      </c>
      <c r="B112" s="1554" t="s">
        <v>380</v>
      </c>
      <c r="C112" s="1555"/>
      <c r="D112" s="1555"/>
      <c r="E112" s="1555"/>
      <c r="F112" s="1556"/>
      <c r="G112" s="462"/>
      <c r="H112" s="1569" t="str">
        <f>B112</f>
        <v>KOREKSI Sekonic HE-21.000670</v>
      </c>
      <c r="I112" s="1570"/>
      <c r="J112" s="1570"/>
      <c r="K112" s="1570"/>
      <c r="L112" s="1571"/>
      <c r="M112" s="462"/>
      <c r="N112" s="1567" t="s">
        <v>367</v>
      </c>
      <c r="O112" s="1568"/>
      <c r="P112" s="460"/>
    </row>
    <row r="113" spans="1:16" ht="13.5" thickBot="1" x14ac:dyDescent="0.35">
      <c r="A113" s="1552"/>
      <c r="B113" s="1557" t="s">
        <v>368</v>
      </c>
      <c r="C113" s="1558"/>
      <c r="D113" s="1559" t="s">
        <v>237</v>
      </c>
      <c r="E113" s="1560"/>
      <c r="F113" s="1561" t="s">
        <v>231</v>
      </c>
      <c r="H113" s="1557" t="s">
        <v>369</v>
      </c>
      <c r="I113" s="1558"/>
      <c r="J113" s="1559" t="s">
        <v>237</v>
      </c>
      <c r="K113" s="1560"/>
      <c r="L113" s="1561" t="s">
        <v>231</v>
      </c>
      <c r="N113" s="478" t="s">
        <v>368</v>
      </c>
      <c r="O113" s="500">
        <v>0.3</v>
      </c>
      <c r="P113" s="460"/>
    </row>
    <row r="114" spans="1:16" ht="15" thickBot="1" x14ac:dyDescent="0.35">
      <c r="A114" s="1552"/>
      <c r="B114" s="1563" t="s">
        <v>370</v>
      </c>
      <c r="C114" s="1564"/>
      <c r="D114" s="480">
        <v>2020</v>
      </c>
      <c r="E114" s="506" t="s">
        <v>191</v>
      </c>
      <c r="F114" s="1562"/>
      <c r="H114" s="1565" t="s">
        <v>17</v>
      </c>
      <c r="I114" s="1566"/>
      <c r="J114" s="481">
        <f>D114</f>
        <v>2020</v>
      </c>
      <c r="K114" s="481" t="str">
        <f>E114</f>
        <v>-</v>
      </c>
      <c r="L114" s="1562"/>
      <c r="N114" s="482" t="s">
        <v>17</v>
      </c>
      <c r="O114" s="499">
        <v>1.8</v>
      </c>
      <c r="P114" s="460"/>
    </row>
    <row r="115" spans="1:16" ht="13" x14ac:dyDescent="0.3">
      <c r="A115" s="1552"/>
      <c r="C115" s="484">
        <v>15</v>
      </c>
      <c r="D115" s="485">
        <v>0.3</v>
      </c>
      <c r="E115" s="507" t="s">
        <v>191</v>
      </c>
      <c r="F115" s="486">
        <f t="shared" ref="F115:F121" si="24">0.5*(MAX(D115:E115)-MIN(D115:E115))</f>
        <v>0</v>
      </c>
      <c r="H115" s="474"/>
      <c r="I115" s="484">
        <v>35</v>
      </c>
      <c r="J115" s="485">
        <v>-5.2</v>
      </c>
      <c r="K115" s="507" t="s">
        <v>191</v>
      </c>
      <c r="L115" s="486">
        <f t="shared" ref="L115:L121" si="25">0.5*(MAX(J115:K115)-MIN(J115:K115))</f>
        <v>0</v>
      </c>
      <c r="O115" s="469"/>
      <c r="P115" s="460"/>
    </row>
    <row r="116" spans="1:16" ht="13" x14ac:dyDescent="0.3">
      <c r="A116" s="1552"/>
      <c r="C116" s="487">
        <v>20</v>
      </c>
      <c r="D116" s="467">
        <v>0.4</v>
      </c>
      <c r="E116" s="508" t="s">
        <v>191</v>
      </c>
      <c r="F116" s="488">
        <f t="shared" si="24"/>
        <v>0</v>
      </c>
      <c r="H116" s="474"/>
      <c r="I116" s="487">
        <v>40</v>
      </c>
      <c r="J116" s="467">
        <v>-5.5</v>
      </c>
      <c r="K116" s="508" t="s">
        <v>191</v>
      </c>
      <c r="L116" s="488">
        <f t="shared" si="25"/>
        <v>0</v>
      </c>
      <c r="O116" s="469"/>
      <c r="P116" s="460"/>
    </row>
    <row r="117" spans="1:16" ht="13" x14ac:dyDescent="0.3">
      <c r="A117" s="1552"/>
      <c r="C117" s="487">
        <v>25</v>
      </c>
      <c r="D117" s="467">
        <v>0.4</v>
      </c>
      <c r="E117" s="508" t="s">
        <v>191</v>
      </c>
      <c r="F117" s="488">
        <f t="shared" si="24"/>
        <v>0</v>
      </c>
      <c r="H117" s="474"/>
      <c r="I117" s="487">
        <v>50</v>
      </c>
      <c r="J117" s="467">
        <v>-5.5</v>
      </c>
      <c r="K117" s="508" t="s">
        <v>191</v>
      </c>
      <c r="L117" s="488">
        <f t="shared" si="25"/>
        <v>0</v>
      </c>
      <c r="O117" s="469"/>
      <c r="P117" s="460"/>
    </row>
    <row r="118" spans="1:16" ht="13" x14ac:dyDescent="0.3">
      <c r="A118" s="1552"/>
      <c r="C118" s="489">
        <v>30</v>
      </c>
      <c r="D118" s="470">
        <v>0.5</v>
      </c>
      <c r="E118" s="471" t="s">
        <v>191</v>
      </c>
      <c r="F118" s="488">
        <f t="shared" si="24"/>
        <v>0</v>
      </c>
      <c r="H118" s="474"/>
      <c r="I118" s="489">
        <v>60</v>
      </c>
      <c r="J118" s="470">
        <v>-4.8</v>
      </c>
      <c r="K118" s="471" t="s">
        <v>191</v>
      </c>
      <c r="L118" s="488">
        <f t="shared" si="25"/>
        <v>0</v>
      </c>
      <c r="O118" s="469"/>
      <c r="P118" s="460"/>
    </row>
    <row r="119" spans="1:16" ht="13" x14ac:dyDescent="0.3">
      <c r="A119" s="1552"/>
      <c r="C119" s="489">
        <v>35</v>
      </c>
      <c r="D119" s="470">
        <v>0.5</v>
      </c>
      <c r="E119" s="471" t="s">
        <v>191</v>
      </c>
      <c r="F119" s="488">
        <f t="shared" si="24"/>
        <v>0</v>
      </c>
      <c r="H119" s="474"/>
      <c r="I119" s="489">
        <v>70</v>
      </c>
      <c r="J119" s="470">
        <v>-3.4</v>
      </c>
      <c r="K119" s="471" t="s">
        <v>191</v>
      </c>
      <c r="L119" s="488">
        <f t="shared" si="25"/>
        <v>0</v>
      </c>
      <c r="O119" s="469"/>
      <c r="P119" s="460"/>
    </row>
    <row r="120" spans="1:16" ht="13" x14ac:dyDescent="0.3">
      <c r="A120" s="1552"/>
      <c r="C120" s="489">
        <v>37</v>
      </c>
      <c r="D120" s="470">
        <v>0.5</v>
      </c>
      <c r="E120" s="471" t="s">
        <v>191</v>
      </c>
      <c r="F120" s="488">
        <f t="shared" si="24"/>
        <v>0</v>
      </c>
      <c r="H120" s="474"/>
      <c r="I120" s="489">
        <v>80</v>
      </c>
      <c r="J120" s="470">
        <v>-1.4</v>
      </c>
      <c r="K120" s="471" t="s">
        <v>191</v>
      </c>
      <c r="L120" s="488">
        <f t="shared" si="25"/>
        <v>0</v>
      </c>
      <c r="O120" s="469"/>
      <c r="P120" s="460"/>
    </row>
    <row r="121" spans="1:16" ht="13.5" thickBot="1" x14ac:dyDescent="0.35">
      <c r="A121" s="1553"/>
      <c r="B121" s="472"/>
      <c r="C121" s="490">
        <v>40</v>
      </c>
      <c r="D121" s="491">
        <v>0.5</v>
      </c>
      <c r="E121" s="494" t="s">
        <v>191</v>
      </c>
      <c r="F121" s="492">
        <f t="shared" si="24"/>
        <v>0</v>
      </c>
      <c r="G121" s="472"/>
      <c r="H121" s="493"/>
      <c r="I121" s="490">
        <v>90</v>
      </c>
      <c r="J121" s="491">
        <v>1.3</v>
      </c>
      <c r="K121" s="494" t="s">
        <v>191</v>
      </c>
      <c r="L121" s="492">
        <f t="shared" si="25"/>
        <v>0</v>
      </c>
      <c r="M121" s="472"/>
      <c r="N121" s="472"/>
      <c r="O121" s="473"/>
      <c r="P121" s="460"/>
    </row>
    <row r="122" spans="1:16" ht="13.5" thickBot="1" x14ac:dyDescent="0.35">
      <c r="A122" s="495"/>
      <c r="B122" s="496"/>
      <c r="C122" s="496"/>
      <c r="D122" s="496"/>
      <c r="E122" s="497"/>
      <c r="F122" s="505"/>
      <c r="G122" s="306"/>
      <c r="H122" s="496"/>
      <c r="I122" s="496"/>
      <c r="J122" s="496"/>
      <c r="K122" s="497"/>
      <c r="L122" s="505"/>
      <c r="O122" s="469"/>
      <c r="P122" s="460"/>
    </row>
    <row r="123" spans="1:16" ht="13.5" thickBot="1" x14ac:dyDescent="0.35">
      <c r="A123" s="1551">
        <v>12</v>
      </c>
      <c r="B123" s="1554" t="s">
        <v>381</v>
      </c>
      <c r="C123" s="1555"/>
      <c r="D123" s="1555"/>
      <c r="E123" s="1555"/>
      <c r="F123" s="1556"/>
      <c r="G123" s="462"/>
      <c r="H123" s="1554" t="str">
        <f>B123</f>
        <v>KOREKSI EXTECH A.100611</v>
      </c>
      <c r="I123" s="1555"/>
      <c r="J123" s="1555"/>
      <c r="K123" s="1555"/>
      <c r="L123" s="1556"/>
      <c r="M123" s="462"/>
      <c r="N123" s="1567" t="s">
        <v>367</v>
      </c>
      <c r="O123" s="1568"/>
      <c r="P123" s="460"/>
    </row>
    <row r="124" spans="1:16" ht="13.5" thickBot="1" x14ac:dyDescent="0.35">
      <c r="A124" s="1552"/>
      <c r="B124" s="1557" t="s">
        <v>368</v>
      </c>
      <c r="C124" s="1558"/>
      <c r="D124" s="1559" t="s">
        <v>237</v>
      </c>
      <c r="E124" s="1560"/>
      <c r="F124" s="1561" t="s">
        <v>231</v>
      </c>
      <c r="H124" s="1557" t="s">
        <v>369</v>
      </c>
      <c r="I124" s="1558"/>
      <c r="J124" s="1559" t="s">
        <v>237</v>
      </c>
      <c r="K124" s="1560"/>
      <c r="L124" s="1561" t="s">
        <v>231</v>
      </c>
      <c r="N124" s="478" t="s">
        <v>368</v>
      </c>
      <c r="O124" s="500">
        <v>0.3</v>
      </c>
      <c r="P124" s="460"/>
    </row>
    <row r="125" spans="1:16" ht="15" thickBot="1" x14ac:dyDescent="0.35">
      <c r="A125" s="1552"/>
      <c r="B125" s="1563" t="s">
        <v>370</v>
      </c>
      <c r="C125" s="1564"/>
      <c r="D125" s="480">
        <v>2020</v>
      </c>
      <c r="E125" s="506" t="s">
        <v>191</v>
      </c>
      <c r="F125" s="1562"/>
      <c r="H125" s="1565" t="s">
        <v>17</v>
      </c>
      <c r="I125" s="1566"/>
      <c r="J125" s="481">
        <f>D125</f>
        <v>2020</v>
      </c>
      <c r="K125" s="481" t="str">
        <f>E125</f>
        <v>-</v>
      </c>
      <c r="L125" s="1562"/>
      <c r="N125" s="482" t="s">
        <v>17</v>
      </c>
      <c r="O125" s="499">
        <v>2.7</v>
      </c>
      <c r="P125" s="460"/>
    </row>
    <row r="126" spans="1:16" ht="13" x14ac:dyDescent="0.3">
      <c r="A126" s="1552"/>
      <c r="C126" s="484">
        <v>15</v>
      </c>
      <c r="D126" s="485">
        <v>-0.6</v>
      </c>
      <c r="E126" s="507" t="s">
        <v>191</v>
      </c>
      <c r="F126" s="486">
        <f t="shared" ref="F126:F132" si="26">0.5*(MAX(D126:E126)-MIN(D126:E126))</f>
        <v>0</v>
      </c>
      <c r="H126" s="474"/>
      <c r="I126" s="484">
        <v>35</v>
      </c>
      <c r="J126" s="485">
        <v>-0.4</v>
      </c>
      <c r="K126" s="507" t="s">
        <v>191</v>
      </c>
      <c r="L126" s="486">
        <f t="shared" ref="L126:L132" si="27">0.5*(MAX(J126:K126)-MIN(J126:K126))</f>
        <v>0</v>
      </c>
      <c r="O126" s="469"/>
      <c r="P126" s="460"/>
    </row>
    <row r="127" spans="1:16" ht="13" x14ac:dyDescent="0.3">
      <c r="A127" s="1552"/>
      <c r="C127" s="487">
        <v>20</v>
      </c>
      <c r="D127" s="467">
        <v>-0.5</v>
      </c>
      <c r="E127" s="508" t="s">
        <v>191</v>
      </c>
      <c r="F127" s="488">
        <f t="shared" si="26"/>
        <v>0</v>
      </c>
      <c r="H127" s="474"/>
      <c r="I127" s="487">
        <v>40</v>
      </c>
      <c r="J127" s="467">
        <v>-0.3</v>
      </c>
      <c r="K127" s="508" t="s">
        <v>191</v>
      </c>
      <c r="L127" s="488">
        <f t="shared" si="27"/>
        <v>0</v>
      </c>
      <c r="O127" s="469"/>
      <c r="P127" s="460"/>
    </row>
    <row r="128" spans="1:16" ht="13" x14ac:dyDescent="0.3">
      <c r="A128" s="1552"/>
      <c r="C128" s="487">
        <v>25</v>
      </c>
      <c r="D128" s="467">
        <v>-0.4</v>
      </c>
      <c r="E128" s="508" t="s">
        <v>191</v>
      </c>
      <c r="F128" s="488">
        <f t="shared" si="26"/>
        <v>0</v>
      </c>
      <c r="H128" s="474"/>
      <c r="I128" s="487">
        <v>50</v>
      </c>
      <c r="J128" s="467">
        <v>-0.3</v>
      </c>
      <c r="K128" s="508" t="s">
        <v>191</v>
      </c>
      <c r="L128" s="488">
        <f t="shared" si="27"/>
        <v>0</v>
      </c>
      <c r="O128" s="469"/>
      <c r="P128" s="460"/>
    </row>
    <row r="129" spans="1:16" ht="13" x14ac:dyDescent="0.3">
      <c r="A129" s="1552"/>
      <c r="C129" s="489">
        <v>30</v>
      </c>
      <c r="D129" s="470">
        <v>-0.2</v>
      </c>
      <c r="E129" s="471" t="s">
        <v>191</v>
      </c>
      <c r="F129" s="488">
        <f t="shared" si="26"/>
        <v>0</v>
      </c>
      <c r="H129" s="474"/>
      <c r="I129" s="489">
        <v>60</v>
      </c>
      <c r="J129" s="470">
        <v>-0.5</v>
      </c>
      <c r="K129" s="471" t="s">
        <v>191</v>
      </c>
      <c r="L129" s="488">
        <f t="shared" si="27"/>
        <v>0</v>
      </c>
      <c r="O129" s="469"/>
      <c r="P129" s="460"/>
    </row>
    <row r="130" spans="1:16" ht="13" x14ac:dyDescent="0.3">
      <c r="A130" s="1552"/>
      <c r="C130" s="489">
        <v>35</v>
      </c>
      <c r="D130" s="470">
        <v>-0.1</v>
      </c>
      <c r="E130" s="471" t="s">
        <v>191</v>
      </c>
      <c r="F130" s="488">
        <f t="shared" si="26"/>
        <v>0</v>
      </c>
      <c r="H130" s="474"/>
      <c r="I130" s="489">
        <v>70</v>
      </c>
      <c r="J130" s="470">
        <v>-0.8</v>
      </c>
      <c r="K130" s="471" t="s">
        <v>191</v>
      </c>
      <c r="L130" s="488">
        <f t="shared" si="27"/>
        <v>0</v>
      </c>
      <c r="O130" s="469"/>
      <c r="P130" s="460"/>
    </row>
    <row r="131" spans="1:16" ht="13" x14ac:dyDescent="0.3">
      <c r="A131" s="1552"/>
      <c r="C131" s="489">
        <v>37</v>
      </c>
      <c r="D131" s="470">
        <v>-0.1</v>
      </c>
      <c r="E131" s="471" t="s">
        <v>191</v>
      </c>
      <c r="F131" s="488">
        <f t="shared" si="26"/>
        <v>0</v>
      </c>
      <c r="H131" s="474"/>
      <c r="I131" s="489">
        <v>80</v>
      </c>
      <c r="J131" s="470">
        <v>-1.3</v>
      </c>
      <c r="K131" s="471" t="s">
        <v>191</v>
      </c>
      <c r="L131" s="488">
        <f t="shared" si="27"/>
        <v>0</v>
      </c>
      <c r="O131" s="469"/>
      <c r="P131" s="460"/>
    </row>
    <row r="132" spans="1:16" ht="13.5" thickBot="1" x14ac:dyDescent="0.35">
      <c r="A132" s="1553"/>
      <c r="B132" s="472"/>
      <c r="C132" s="490">
        <v>40</v>
      </c>
      <c r="D132" s="491">
        <v>9.9999999999999995E-7</v>
      </c>
      <c r="E132" s="494" t="s">
        <v>191</v>
      </c>
      <c r="F132" s="492">
        <f t="shared" si="26"/>
        <v>0</v>
      </c>
      <c r="G132" s="472"/>
      <c r="H132" s="493"/>
      <c r="I132" s="490">
        <v>90</v>
      </c>
      <c r="J132" s="491">
        <v>-2</v>
      </c>
      <c r="K132" s="494" t="s">
        <v>191</v>
      </c>
      <c r="L132" s="492">
        <f t="shared" si="27"/>
        <v>0</v>
      </c>
      <c r="M132" s="472"/>
      <c r="N132" s="472"/>
      <c r="O132" s="473"/>
      <c r="P132" s="460"/>
    </row>
    <row r="133" spans="1:16" ht="13.5" thickBot="1" x14ac:dyDescent="0.35">
      <c r="A133" s="495"/>
      <c r="B133" s="496"/>
      <c r="C133" s="496"/>
      <c r="D133" s="496"/>
      <c r="E133" s="497"/>
      <c r="F133" s="505"/>
      <c r="G133" s="306"/>
      <c r="H133" s="496"/>
      <c r="I133" s="496"/>
      <c r="J133" s="496"/>
      <c r="K133" s="497"/>
      <c r="L133" s="505"/>
      <c r="O133" s="469"/>
      <c r="P133" s="460"/>
    </row>
    <row r="134" spans="1:16" ht="13.5" thickBot="1" x14ac:dyDescent="0.35">
      <c r="A134" s="1551">
        <v>13</v>
      </c>
      <c r="B134" s="1554" t="s">
        <v>382</v>
      </c>
      <c r="C134" s="1555"/>
      <c r="D134" s="1555"/>
      <c r="E134" s="1555"/>
      <c r="F134" s="1556"/>
      <c r="G134" s="462"/>
      <c r="H134" s="1554" t="str">
        <f>B134</f>
        <v>KOREKSI EXTECH A.100609</v>
      </c>
      <c r="I134" s="1555"/>
      <c r="J134" s="1555"/>
      <c r="K134" s="1555"/>
      <c r="L134" s="1556"/>
      <c r="M134" s="462"/>
      <c r="N134" s="1567" t="s">
        <v>367</v>
      </c>
      <c r="O134" s="1568"/>
      <c r="P134" s="460"/>
    </row>
    <row r="135" spans="1:16" ht="13.5" thickBot="1" x14ac:dyDescent="0.35">
      <c r="A135" s="1552"/>
      <c r="B135" s="1557" t="s">
        <v>368</v>
      </c>
      <c r="C135" s="1558"/>
      <c r="D135" s="1559" t="s">
        <v>237</v>
      </c>
      <c r="E135" s="1560"/>
      <c r="F135" s="1561" t="s">
        <v>231</v>
      </c>
      <c r="H135" s="1557" t="s">
        <v>369</v>
      </c>
      <c r="I135" s="1558"/>
      <c r="J135" s="1559" t="s">
        <v>237</v>
      </c>
      <c r="K135" s="1560"/>
      <c r="L135" s="1561" t="s">
        <v>231</v>
      </c>
      <c r="N135" s="478" t="s">
        <v>368</v>
      </c>
      <c r="O135" s="500">
        <v>0.4</v>
      </c>
      <c r="P135" s="460"/>
    </row>
    <row r="136" spans="1:16" ht="15" thickBot="1" x14ac:dyDescent="0.35">
      <c r="A136" s="1552"/>
      <c r="B136" s="1563" t="s">
        <v>370</v>
      </c>
      <c r="C136" s="1564"/>
      <c r="D136" s="480">
        <v>2020</v>
      </c>
      <c r="E136" s="506" t="s">
        <v>191</v>
      </c>
      <c r="F136" s="1562"/>
      <c r="H136" s="1565" t="s">
        <v>17</v>
      </c>
      <c r="I136" s="1566"/>
      <c r="J136" s="481">
        <f>D136</f>
        <v>2020</v>
      </c>
      <c r="K136" s="481" t="str">
        <f>E136</f>
        <v>-</v>
      </c>
      <c r="L136" s="1562"/>
      <c r="N136" s="482" t="s">
        <v>17</v>
      </c>
      <c r="O136" s="499">
        <v>2.2000000000000002</v>
      </c>
      <c r="P136" s="460"/>
    </row>
    <row r="137" spans="1:16" ht="13" x14ac:dyDescent="0.3">
      <c r="A137" s="1552"/>
      <c r="C137" s="484">
        <v>15</v>
      </c>
      <c r="D137" s="485">
        <v>-0.2</v>
      </c>
      <c r="E137" s="507" t="s">
        <v>191</v>
      </c>
      <c r="F137" s="486">
        <f t="shared" ref="F137:F143" si="28">0.5*(MAX(D137:E137)-MIN(D137:E137))</f>
        <v>0</v>
      </c>
      <c r="H137" s="474"/>
      <c r="I137" s="484">
        <v>35</v>
      </c>
      <c r="J137" s="485">
        <v>0.6</v>
      </c>
      <c r="K137" s="507" t="s">
        <v>191</v>
      </c>
      <c r="L137" s="486">
        <f t="shared" ref="L137:L143" si="29">0.5*(MAX(J137:K137)-MIN(J137:K137))</f>
        <v>0</v>
      </c>
      <c r="O137" s="469"/>
      <c r="P137" s="460"/>
    </row>
    <row r="138" spans="1:16" ht="13" x14ac:dyDescent="0.3">
      <c r="A138" s="1552"/>
      <c r="C138" s="487">
        <v>20</v>
      </c>
      <c r="D138" s="467">
        <v>-0.1</v>
      </c>
      <c r="E138" s="508" t="s">
        <v>191</v>
      </c>
      <c r="F138" s="488">
        <f t="shared" si="28"/>
        <v>0</v>
      </c>
      <c r="H138" s="474"/>
      <c r="I138" s="487">
        <v>40</v>
      </c>
      <c r="J138" s="467">
        <v>0.3</v>
      </c>
      <c r="K138" s="508" t="s">
        <v>191</v>
      </c>
      <c r="L138" s="488">
        <f t="shared" si="29"/>
        <v>0</v>
      </c>
      <c r="O138" s="469"/>
      <c r="P138" s="460"/>
    </row>
    <row r="139" spans="1:16" ht="13" x14ac:dyDescent="0.3">
      <c r="A139" s="1552"/>
      <c r="C139" s="487">
        <v>25</v>
      </c>
      <c r="D139" s="467">
        <v>-0.1</v>
      </c>
      <c r="E139" s="508" t="s">
        <v>191</v>
      </c>
      <c r="F139" s="488">
        <f t="shared" si="28"/>
        <v>0</v>
      </c>
      <c r="H139" s="474"/>
      <c r="I139" s="487">
        <v>50</v>
      </c>
      <c r="J139" s="467">
        <v>-0.2</v>
      </c>
      <c r="K139" s="508" t="s">
        <v>191</v>
      </c>
      <c r="L139" s="488">
        <f t="shared" si="29"/>
        <v>0</v>
      </c>
      <c r="O139" s="469"/>
      <c r="P139" s="460"/>
    </row>
    <row r="140" spans="1:16" ht="13" x14ac:dyDescent="0.3">
      <c r="A140" s="1552"/>
      <c r="C140" s="489">
        <v>30</v>
      </c>
      <c r="D140" s="470">
        <v>-0.3</v>
      </c>
      <c r="E140" s="471" t="s">
        <v>191</v>
      </c>
      <c r="F140" s="488">
        <f t="shared" si="28"/>
        <v>0</v>
      </c>
      <c r="H140" s="474"/>
      <c r="I140" s="489">
        <v>60</v>
      </c>
      <c r="J140" s="470">
        <v>-0.6</v>
      </c>
      <c r="K140" s="471" t="s">
        <v>191</v>
      </c>
      <c r="L140" s="488">
        <f t="shared" si="29"/>
        <v>0</v>
      </c>
      <c r="O140" s="469"/>
      <c r="P140" s="460"/>
    </row>
    <row r="141" spans="1:16" ht="13" x14ac:dyDescent="0.3">
      <c r="A141" s="1552"/>
      <c r="C141" s="489">
        <v>35</v>
      </c>
      <c r="D141" s="470">
        <v>-0.6</v>
      </c>
      <c r="E141" s="471" t="s">
        <v>191</v>
      </c>
      <c r="F141" s="488">
        <f t="shared" si="28"/>
        <v>0</v>
      </c>
      <c r="H141" s="474"/>
      <c r="I141" s="489">
        <v>70</v>
      </c>
      <c r="J141" s="470">
        <v>-0.8</v>
      </c>
      <c r="K141" s="471" t="s">
        <v>191</v>
      </c>
      <c r="L141" s="488">
        <f t="shared" si="29"/>
        <v>0</v>
      </c>
      <c r="O141" s="469"/>
      <c r="P141" s="460"/>
    </row>
    <row r="142" spans="1:16" ht="13" x14ac:dyDescent="0.3">
      <c r="A142" s="1552"/>
      <c r="C142" s="489">
        <v>37</v>
      </c>
      <c r="D142" s="470">
        <v>-0.8</v>
      </c>
      <c r="E142" s="471" t="s">
        <v>191</v>
      </c>
      <c r="F142" s="488">
        <f t="shared" si="28"/>
        <v>0</v>
      </c>
      <c r="H142" s="474"/>
      <c r="I142" s="489">
        <v>80</v>
      </c>
      <c r="J142" s="470">
        <v>-0.9</v>
      </c>
      <c r="K142" s="471" t="s">
        <v>191</v>
      </c>
      <c r="L142" s="488">
        <f t="shared" si="29"/>
        <v>0</v>
      </c>
      <c r="O142" s="469"/>
      <c r="P142" s="460"/>
    </row>
    <row r="143" spans="1:16" ht="13.5" thickBot="1" x14ac:dyDescent="0.35">
      <c r="A143" s="1553"/>
      <c r="B143" s="472"/>
      <c r="C143" s="490">
        <v>40</v>
      </c>
      <c r="D143" s="491">
        <v>-1.1000000000000001</v>
      </c>
      <c r="E143" s="494" t="s">
        <v>191</v>
      </c>
      <c r="F143" s="492">
        <f t="shared" si="28"/>
        <v>0</v>
      </c>
      <c r="G143" s="472"/>
      <c r="H143" s="493"/>
      <c r="I143" s="490">
        <v>90</v>
      </c>
      <c r="J143" s="491">
        <v>-0.8</v>
      </c>
      <c r="K143" s="494" t="s">
        <v>191</v>
      </c>
      <c r="L143" s="492">
        <f t="shared" si="29"/>
        <v>0</v>
      </c>
      <c r="M143" s="472"/>
      <c r="N143" s="472"/>
      <c r="O143" s="473"/>
      <c r="P143" s="460"/>
    </row>
    <row r="144" spans="1:16" ht="13.5" thickBot="1" x14ac:dyDescent="0.35">
      <c r="A144" s="495"/>
      <c r="B144" s="496"/>
      <c r="C144" s="496"/>
      <c r="D144" s="496"/>
      <c r="E144" s="497"/>
      <c r="F144" s="505"/>
      <c r="G144" s="306"/>
      <c r="H144" s="496"/>
      <c r="I144" s="496"/>
      <c r="J144" s="496"/>
      <c r="K144" s="497"/>
      <c r="L144" s="505"/>
      <c r="O144" s="469"/>
      <c r="P144" s="460"/>
    </row>
    <row r="145" spans="1:16" ht="13.5" thickBot="1" x14ac:dyDescent="0.35">
      <c r="A145" s="1551">
        <v>14</v>
      </c>
      <c r="B145" s="1554" t="s">
        <v>383</v>
      </c>
      <c r="C145" s="1555"/>
      <c r="D145" s="1555"/>
      <c r="E145" s="1555"/>
      <c r="F145" s="1556"/>
      <c r="G145" s="462"/>
      <c r="H145" s="1554" t="str">
        <f>B145</f>
        <v>KOREKSI EXTECH A.100605</v>
      </c>
      <c r="I145" s="1555"/>
      <c r="J145" s="1555"/>
      <c r="K145" s="1555"/>
      <c r="L145" s="1556"/>
      <c r="M145" s="462"/>
      <c r="N145" s="1567" t="s">
        <v>367</v>
      </c>
      <c r="O145" s="1568"/>
      <c r="P145" s="460"/>
    </row>
    <row r="146" spans="1:16" ht="13.5" thickBot="1" x14ac:dyDescent="0.35">
      <c r="A146" s="1552"/>
      <c r="B146" s="1557" t="s">
        <v>368</v>
      </c>
      <c r="C146" s="1558"/>
      <c r="D146" s="1559" t="s">
        <v>237</v>
      </c>
      <c r="E146" s="1560"/>
      <c r="F146" s="1561" t="s">
        <v>231</v>
      </c>
      <c r="H146" s="1557" t="s">
        <v>369</v>
      </c>
      <c r="I146" s="1558"/>
      <c r="J146" s="1559" t="s">
        <v>237</v>
      </c>
      <c r="K146" s="1560"/>
      <c r="L146" s="1561" t="s">
        <v>231</v>
      </c>
      <c r="N146" s="478" t="s">
        <v>368</v>
      </c>
      <c r="O146" s="500">
        <v>0.3</v>
      </c>
      <c r="P146" s="460"/>
    </row>
    <row r="147" spans="1:16" ht="15" thickBot="1" x14ac:dyDescent="0.35">
      <c r="A147" s="1552"/>
      <c r="B147" s="1563" t="s">
        <v>370</v>
      </c>
      <c r="C147" s="1564"/>
      <c r="D147" s="480">
        <v>2020</v>
      </c>
      <c r="E147" s="506" t="s">
        <v>191</v>
      </c>
      <c r="F147" s="1562"/>
      <c r="H147" s="1565" t="s">
        <v>17</v>
      </c>
      <c r="I147" s="1566"/>
      <c r="J147" s="481">
        <f>D147</f>
        <v>2020</v>
      </c>
      <c r="K147" s="481" t="str">
        <f>E147</f>
        <v>-</v>
      </c>
      <c r="L147" s="1562"/>
      <c r="N147" s="482" t="s">
        <v>17</v>
      </c>
      <c r="O147" s="499">
        <v>2.7</v>
      </c>
      <c r="P147" s="460"/>
    </row>
    <row r="148" spans="1:16" ht="13" x14ac:dyDescent="0.3">
      <c r="A148" s="1552"/>
      <c r="C148" s="484">
        <v>15</v>
      </c>
      <c r="D148" s="485">
        <v>-0.7</v>
      </c>
      <c r="E148" s="507" t="s">
        <v>191</v>
      </c>
      <c r="F148" s="486">
        <f t="shared" ref="F148:F154" si="30">0.5*(MAX(D148:E148)-MIN(D148:E148))</f>
        <v>0</v>
      </c>
      <c r="H148" s="474"/>
      <c r="I148" s="484">
        <v>35</v>
      </c>
      <c r="J148" s="485">
        <v>-1.4</v>
      </c>
      <c r="K148" s="507" t="s">
        <v>191</v>
      </c>
      <c r="L148" s="486">
        <f t="shared" ref="L148:L154" si="31">0.5*(MAX(J148:K148)-MIN(J148:K148))</f>
        <v>0</v>
      </c>
      <c r="O148" s="469"/>
      <c r="P148" s="460"/>
    </row>
    <row r="149" spans="1:16" ht="13" x14ac:dyDescent="0.3">
      <c r="A149" s="1552"/>
      <c r="C149" s="487">
        <v>20</v>
      </c>
      <c r="D149" s="467">
        <v>-0.4</v>
      </c>
      <c r="E149" s="508" t="s">
        <v>191</v>
      </c>
      <c r="F149" s="488">
        <f t="shared" si="30"/>
        <v>0</v>
      </c>
      <c r="H149" s="474"/>
      <c r="I149" s="487">
        <v>40</v>
      </c>
      <c r="J149" s="467">
        <v>-1.3</v>
      </c>
      <c r="K149" s="508" t="s">
        <v>191</v>
      </c>
      <c r="L149" s="488">
        <f t="shared" si="31"/>
        <v>0</v>
      </c>
      <c r="O149" s="469"/>
      <c r="P149" s="460"/>
    </row>
    <row r="150" spans="1:16" ht="13" x14ac:dyDescent="0.3">
      <c r="A150" s="1552"/>
      <c r="C150" s="487">
        <v>25</v>
      </c>
      <c r="D150" s="467">
        <v>-0.2</v>
      </c>
      <c r="E150" s="508" t="s">
        <v>191</v>
      </c>
      <c r="F150" s="488">
        <f t="shared" si="30"/>
        <v>0</v>
      </c>
      <c r="H150" s="474"/>
      <c r="I150" s="487">
        <v>50</v>
      </c>
      <c r="J150" s="467">
        <v>-1.3</v>
      </c>
      <c r="K150" s="508" t="s">
        <v>191</v>
      </c>
      <c r="L150" s="488">
        <f t="shared" si="31"/>
        <v>0</v>
      </c>
      <c r="O150" s="469"/>
      <c r="P150" s="460"/>
    </row>
    <row r="151" spans="1:16" ht="13" x14ac:dyDescent="0.3">
      <c r="A151" s="1552"/>
      <c r="C151" s="489">
        <v>30</v>
      </c>
      <c r="D151" s="470">
        <v>0.1</v>
      </c>
      <c r="E151" s="471" t="s">
        <v>191</v>
      </c>
      <c r="F151" s="488">
        <f t="shared" si="30"/>
        <v>0</v>
      </c>
      <c r="H151" s="474"/>
      <c r="I151" s="489">
        <v>60</v>
      </c>
      <c r="J151" s="470">
        <v>-1.5</v>
      </c>
      <c r="K151" s="471" t="s">
        <v>191</v>
      </c>
      <c r="L151" s="488">
        <f t="shared" si="31"/>
        <v>0</v>
      </c>
      <c r="O151" s="469"/>
      <c r="P151" s="460"/>
    </row>
    <row r="152" spans="1:16" ht="13" x14ac:dyDescent="0.3">
      <c r="A152" s="1552"/>
      <c r="C152" s="489">
        <v>35</v>
      </c>
      <c r="D152" s="470">
        <v>0.3</v>
      </c>
      <c r="E152" s="471" t="s">
        <v>191</v>
      </c>
      <c r="F152" s="488">
        <f t="shared" si="30"/>
        <v>0</v>
      </c>
      <c r="H152" s="474"/>
      <c r="I152" s="489">
        <v>70</v>
      </c>
      <c r="J152" s="470">
        <v>-1.9</v>
      </c>
      <c r="K152" s="471" t="s">
        <v>191</v>
      </c>
      <c r="L152" s="488">
        <f t="shared" si="31"/>
        <v>0</v>
      </c>
      <c r="O152" s="469"/>
      <c r="P152" s="460"/>
    </row>
    <row r="153" spans="1:16" ht="13" x14ac:dyDescent="0.3">
      <c r="A153" s="1552"/>
      <c r="C153" s="489">
        <v>37</v>
      </c>
      <c r="D153" s="470">
        <v>0.4</v>
      </c>
      <c r="E153" s="471" t="s">
        <v>191</v>
      </c>
      <c r="F153" s="488">
        <f t="shared" si="30"/>
        <v>0</v>
      </c>
      <c r="H153" s="474"/>
      <c r="I153" s="489">
        <v>80</v>
      </c>
      <c r="J153" s="470">
        <v>-2.5</v>
      </c>
      <c r="K153" s="471" t="s">
        <v>191</v>
      </c>
      <c r="L153" s="488">
        <f t="shared" si="31"/>
        <v>0</v>
      </c>
      <c r="O153" s="469"/>
      <c r="P153" s="460"/>
    </row>
    <row r="154" spans="1:16" ht="13.5" thickBot="1" x14ac:dyDescent="0.35">
      <c r="A154" s="1553"/>
      <c r="B154" s="472"/>
      <c r="C154" s="490">
        <v>40</v>
      </c>
      <c r="D154" s="491">
        <v>0.5</v>
      </c>
      <c r="E154" s="494" t="s">
        <v>191</v>
      </c>
      <c r="F154" s="492">
        <f t="shared" si="30"/>
        <v>0</v>
      </c>
      <c r="G154" s="472"/>
      <c r="H154" s="493"/>
      <c r="I154" s="490">
        <v>90</v>
      </c>
      <c r="J154" s="491">
        <v>-3.2</v>
      </c>
      <c r="K154" s="494" t="s">
        <v>191</v>
      </c>
      <c r="L154" s="492">
        <f t="shared" si="31"/>
        <v>0</v>
      </c>
      <c r="M154" s="472"/>
      <c r="N154" s="472"/>
      <c r="O154" s="473"/>
      <c r="P154" s="460"/>
    </row>
    <row r="155" spans="1:16" ht="13.5" thickBot="1" x14ac:dyDescent="0.35">
      <c r="A155" s="495"/>
      <c r="B155" s="496"/>
      <c r="C155" s="496"/>
      <c r="D155" s="496"/>
      <c r="E155" s="497"/>
      <c r="F155" s="505"/>
      <c r="G155" s="306"/>
      <c r="H155" s="496"/>
      <c r="I155" s="496"/>
      <c r="J155" s="496"/>
      <c r="K155" s="497"/>
      <c r="L155" s="505"/>
      <c r="O155" s="469"/>
      <c r="P155" s="460"/>
    </row>
    <row r="156" spans="1:16" ht="13.5" thickBot="1" x14ac:dyDescent="0.35">
      <c r="A156" s="1551">
        <v>15</v>
      </c>
      <c r="B156" s="1554" t="s">
        <v>384</v>
      </c>
      <c r="C156" s="1555"/>
      <c r="D156" s="1555"/>
      <c r="E156" s="1555"/>
      <c r="F156" s="1556"/>
      <c r="G156" s="462"/>
      <c r="H156" s="1554" t="str">
        <f>B156</f>
        <v>KOREKSI EXTECH A.100617</v>
      </c>
      <c r="I156" s="1555"/>
      <c r="J156" s="1555"/>
      <c r="K156" s="1555"/>
      <c r="L156" s="1556"/>
      <c r="M156" s="462"/>
      <c r="N156" s="1567" t="s">
        <v>367</v>
      </c>
      <c r="O156" s="1568"/>
      <c r="P156" s="460"/>
    </row>
    <row r="157" spans="1:16" ht="13.5" thickBot="1" x14ac:dyDescent="0.35">
      <c r="A157" s="1552"/>
      <c r="B157" s="1557" t="s">
        <v>368</v>
      </c>
      <c r="C157" s="1558"/>
      <c r="D157" s="1559" t="s">
        <v>237</v>
      </c>
      <c r="E157" s="1560"/>
      <c r="F157" s="1561" t="s">
        <v>231</v>
      </c>
      <c r="H157" s="1557" t="s">
        <v>369</v>
      </c>
      <c r="I157" s="1558"/>
      <c r="J157" s="1559" t="s">
        <v>237</v>
      </c>
      <c r="K157" s="1560"/>
      <c r="L157" s="1561" t="s">
        <v>231</v>
      </c>
      <c r="N157" s="478" t="s">
        <v>368</v>
      </c>
      <c r="O157" s="500">
        <v>0.3</v>
      </c>
      <c r="P157" s="460"/>
    </row>
    <row r="158" spans="1:16" ht="15" thickBot="1" x14ac:dyDescent="0.35">
      <c r="A158" s="1552"/>
      <c r="B158" s="1563" t="s">
        <v>370</v>
      </c>
      <c r="C158" s="1564"/>
      <c r="D158" s="480">
        <v>2020</v>
      </c>
      <c r="E158" s="506" t="s">
        <v>191</v>
      </c>
      <c r="F158" s="1562"/>
      <c r="H158" s="1565" t="s">
        <v>17</v>
      </c>
      <c r="I158" s="1566"/>
      <c r="J158" s="481">
        <f>D158</f>
        <v>2020</v>
      </c>
      <c r="K158" s="481" t="str">
        <f>E158</f>
        <v>-</v>
      </c>
      <c r="L158" s="1562"/>
      <c r="N158" s="482" t="s">
        <v>17</v>
      </c>
      <c r="O158" s="499">
        <v>2.8</v>
      </c>
      <c r="P158" s="460"/>
    </row>
    <row r="159" spans="1:16" ht="13" x14ac:dyDescent="0.3">
      <c r="A159" s="1552"/>
      <c r="C159" s="484">
        <v>15</v>
      </c>
      <c r="D159" s="485">
        <v>0.1</v>
      </c>
      <c r="E159" s="507" t="s">
        <v>191</v>
      </c>
      <c r="F159" s="486">
        <f t="shared" ref="F159:F165" si="32">0.5*(MAX(D159:E159)-MIN(D159:E159))</f>
        <v>0</v>
      </c>
      <c r="H159" s="474"/>
      <c r="I159" s="484">
        <v>30</v>
      </c>
      <c r="J159" s="485">
        <v>0.1</v>
      </c>
      <c r="K159" s="507" t="s">
        <v>191</v>
      </c>
      <c r="L159" s="486">
        <f t="shared" ref="L159:L165" si="33">0.5*(MAX(J159:K159)-MIN(J159:K159))</f>
        <v>0</v>
      </c>
      <c r="O159" s="469"/>
      <c r="P159" s="460"/>
    </row>
    <row r="160" spans="1:16" ht="13" x14ac:dyDescent="0.3">
      <c r="A160" s="1552"/>
      <c r="C160" s="487">
        <v>20</v>
      </c>
      <c r="D160" s="467">
        <v>0.1</v>
      </c>
      <c r="E160" s="508" t="s">
        <v>191</v>
      </c>
      <c r="F160" s="488">
        <f t="shared" si="32"/>
        <v>0</v>
      </c>
      <c r="H160" s="474"/>
      <c r="I160" s="487">
        <v>40</v>
      </c>
      <c r="J160" s="467">
        <v>0.2</v>
      </c>
      <c r="K160" s="508" t="s">
        <v>191</v>
      </c>
      <c r="L160" s="488">
        <f t="shared" si="33"/>
        <v>0</v>
      </c>
      <c r="O160" s="469"/>
      <c r="P160" s="460"/>
    </row>
    <row r="161" spans="1:16" ht="13" x14ac:dyDescent="0.3">
      <c r="A161" s="1552"/>
      <c r="C161" s="487">
        <v>25</v>
      </c>
      <c r="D161" s="467">
        <v>9.9999999999999995E-7</v>
      </c>
      <c r="E161" s="508" t="s">
        <v>191</v>
      </c>
      <c r="F161" s="488">
        <f t="shared" si="32"/>
        <v>0</v>
      </c>
      <c r="H161" s="474"/>
      <c r="I161" s="487">
        <v>50</v>
      </c>
      <c r="J161" s="467">
        <v>0.2</v>
      </c>
      <c r="K161" s="508" t="s">
        <v>191</v>
      </c>
      <c r="L161" s="488">
        <f t="shared" si="33"/>
        <v>0</v>
      </c>
      <c r="O161" s="469"/>
      <c r="P161" s="460"/>
    </row>
    <row r="162" spans="1:16" ht="13" x14ac:dyDescent="0.3">
      <c r="A162" s="1552"/>
      <c r="C162" s="489">
        <v>30</v>
      </c>
      <c r="D162" s="470">
        <v>-0.2</v>
      </c>
      <c r="E162" s="471" t="s">
        <v>191</v>
      </c>
      <c r="F162" s="488">
        <f t="shared" si="32"/>
        <v>0</v>
      </c>
      <c r="H162" s="474"/>
      <c r="I162" s="489">
        <v>60</v>
      </c>
      <c r="J162" s="470">
        <v>9.9999999999999995E-7</v>
      </c>
      <c r="K162" s="471" t="s">
        <v>191</v>
      </c>
      <c r="L162" s="488">
        <f t="shared" si="33"/>
        <v>0</v>
      </c>
      <c r="O162" s="469"/>
      <c r="P162" s="460"/>
    </row>
    <row r="163" spans="1:16" ht="13" x14ac:dyDescent="0.3">
      <c r="A163" s="1552"/>
      <c r="C163" s="489">
        <v>35</v>
      </c>
      <c r="D163" s="470">
        <v>-0.5</v>
      </c>
      <c r="E163" s="471" t="s">
        <v>191</v>
      </c>
      <c r="F163" s="488">
        <f t="shared" si="32"/>
        <v>0</v>
      </c>
      <c r="H163" s="474"/>
      <c r="I163" s="489">
        <v>70</v>
      </c>
      <c r="J163" s="470">
        <v>-0.3</v>
      </c>
      <c r="K163" s="471" t="s">
        <v>191</v>
      </c>
      <c r="L163" s="488">
        <f t="shared" si="33"/>
        <v>0</v>
      </c>
      <c r="O163" s="469"/>
      <c r="P163" s="460"/>
    </row>
    <row r="164" spans="1:16" ht="13" x14ac:dyDescent="0.3">
      <c r="A164" s="1552"/>
      <c r="C164" s="489">
        <v>37</v>
      </c>
      <c r="D164" s="470">
        <v>-0.6</v>
      </c>
      <c r="E164" s="471" t="s">
        <v>191</v>
      </c>
      <c r="F164" s="488">
        <f t="shared" si="32"/>
        <v>0</v>
      </c>
      <c r="H164" s="474"/>
      <c r="I164" s="489">
        <v>80</v>
      </c>
      <c r="J164" s="470">
        <v>-0.8</v>
      </c>
      <c r="K164" s="471" t="s">
        <v>191</v>
      </c>
      <c r="L164" s="488">
        <f t="shared" si="33"/>
        <v>0</v>
      </c>
      <c r="O164" s="469"/>
      <c r="P164" s="460"/>
    </row>
    <row r="165" spans="1:16" ht="13.5" thickBot="1" x14ac:dyDescent="0.35">
      <c r="A165" s="1553"/>
      <c r="B165" s="472"/>
      <c r="C165" s="490">
        <v>40</v>
      </c>
      <c r="D165" s="491">
        <v>-0.8</v>
      </c>
      <c r="E165" s="494" t="s">
        <v>191</v>
      </c>
      <c r="F165" s="492">
        <f t="shared" si="32"/>
        <v>0</v>
      </c>
      <c r="G165" s="472"/>
      <c r="H165" s="493"/>
      <c r="I165" s="490">
        <v>90</v>
      </c>
      <c r="J165" s="491">
        <v>-1.4</v>
      </c>
      <c r="K165" s="494" t="s">
        <v>191</v>
      </c>
      <c r="L165" s="492">
        <f t="shared" si="33"/>
        <v>0</v>
      </c>
      <c r="M165" s="472"/>
      <c r="N165" s="472"/>
      <c r="O165" s="473"/>
      <c r="P165" s="460"/>
    </row>
    <row r="166" spans="1:16" ht="13.5" thickBot="1" x14ac:dyDescent="0.35">
      <c r="A166" s="495"/>
      <c r="B166" s="496"/>
      <c r="C166" s="496"/>
      <c r="D166" s="496"/>
      <c r="E166" s="497"/>
      <c r="F166" s="505"/>
      <c r="G166" s="306"/>
      <c r="H166" s="496"/>
      <c r="I166" s="496"/>
      <c r="J166" s="496"/>
      <c r="K166" s="497"/>
      <c r="L166" s="505"/>
      <c r="O166" s="469"/>
      <c r="P166" s="460"/>
    </row>
    <row r="167" spans="1:16" ht="13.5" thickBot="1" x14ac:dyDescent="0.35">
      <c r="A167" s="1551">
        <v>16</v>
      </c>
      <c r="B167" s="1554" t="s">
        <v>385</v>
      </c>
      <c r="C167" s="1555"/>
      <c r="D167" s="1555"/>
      <c r="E167" s="1555"/>
      <c r="F167" s="1556"/>
      <c r="G167" s="462"/>
      <c r="H167" s="1554" t="str">
        <f>B167</f>
        <v>KOREKSI EXTECH A.100616</v>
      </c>
      <c r="I167" s="1555"/>
      <c r="J167" s="1555"/>
      <c r="K167" s="1555"/>
      <c r="L167" s="1556"/>
      <c r="M167" s="462"/>
      <c r="N167" s="1567" t="s">
        <v>367</v>
      </c>
      <c r="O167" s="1568"/>
      <c r="P167" s="460"/>
    </row>
    <row r="168" spans="1:16" ht="13.5" thickBot="1" x14ac:dyDescent="0.35">
      <c r="A168" s="1552"/>
      <c r="B168" s="1557" t="s">
        <v>368</v>
      </c>
      <c r="C168" s="1558"/>
      <c r="D168" s="1559" t="s">
        <v>237</v>
      </c>
      <c r="E168" s="1560"/>
      <c r="F168" s="1561" t="s">
        <v>231</v>
      </c>
      <c r="H168" s="1557" t="s">
        <v>369</v>
      </c>
      <c r="I168" s="1558"/>
      <c r="J168" s="1559" t="s">
        <v>237</v>
      </c>
      <c r="K168" s="1560"/>
      <c r="L168" s="1561" t="s">
        <v>231</v>
      </c>
      <c r="N168" s="478" t="s">
        <v>368</v>
      </c>
      <c r="O168" s="500">
        <v>0.4</v>
      </c>
      <c r="P168" s="460"/>
    </row>
    <row r="169" spans="1:16" ht="15" thickBot="1" x14ac:dyDescent="0.35">
      <c r="A169" s="1552"/>
      <c r="B169" s="1563" t="s">
        <v>370</v>
      </c>
      <c r="C169" s="1564"/>
      <c r="D169" s="480">
        <v>2020</v>
      </c>
      <c r="E169" s="506" t="s">
        <v>191</v>
      </c>
      <c r="F169" s="1562"/>
      <c r="H169" s="1565" t="s">
        <v>17</v>
      </c>
      <c r="I169" s="1566"/>
      <c r="J169" s="481">
        <f>D169</f>
        <v>2020</v>
      </c>
      <c r="K169" s="481" t="str">
        <f>E169</f>
        <v>-</v>
      </c>
      <c r="L169" s="1562"/>
      <c r="N169" s="482" t="s">
        <v>17</v>
      </c>
      <c r="O169" s="499">
        <v>2.2000000000000002</v>
      </c>
      <c r="P169" s="460"/>
    </row>
    <row r="170" spans="1:16" ht="13" x14ac:dyDescent="0.3">
      <c r="A170" s="1552"/>
      <c r="C170" s="484">
        <v>15</v>
      </c>
      <c r="D170" s="485">
        <v>0.1</v>
      </c>
      <c r="E170" s="507" t="s">
        <v>191</v>
      </c>
      <c r="F170" s="486">
        <f t="shared" ref="F170:F176" si="34">0.5*(MAX(D170:E170)-MIN(D170:E170))</f>
        <v>0</v>
      </c>
      <c r="H170" s="474"/>
      <c r="I170" s="484">
        <v>30</v>
      </c>
      <c r="J170" s="485">
        <v>-1.6</v>
      </c>
      <c r="K170" s="507" t="s">
        <v>191</v>
      </c>
      <c r="L170" s="486">
        <f t="shared" ref="L170:L176" si="35">0.5*(MAX(J170:K170)-MIN(J170:K170))</f>
        <v>0</v>
      </c>
      <c r="O170" s="469"/>
      <c r="P170" s="460"/>
    </row>
    <row r="171" spans="1:16" ht="13" x14ac:dyDescent="0.3">
      <c r="A171" s="1552"/>
      <c r="C171" s="487">
        <v>20</v>
      </c>
      <c r="D171" s="467">
        <v>0.2</v>
      </c>
      <c r="E171" s="508" t="s">
        <v>191</v>
      </c>
      <c r="F171" s="488">
        <f t="shared" si="34"/>
        <v>0</v>
      </c>
      <c r="H171" s="474"/>
      <c r="I171" s="487">
        <v>40</v>
      </c>
      <c r="J171" s="467">
        <v>-1.4</v>
      </c>
      <c r="K171" s="508" t="s">
        <v>191</v>
      </c>
      <c r="L171" s="488">
        <f t="shared" si="35"/>
        <v>0</v>
      </c>
      <c r="O171" s="469"/>
      <c r="P171" s="460"/>
    </row>
    <row r="172" spans="1:16" ht="13" x14ac:dyDescent="0.3">
      <c r="A172" s="1552"/>
      <c r="C172" s="487">
        <v>25</v>
      </c>
      <c r="D172" s="467">
        <v>0.2</v>
      </c>
      <c r="E172" s="508" t="s">
        <v>191</v>
      </c>
      <c r="F172" s="488">
        <f t="shared" si="34"/>
        <v>0</v>
      </c>
      <c r="H172" s="474"/>
      <c r="I172" s="487">
        <v>50</v>
      </c>
      <c r="J172" s="467">
        <v>-1.4</v>
      </c>
      <c r="K172" s="508" t="s">
        <v>191</v>
      </c>
      <c r="L172" s="488">
        <f t="shared" si="35"/>
        <v>0</v>
      </c>
      <c r="O172" s="469"/>
      <c r="P172" s="460"/>
    </row>
    <row r="173" spans="1:16" ht="13" x14ac:dyDescent="0.3">
      <c r="A173" s="1552"/>
      <c r="C173" s="489">
        <v>30</v>
      </c>
      <c r="D173" s="470">
        <v>0.2</v>
      </c>
      <c r="E173" s="471" t="s">
        <v>191</v>
      </c>
      <c r="F173" s="488">
        <f t="shared" si="34"/>
        <v>0</v>
      </c>
      <c r="H173" s="474"/>
      <c r="I173" s="489">
        <v>60</v>
      </c>
      <c r="J173" s="470">
        <v>-1.5</v>
      </c>
      <c r="K173" s="471" t="s">
        <v>191</v>
      </c>
      <c r="L173" s="488">
        <f t="shared" si="35"/>
        <v>0</v>
      </c>
      <c r="O173" s="469"/>
      <c r="P173" s="460"/>
    </row>
    <row r="174" spans="1:16" ht="13" x14ac:dyDescent="0.3">
      <c r="A174" s="1552"/>
      <c r="C174" s="489">
        <v>35</v>
      </c>
      <c r="D174" s="470">
        <v>0.1</v>
      </c>
      <c r="E174" s="471" t="s">
        <v>191</v>
      </c>
      <c r="F174" s="488">
        <f t="shared" si="34"/>
        <v>0</v>
      </c>
      <c r="H174" s="474"/>
      <c r="I174" s="489">
        <v>70</v>
      </c>
      <c r="J174" s="470">
        <v>-1.8</v>
      </c>
      <c r="K174" s="471" t="s">
        <v>191</v>
      </c>
      <c r="L174" s="488">
        <f t="shared" si="35"/>
        <v>0</v>
      </c>
      <c r="O174" s="469"/>
      <c r="P174" s="460"/>
    </row>
    <row r="175" spans="1:16" ht="13" x14ac:dyDescent="0.3">
      <c r="A175" s="1552"/>
      <c r="C175" s="489">
        <v>37</v>
      </c>
      <c r="D175" s="470">
        <v>9.9999999999999995E-7</v>
      </c>
      <c r="E175" s="471" t="s">
        <v>191</v>
      </c>
      <c r="F175" s="488">
        <f t="shared" si="34"/>
        <v>0</v>
      </c>
      <c r="H175" s="474"/>
      <c r="I175" s="489">
        <v>80</v>
      </c>
      <c r="J175" s="470">
        <v>-2.2999999999999998</v>
      </c>
      <c r="K175" s="471" t="s">
        <v>191</v>
      </c>
      <c r="L175" s="488">
        <f t="shared" si="35"/>
        <v>0</v>
      </c>
      <c r="O175" s="469"/>
      <c r="P175" s="460"/>
    </row>
    <row r="176" spans="1:16" ht="13.5" thickBot="1" x14ac:dyDescent="0.35">
      <c r="A176" s="1553"/>
      <c r="B176" s="472"/>
      <c r="C176" s="490">
        <v>40</v>
      </c>
      <c r="D176" s="491">
        <v>9.9999999999999995E-7</v>
      </c>
      <c r="E176" s="494" t="s">
        <v>191</v>
      </c>
      <c r="F176" s="492">
        <f t="shared" si="34"/>
        <v>0</v>
      </c>
      <c r="G176" s="472"/>
      <c r="H176" s="493"/>
      <c r="I176" s="490">
        <v>90</v>
      </c>
      <c r="J176" s="491">
        <v>-3</v>
      </c>
      <c r="K176" s="494" t="s">
        <v>191</v>
      </c>
      <c r="L176" s="492">
        <f t="shared" si="35"/>
        <v>0</v>
      </c>
      <c r="M176" s="472"/>
      <c r="N176" s="472"/>
      <c r="O176" s="473"/>
      <c r="P176" s="460"/>
    </row>
    <row r="177" spans="1:16" ht="13.5" thickBot="1" x14ac:dyDescent="0.35">
      <c r="A177" s="495"/>
      <c r="B177" s="496"/>
      <c r="C177" s="496"/>
      <c r="D177" s="496"/>
      <c r="E177" s="497"/>
      <c r="F177" s="505"/>
      <c r="G177" s="306"/>
      <c r="H177" s="496"/>
      <c r="I177" s="496"/>
      <c r="J177" s="496"/>
      <c r="K177" s="497"/>
      <c r="L177" s="505"/>
      <c r="O177" s="469"/>
      <c r="P177" s="460"/>
    </row>
    <row r="178" spans="1:16" ht="13.5" thickBot="1" x14ac:dyDescent="0.35">
      <c r="A178" s="1551">
        <v>17</v>
      </c>
      <c r="B178" s="1554" t="s">
        <v>386</v>
      </c>
      <c r="C178" s="1555"/>
      <c r="D178" s="1555"/>
      <c r="E178" s="1555"/>
      <c r="F178" s="1556"/>
      <c r="G178" s="462"/>
      <c r="H178" s="1554" t="str">
        <f>B178</f>
        <v>KOREKSI EXTECH A.100618</v>
      </c>
      <c r="I178" s="1555"/>
      <c r="J178" s="1555"/>
      <c r="K178" s="1555"/>
      <c r="L178" s="1556"/>
      <c r="M178" s="462"/>
      <c r="N178" s="1567" t="s">
        <v>367</v>
      </c>
      <c r="O178" s="1568"/>
      <c r="P178" s="460"/>
    </row>
    <row r="179" spans="1:16" ht="13.5" thickBot="1" x14ac:dyDescent="0.35">
      <c r="A179" s="1552"/>
      <c r="B179" s="1557" t="s">
        <v>368</v>
      </c>
      <c r="C179" s="1558"/>
      <c r="D179" s="1559" t="s">
        <v>237</v>
      </c>
      <c r="E179" s="1560"/>
      <c r="F179" s="1561" t="s">
        <v>231</v>
      </c>
      <c r="H179" s="1557" t="s">
        <v>369</v>
      </c>
      <c r="I179" s="1558"/>
      <c r="J179" s="1559" t="s">
        <v>237</v>
      </c>
      <c r="K179" s="1560"/>
      <c r="L179" s="1561" t="s">
        <v>231</v>
      </c>
      <c r="N179" s="478" t="s">
        <v>368</v>
      </c>
      <c r="O179" s="500">
        <v>0.3</v>
      </c>
      <c r="P179" s="460"/>
    </row>
    <row r="180" spans="1:16" ht="15" thickBot="1" x14ac:dyDescent="0.35">
      <c r="A180" s="1552"/>
      <c r="B180" s="1563" t="s">
        <v>370</v>
      </c>
      <c r="C180" s="1564"/>
      <c r="D180" s="480">
        <v>2020</v>
      </c>
      <c r="E180" s="506" t="s">
        <v>191</v>
      </c>
      <c r="F180" s="1562"/>
      <c r="H180" s="1565" t="s">
        <v>17</v>
      </c>
      <c r="I180" s="1566"/>
      <c r="J180" s="481">
        <f>D180</f>
        <v>2020</v>
      </c>
      <c r="K180" s="481" t="str">
        <f>E180</f>
        <v>-</v>
      </c>
      <c r="L180" s="1562"/>
      <c r="N180" s="482" t="s">
        <v>17</v>
      </c>
      <c r="O180" s="499">
        <v>1.6</v>
      </c>
      <c r="P180" s="460"/>
    </row>
    <row r="181" spans="1:16" ht="13" x14ac:dyDescent="0.3">
      <c r="A181" s="1552"/>
      <c r="C181" s="484">
        <v>15</v>
      </c>
      <c r="D181" s="485">
        <v>0</v>
      </c>
      <c r="E181" s="507" t="s">
        <v>191</v>
      </c>
      <c r="F181" s="486">
        <f t="shared" ref="F181:F187" si="36">0.5*(MAX(D181:E181)-MIN(D181:E181))</f>
        <v>0</v>
      </c>
      <c r="H181" s="474"/>
      <c r="I181" s="484">
        <v>30</v>
      </c>
      <c r="J181" s="485">
        <v>-0.4</v>
      </c>
      <c r="K181" s="507" t="s">
        <v>191</v>
      </c>
      <c r="L181" s="486">
        <f t="shared" ref="L181:L187" si="37">0.5*(MAX(J181:K181)-MIN(J181:K181))</f>
        <v>0</v>
      </c>
      <c r="O181" s="469"/>
      <c r="P181" s="460"/>
    </row>
    <row r="182" spans="1:16" ht="13" x14ac:dyDescent="0.3">
      <c r="A182" s="1552"/>
      <c r="C182" s="487">
        <v>20</v>
      </c>
      <c r="D182" s="467">
        <v>-0.1</v>
      </c>
      <c r="E182" s="508" t="s">
        <v>191</v>
      </c>
      <c r="F182" s="488">
        <f t="shared" si="36"/>
        <v>0</v>
      </c>
      <c r="H182" s="474"/>
      <c r="I182" s="487">
        <v>40</v>
      </c>
      <c r="J182" s="467">
        <v>-0.2</v>
      </c>
      <c r="K182" s="508" t="s">
        <v>191</v>
      </c>
      <c r="L182" s="488">
        <f t="shared" si="37"/>
        <v>0</v>
      </c>
      <c r="O182" s="469"/>
      <c r="P182" s="460"/>
    </row>
    <row r="183" spans="1:16" ht="13" x14ac:dyDescent="0.3">
      <c r="A183" s="1552"/>
      <c r="C183" s="487">
        <v>25</v>
      </c>
      <c r="D183" s="467">
        <v>-0.2</v>
      </c>
      <c r="E183" s="508" t="s">
        <v>191</v>
      </c>
      <c r="F183" s="488">
        <f t="shared" si="36"/>
        <v>0</v>
      </c>
      <c r="H183" s="474"/>
      <c r="I183" s="487">
        <v>50</v>
      </c>
      <c r="J183" s="467">
        <v>-0.2</v>
      </c>
      <c r="K183" s="508" t="s">
        <v>191</v>
      </c>
      <c r="L183" s="488">
        <f t="shared" si="37"/>
        <v>0</v>
      </c>
      <c r="O183" s="469"/>
      <c r="P183" s="460"/>
    </row>
    <row r="184" spans="1:16" ht="13" x14ac:dyDescent="0.3">
      <c r="A184" s="1552"/>
      <c r="C184" s="489">
        <v>30</v>
      </c>
      <c r="D184" s="470">
        <v>-0.2</v>
      </c>
      <c r="E184" s="471" t="s">
        <v>191</v>
      </c>
      <c r="F184" s="488">
        <f t="shared" si="36"/>
        <v>0</v>
      </c>
      <c r="H184" s="474"/>
      <c r="I184" s="489">
        <v>60</v>
      </c>
      <c r="J184" s="470">
        <v>-0.2</v>
      </c>
      <c r="K184" s="471" t="s">
        <v>191</v>
      </c>
      <c r="L184" s="488">
        <f t="shared" si="37"/>
        <v>0</v>
      </c>
      <c r="O184" s="469"/>
      <c r="P184" s="460"/>
    </row>
    <row r="185" spans="1:16" ht="13" x14ac:dyDescent="0.3">
      <c r="A185" s="1552"/>
      <c r="C185" s="489">
        <v>35</v>
      </c>
      <c r="D185" s="470">
        <v>-0.3</v>
      </c>
      <c r="E185" s="471" t="s">
        <v>191</v>
      </c>
      <c r="F185" s="488">
        <f t="shared" si="36"/>
        <v>0</v>
      </c>
      <c r="H185" s="474"/>
      <c r="I185" s="489">
        <v>70</v>
      </c>
      <c r="J185" s="470">
        <v>-0.3</v>
      </c>
      <c r="K185" s="471" t="s">
        <v>191</v>
      </c>
      <c r="L185" s="488">
        <f t="shared" si="37"/>
        <v>0</v>
      </c>
      <c r="O185" s="469"/>
      <c r="P185" s="460"/>
    </row>
    <row r="186" spans="1:16" ht="13" x14ac:dyDescent="0.3">
      <c r="A186" s="1552"/>
      <c r="C186" s="489">
        <v>37</v>
      </c>
      <c r="D186" s="470">
        <v>-0.3</v>
      </c>
      <c r="E186" s="471" t="s">
        <v>191</v>
      </c>
      <c r="F186" s="488">
        <f t="shared" si="36"/>
        <v>0</v>
      </c>
      <c r="H186" s="474"/>
      <c r="I186" s="489">
        <v>80</v>
      </c>
      <c r="J186" s="470">
        <v>-0.5</v>
      </c>
      <c r="K186" s="471" t="s">
        <v>191</v>
      </c>
      <c r="L186" s="488">
        <f t="shared" si="37"/>
        <v>0</v>
      </c>
      <c r="O186" s="469"/>
      <c r="P186" s="460"/>
    </row>
    <row r="187" spans="1:16" ht="13.5" thickBot="1" x14ac:dyDescent="0.35">
      <c r="A187" s="1553"/>
      <c r="B187" s="472"/>
      <c r="C187" s="490">
        <v>40</v>
      </c>
      <c r="D187" s="491">
        <v>-0.4</v>
      </c>
      <c r="E187" s="494" t="s">
        <v>191</v>
      </c>
      <c r="F187" s="492">
        <f t="shared" si="36"/>
        <v>0</v>
      </c>
      <c r="G187" s="472"/>
      <c r="H187" s="493"/>
      <c r="I187" s="490">
        <v>90</v>
      </c>
      <c r="J187" s="491">
        <v>-0.8</v>
      </c>
      <c r="K187" s="494" t="s">
        <v>191</v>
      </c>
      <c r="L187" s="492">
        <f t="shared" si="37"/>
        <v>0</v>
      </c>
      <c r="M187" s="472"/>
      <c r="N187" s="472"/>
      <c r="O187" s="473"/>
      <c r="P187" s="460"/>
    </row>
    <row r="188" spans="1:16" ht="13.5" thickBot="1" x14ac:dyDescent="0.35">
      <c r="A188" s="495"/>
      <c r="B188" s="496"/>
      <c r="C188" s="496"/>
      <c r="D188" s="496"/>
      <c r="E188" s="497"/>
      <c r="F188" s="505"/>
      <c r="G188" s="306"/>
      <c r="H188" s="496"/>
      <c r="I188" s="496"/>
      <c r="J188" s="496"/>
      <c r="K188" s="497"/>
      <c r="L188" s="505"/>
      <c r="O188" s="469"/>
      <c r="P188" s="460"/>
    </row>
    <row r="189" spans="1:16" ht="13.5" thickBot="1" x14ac:dyDescent="0.35">
      <c r="A189" s="1551">
        <v>18</v>
      </c>
      <c r="B189" s="1554" t="s">
        <v>387</v>
      </c>
      <c r="C189" s="1555"/>
      <c r="D189" s="1555"/>
      <c r="E189" s="1555"/>
      <c r="F189" s="1556"/>
      <c r="G189" s="462"/>
      <c r="H189" s="1554" t="str">
        <f>B189</f>
        <v>KOREKSI EXTECH A.100586</v>
      </c>
      <c r="I189" s="1555"/>
      <c r="J189" s="1555"/>
      <c r="K189" s="1555"/>
      <c r="L189" s="1556"/>
      <c r="M189" s="462"/>
      <c r="N189" s="1567" t="s">
        <v>367</v>
      </c>
      <c r="O189" s="1568"/>
      <c r="P189" s="460"/>
    </row>
    <row r="190" spans="1:16" ht="13.5" thickBot="1" x14ac:dyDescent="0.35">
      <c r="A190" s="1552"/>
      <c r="B190" s="1557" t="s">
        <v>368</v>
      </c>
      <c r="C190" s="1558"/>
      <c r="D190" s="1559" t="s">
        <v>237</v>
      </c>
      <c r="E190" s="1560"/>
      <c r="F190" s="1561" t="s">
        <v>231</v>
      </c>
      <c r="H190" s="1557" t="s">
        <v>369</v>
      </c>
      <c r="I190" s="1558"/>
      <c r="J190" s="1559" t="s">
        <v>237</v>
      </c>
      <c r="K190" s="1560"/>
      <c r="L190" s="1561" t="s">
        <v>231</v>
      </c>
      <c r="N190" s="478" t="s">
        <v>368</v>
      </c>
      <c r="O190" s="500">
        <v>0.3</v>
      </c>
      <c r="P190" s="460"/>
    </row>
    <row r="191" spans="1:16" ht="15" thickBot="1" x14ac:dyDescent="0.35">
      <c r="A191" s="1552"/>
      <c r="B191" s="1563" t="s">
        <v>370</v>
      </c>
      <c r="C191" s="1564"/>
      <c r="D191" s="592">
        <v>2020</v>
      </c>
      <c r="E191" s="480">
        <v>2017</v>
      </c>
      <c r="F191" s="1562"/>
      <c r="H191" s="1565" t="s">
        <v>17</v>
      </c>
      <c r="I191" s="1566"/>
      <c r="J191" s="594">
        <f>'DB Thermohygro'!D191</f>
        <v>2020</v>
      </c>
      <c r="K191" s="481">
        <f>E191</f>
        <v>2017</v>
      </c>
      <c r="L191" s="1562"/>
      <c r="N191" s="482" t="s">
        <v>17</v>
      </c>
      <c r="O191" s="499">
        <v>2</v>
      </c>
      <c r="P191" s="460"/>
    </row>
    <row r="192" spans="1:16" ht="13" x14ac:dyDescent="0.3">
      <c r="A192" s="1552"/>
      <c r="C192" s="484">
        <v>15</v>
      </c>
      <c r="D192" s="576">
        <v>9.9999999999999995E-7</v>
      </c>
      <c r="E192" s="485">
        <v>9.9999999999999995E-7</v>
      </c>
      <c r="F192" s="486">
        <f t="shared" ref="F192:F198" si="38">0.5*(MAX(E192:E192)-MIN(E192:E192))</f>
        <v>0</v>
      </c>
      <c r="H192" s="474"/>
      <c r="I192" s="484">
        <v>30</v>
      </c>
      <c r="J192" s="576">
        <v>-0.4</v>
      </c>
      <c r="K192" s="485">
        <v>-0.4</v>
      </c>
      <c r="L192" s="486">
        <f t="shared" ref="L192:L198" si="39">0.5*(MAX(K192:K192)-MIN(K192:K192))</f>
        <v>0</v>
      </c>
      <c r="O192" s="469"/>
      <c r="P192" s="460"/>
    </row>
    <row r="193" spans="1:17" ht="13" x14ac:dyDescent="0.3">
      <c r="A193" s="1552"/>
      <c r="C193" s="487">
        <v>20</v>
      </c>
      <c r="D193" s="580">
        <v>9.9999999999999995E-7</v>
      </c>
      <c r="E193" s="467">
        <v>9.9999999999999995E-7</v>
      </c>
      <c r="F193" s="488">
        <f t="shared" si="38"/>
        <v>0</v>
      </c>
      <c r="H193" s="474"/>
      <c r="I193" s="487">
        <v>40</v>
      </c>
      <c r="J193" s="580">
        <v>-0.1</v>
      </c>
      <c r="K193" s="467">
        <v>-0.1</v>
      </c>
      <c r="L193" s="488">
        <f t="shared" si="39"/>
        <v>0</v>
      </c>
      <c r="O193" s="469"/>
      <c r="P193" s="460"/>
    </row>
    <row r="194" spans="1:17" ht="13" x14ac:dyDescent="0.3">
      <c r="A194" s="1552"/>
      <c r="C194" s="487">
        <v>25</v>
      </c>
      <c r="D194" s="580">
        <v>9.9999999999999995E-7</v>
      </c>
      <c r="E194" s="467">
        <v>9.9999999999999995E-7</v>
      </c>
      <c r="F194" s="488">
        <f t="shared" si="38"/>
        <v>0</v>
      </c>
      <c r="H194" s="474"/>
      <c r="I194" s="487">
        <v>50</v>
      </c>
      <c r="J194" s="580">
        <v>9.9999999999999995E-7</v>
      </c>
      <c r="K194" s="467">
        <v>9.9999999999999995E-7</v>
      </c>
      <c r="L194" s="488">
        <f t="shared" si="39"/>
        <v>0</v>
      </c>
      <c r="O194" s="469"/>
      <c r="P194" s="460"/>
    </row>
    <row r="195" spans="1:17" ht="13" x14ac:dyDescent="0.3">
      <c r="A195" s="1552"/>
      <c r="C195" s="489">
        <v>30</v>
      </c>
      <c r="D195" s="584">
        <v>-0.1</v>
      </c>
      <c r="E195" s="470">
        <v>-0.1</v>
      </c>
      <c r="F195" s="488">
        <f t="shared" si="38"/>
        <v>0</v>
      </c>
      <c r="H195" s="474"/>
      <c r="I195" s="489">
        <v>60</v>
      </c>
      <c r="J195" s="584">
        <v>9.9999999999999995E-7</v>
      </c>
      <c r="K195" s="470">
        <v>9.9999999999999995E-7</v>
      </c>
      <c r="L195" s="488">
        <f t="shared" si="39"/>
        <v>0</v>
      </c>
      <c r="O195" s="469"/>
      <c r="P195" s="460"/>
    </row>
    <row r="196" spans="1:17" ht="13" x14ac:dyDescent="0.3">
      <c r="A196" s="1552"/>
      <c r="C196" s="489">
        <v>35</v>
      </c>
      <c r="D196" s="584">
        <v>-0.2</v>
      </c>
      <c r="E196" s="470">
        <v>-0.2</v>
      </c>
      <c r="F196" s="488">
        <f t="shared" si="38"/>
        <v>0</v>
      </c>
      <c r="H196" s="474"/>
      <c r="I196" s="489">
        <v>70</v>
      </c>
      <c r="J196" s="584">
        <v>-0.1</v>
      </c>
      <c r="K196" s="470">
        <v>-0.1</v>
      </c>
      <c r="L196" s="488">
        <f t="shared" si="39"/>
        <v>0</v>
      </c>
      <c r="O196" s="469"/>
      <c r="P196" s="460"/>
    </row>
    <row r="197" spans="1:17" ht="13" x14ac:dyDescent="0.3">
      <c r="A197" s="1552"/>
      <c r="C197" s="489">
        <v>37</v>
      </c>
      <c r="D197" s="584">
        <v>-0.3</v>
      </c>
      <c r="E197" s="470">
        <v>-0.3</v>
      </c>
      <c r="F197" s="488">
        <f t="shared" si="38"/>
        <v>0</v>
      </c>
      <c r="H197" s="474"/>
      <c r="I197" s="489">
        <v>80</v>
      </c>
      <c r="J197" s="584">
        <v>-0.5</v>
      </c>
      <c r="K197" s="470">
        <v>-0.5</v>
      </c>
      <c r="L197" s="488">
        <f t="shared" si="39"/>
        <v>0</v>
      </c>
      <c r="O197" s="469"/>
      <c r="P197" s="460"/>
    </row>
    <row r="198" spans="1:17" ht="13.5" thickBot="1" x14ac:dyDescent="0.35">
      <c r="A198" s="1553"/>
      <c r="B198" s="472"/>
      <c r="C198" s="490">
        <v>40</v>
      </c>
      <c r="D198" s="587">
        <v>-0.4</v>
      </c>
      <c r="E198" s="491">
        <v>-0.4</v>
      </c>
      <c r="F198" s="492">
        <f t="shared" si="38"/>
        <v>0</v>
      </c>
      <c r="G198" s="472"/>
      <c r="H198" s="493"/>
      <c r="I198" s="490">
        <v>90</v>
      </c>
      <c r="J198" s="587">
        <v>-0.9</v>
      </c>
      <c r="K198" s="491">
        <v>-0.9</v>
      </c>
      <c r="L198" s="492">
        <f t="shared" si="39"/>
        <v>0</v>
      </c>
      <c r="M198" s="472"/>
      <c r="N198" s="472"/>
      <c r="O198" s="473"/>
      <c r="P198" s="460"/>
    </row>
    <row r="199" spans="1:17" ht="13.5" thickBot="1" x14ac:dyDescent="0.35">
      <c r="A199" s="511"/>
      <c r="B199" s="512"/>
      <c r="C199" s="512"/>
      <c r="D199" s="512"/>
      <c r="E199" s="512"/>
      <c r="F199" s="512"/>
      <c r="G199" s="512"/>
      <c r="H199" s="512"/>
      <c r="I199" s="512"/>
      <c r="J199" s="512"/>
      <c r="K199" s="512"/>
      <c r="L199" s="512"/>
      <c r="M199" s="512"/>
      <c r="N199" s="512"/>
      <c r="O199" s="513"/>
      <c r="P199" s="460"/>
    </row>
    <row r="200" spans="1:17" ht="13.5" thickBot="1" x14ac:dyDescent="0.35">
      <c r="A200" s="460"/>
      <c r="B200" s="460"/>
      <c r="C200" s="460"/>
      <c r="D200" s="460"/>
      <c r="E200" s="460"/>
      <c r="F200" s="460"/>
      <c r="G200" s="460"/>
      <c r="H200" s="460"/>
      <c r="I200" s="460"/>
      <c r="J200" s="460"/>
      <c r="K200" s="460"/>
      <c r="L200" s="460"/>
      <c r="M200" s="460"/>
      <c r="N200" s="460"/>
      <c r="O200" s="460"/>
      <c r="P200" s="460"/>
    </row>
    <row r="201" spans="1:17" x14ac:dyDescent="0.25">
      <c r="A201" s="1545" t="s">
        <v>29</v>
      </c>
      <c r="B201" s="1547" t="s">
        <v>388</v>
      </c>
      <c r="C201" s="1541" t="s">
        <v>268</v>
      </c>
      <c r="D201" s="1541"/>
      <c r="E201" s="1541"/>
      <c r="F201" s="1541"/>
      <c r="G201" s="307"/>
      <c r="H201" s="1549" t="s">
        <v>29</v>
      </c>
      <c r="I201" s="1547" t="s">
        <v>388</v>
      </c>
      <c r="J201" s="1541" t="s">
        <v>268</v>
      </c>
      <c r="K201" s="1541"/>
      <c r="L201" s="1541"/>
      <c r="M201" s="1541"/>
      <c r="N201" s="308"/>
      <c r="O201" s="1542" t="s">
        <v>367</v>
      </c>
      <c r="P201" s="1543"/>
    </row>
    <row r="202" spans="1:17" ht="13.5" x14ac:dyDescent="0.3">
      <c r="A202" s="1546"/>
      <c r="B202" s="1548"/>
      <c r="C202" s="571" t="s">
        <v>368</v>
      </c>
      <c r="D202" s="1544" t="s">
        <v>237</v>
      </c>
      <c r="E202" s="1544"/>
      <c r="F202" s="1544" t="s">
        <v>231</v>
      </c>
      <c r="G202" s="460"/>
      <c r="H202" s="1550"/>
      <c r="I202" s="1548"/>
      <c r="J202" s="571" t="s">
        <v>369</v>
      </c>
      <c r="K202" s="1544" t="s">
        <v>237</v>
      </c>
      <c r="L202" s="1544"/>
      <c r="M202" s="1544" t="s">
        <v>231</v>
      </c>
      <c r="N202" s="460"/>
      <c r="O202" s="1539" t="s">
        <v>368</v>
      </c>
      <c r="P202" s="1540"/>
    </row>
    <row r="203" spans="1:17" ht="14" x14ac:dyDescent="0.3">
      <c r="A203" s="1546"/>
      <c r="B203" s="1548"/>
      <c r="C203" s="569" t="s">
        <v>389</v>
      </c>
      <c r="D203" s="571"/>
      <c r="E203" s="571"/>
      <c r="F203" s="1544"/>
      <c r="G203" s="460"/>
      <c r="H203" s="1550"/>
      <c r="I203" s="1548"/>
      <c r="J203" s="569" t="s">
        <v>17</v>
      </c>
      <c r="K203" s="571"/>
      <c r="L203" s="571"/>
      <c r="M203" s="1544"/>
      <c r="N203" s="460"/>
      <c r="O203" s="514">
        <v>1</v>
      </c>
      <c r="P203" s="909">
        <f>O3</f>
        <v>0.6</v>
      </c>
      <c r="Q203" s="909">
        <f>O4</f>
        <v>3.1</v>
      </c>
    </row>
    <row r="204" spans="1:17" ht="13" x14ac:dyDescent="0.3">
      <c r="A204" s="1484" t="s">
        <v>390</v>
      </c>
      <c r="B204" s="570">
        <v>1</v>
      </c>
      <c r="C204" s="515">
        <f>C5</f>
        <v>15</v>
      </c>
      <c r="D204" s="515">
        <f t="shared" ref="D204:F204" si="40">D5</f>
        <v>-0.5</v>
      </c>
      <c r="E204" s="515">
        <f t="shared" si="40"/>
        <v>0.3</v>
      </c>
      <c r="F204" s="515">
        <f t="shared" si="40"/>
        <v>0.4</v>
      </c>
      <c r="G204" s="460"/>
      <c r="H204" s="1488" t="s">
        <v>390</v>
      </c>
      <c r="I204" s="570">
        <v>1</v>
      </c>
      <c r="J204" s="515">
        <f>I5</f>
        <v>35</v>
      </c>
      <c r="K204" s="515">
        <f t="shared" ref="K204:M204" si="41">J5</f>
        <v>-6</v>
      </c>
      <c r="L204" s="515">
        <f t="shared" si="41"/>
        <v>-9.4</v>
      </c>
      <c r="M204" s="515">
        <f t="shared" si="41"/>
        <v>1.7000000000000002</v>
      </c>
      <c r="N204" s="460"/>
      <c r="O204" s="516">
        <v>2</v>
      </c>
      <c r="P204" s="514">
        <f>O14</f>
        <v>0.3</v>
      </c>
      <c r="Q204" s="514">
        <f>O15</f>
        <v>3.3</v>
      </c>
    </row>
    <row r="205" spans="1:17" ht="13" x14ac:dyDescent="0.3">
      <c r="A205" s="1485"/>
      <c r="B205" s="570">
        <v>2</v>
      </c>
      <c r="C205" s="515">
        <f>C16</f>
        <v>15</v>
      </c>
      <c r="D205" s="515">
        <f>E16</f>
        <v>9.9999999999999995E-7</v>
      </c>
      <c r="E205" s="515" t="e">
        <f>#REF!</f>
        <v>#REF!</v>
      </c>
      <c r="F205" s="515">
        <f t="shared" ref="F205" si="42">F16</f>
        <v>0</v>
      </c>
      <c r="G205" s="460"/>
      <c r="H205" s="1489"/>
      <c r="I205" s="570">
        <v>2</v>
      </c>
      <c r="J205" s="515">
        <f>I16</f>
        <v>35</v>
      </c>
      <c r="K205" s="515">
        <f>K16</f>
        <v>-1.6</v>
      </c>
      <c r="L205" s="515" t="e">
        <f>#REF!</f>
        <v>#REF!</v>
      </c>
      <c r="M205" s="515">
        <f t="shared" ref="M205" si="43">L16</f>
        <v>0</v>
      </c>
      <c r="N205" s="460"/>
      <c r="O205" s="516">
        <v>3</v>
      </c>
      <c r="P205" s="516">
        <f>O25</f>
        <v>0.3</v>
      </c>
      <c r="Q205" s="516">
        <f>O26</f>
        <v>3.1</v>
      </c>
    </row>
    <row r="206" spans="1:17" ht="13" x14ac:dyDescent="0.3">
      <c r="A206" s="1485"/>
      <c r="B206" s="570">
        <v>3</v>
      </c>
      <c r="C206" s="515">
        <f>C27</f>
        <v>15</v>
      </c>
      <c r="D206" s="515">
        <f>E27</f>
        <v>9.9999999999999995E-7</v>
      </c>
      <c r="E206" s="515" t="e">
        <f>#REF!</f>
        <v>#REF!</v>
      </c>
      <c r="F206" s="515">
        <f t="shared" ref="F206" si="44">F27</f>
        <v>0</v>
      </c>
      <c r="G206" s="460"/>
      <c r="H206" s="1489"/>
      <c r="I206" s="570">
        <v>3</v>
      </c>
      <c r="J206" s="515">
        <f>I27</f>
        <v>30</v>
      </c>
      <c r="K206" s="515">
        <f>K27</f>
        <v>-5.7</v>
      </c>
      <c r="L206" s="515" t="e">
        <f>#REF!</f>
        <v>#REF!</v>
      </c>
      <c r="M206" s="515">
        <f t="shared" ref="M206" si="45">L27</f>
        <v>0</v>
      </c>
      <c r="N206" s="460"/>
      <c r="O206" s="516">
        <v>4</v>
      </c>
      <c r="P206" s="516">
        <f>O36</f>
        <v>0.6</v>
      </c>
      <c r="Q206" s="516">
        <f>O37</f>
        <v>2.6</v>
      </c>
    </row>
    <row r="207" spans="1:17" ht="13" x14ac:dyDescent="0.3">
      <c r="A207" s="1485"/>
      <c r="B207" s="570">
        <v>4</v>
      </c>
      <c r="C207" s="517">
        <f>C38</f>
        <v>15</v>
      </c>
      <c r="D207" s="517">
        <f>E38</f>
        <v>-0.1</v>
      </c>
      <c r="E207" s="517" t="e">
        <f>#REF!</f>
        <v>#REF!</v>
      </c>
      <c r="F207" s="517">
        <f t="shared" ref="F207" si="46">F38</f>
        <v>0</v>
      </c>
      <c r="G207" s="460"/>
      <c r="H207" s="1489"/>
      <c r="I207" s="570">
        <v>4</v>
      </c>
      <c r="J207" s="517">
        <f>I38</f>
        <v>35</v>
      </c>
      <c r="K207" s="517">
        <f>K38</f>
        <v>-1.7</v>
      </c>
      <c r="L207" s="517" t="e">
        <f>#REF!</f>
        <v>#REF!</v>
      </c>
      <c r="M207" s="517">
        <f t="shared" ref="M207" si="47">L38</f>
        <v>0</v>
      </c>
      <c r="N207" s="460"/>
      <c r="O207" s="516">
        <v>5</v>
      </c>
      <c r="P207" s="516">
        <f>O47</f>
        <v>0.4</v>
      </c>
      <c r="Q207" s="516">
        <f>O48</f>
        <v>2.8</v>
      </c>
    </row>
    <row r="208" spans="1:17" ht="13" x14ac:dyDescent="0.3">
      <c r="A208" s="1485"/>
      <c r="B208" s="570">
        <v>5</v>
      </c>
      <c r="C208" s="517">
        <f>C49</f>
        <v>15</v>
      </c>
      <c r="D208" s="517">
        <f t="shared" ref="D208:F208" si="48">D49</f>
        <v>-0.3</v>
      </c>
      <c r="E208" s="517">
        <f t="shared" si="48"/>
        <v>0.3</v>
      </c>
      <c r="F208" s="517">
        <f t="shared" si="48"/>
        <v>0.3</v>
      </c>
      <c r="G208" s="460"/>
      <c r="H208" s="1489"/>
      <c r="I208" s="570">
        <v>5</v>
      </c>
      <c r="J208" s="517">
        <f>I49</f>
        <v>35</v>
      </c>
      <c r="K208" s="517">
        <f t="shared" ref="K208:M208" si="49">J49</f>
        <v>-7.7</v>
      </c>
      <c r="L208" s="517">
        <f t="shared" si="49"/>
        <v>-9.6</v>
      </c>
      <c r="M208" s="517">
        <f t="shared" si="49"/>
        <v>0.94999999999999973</v>
      </c>
      <c r="N208" s="460"/>
      <c r="O208" s="514">
        <v>6</v>
      </c>
      <c r="P208" s="909">
        <f>O58</f>
        <v>0.8</v>
      </c>
      <c r="Q208" s="909">
        <f>O59</f>
        <v>2.6</v>
      </c>
    </row>
    <row r="209" spans="1:17" ht="13" x14ac:dyDescent="0.3">
      <c r="A209" s="1485"/>
      <c r="B209" s="570">
        <v>6</v>
      </c>
      <c r="C209" s="517">
        <f>C60</f>
        <v>15</v>
      </c>
      <c r="D209" s="517">
        <f t="shared" ref="D209:F209" si="50">D60</f>
        <v>0.4</v>
      </c>
      <c r="E209" s="517">
        <f t="shared" si="50"/>
        <v>0.4</v>
      </c>
      <c r="F209" s="517">
        <f t="shared" si="50"/>
        <v>0</v>
      </c>
      <c r="G209" s="460"/>
      <c r="H209" s="1489"/>
      <c r="I209" s="570">
        <v>6</v>
      </c>
      <c r="J209" s="517">
        <f>I60</f>
        <v>30</v>
      </c>
      <c r="K209" s="517">
        <f t="shared" ref="K209:M209" si="51">J60</f>
        <v>-1.5</v>
      </c>
      <c r="L209" s="517">
        <f t="shared" si="51"/>
        <v>-4.9000000000000004</v>
      </c>
      <c r="M209" s="517">
        <f t="shared" si="51"/>
        <v>1.7000000000000002</v>
      </c>
      <c r="N209" s="460"/>
      <c r="O209" s="514">
        <v>7</v>
      </c>
      <c r="P209" s="909">
        <f>O69</f>
        <v>0.3</v>
      </c>
      <c r="Q209" s="909">
        <f>O70</f>
        <v>2.2999999999999998</v>
      </c>
    </row>
    <row r="210" spans="1:17" ht="13" x14ac:dyDescent="0.3">
      <c r="A210" s="1485"/>
      <c r="B210" s="570">
        <v>7</v>
      </c>
      <c r="C210" s="517">
        <f>C71</f>
        <v>15</v>
      </c>
      <c r="D210" s="517">
        <f>E71</f>
        <v>0.3</v>
      </c>
      <c r="E210" s="517" t="e">
        <f>#REF!</f>
        <v>#REF!</v>
      </c>
      <c r="F210" s="517">
        <f t="shared" ref="F210" si="52">F71</f>
        <v>0</v>
      </c>
      <c r="G210" s="460"/>
      <c r="H210" s="1489"/>
      <c r="I210" s="570">
        <v>7</v>
      </c>
      <c r="J210" s="517">
        <f>I71</f>
        <v>30</v>
      </c>
      <c r="K210" s="517">
        <f>K71</f>
        <v>1.8</v>
      </c>
      <c r="L210" s="517" t="e">
        <f>#REF!</f>
        <v>#REF!</v>
      </c>
      <c r="M210" s="517">
        <f t="shared" ref="M210" si="53">L71</f>
        <v>0</v>
      </c>
      <c r="N210" s="460"/>
      <c r="O210" s="514">
        <v>8</v>
      </c>
      <c r="P210" s="909">
        <f>O80</f>
        <v>0.3</v>
      </c>
      <c r="Q210" s="909">
        <f>O81</f>
        <v>2.6</v>
      </c>
    </row>
    <row r="211" spans="1:17" ht="13" x14ac:dyDescent="0.3">
      <c r="A211" s="1485"/>
      <c r="B211" s="570">
        <v>8</v>
      </c>
      <c r="C211" s="517">
        <f>C82</f>
        <v>15</v>
      </c>
      <c r="D211" s="517">
        <f>E82</f>
        <v>0</v>
      </c>
      <c r="E211" s="517" t="e">
        <f>#REF!</f>
        <v>#REF!</v>
      </c>
      <c r="F211" s="517">
        <f t="shared" ref="F211" si="54">F82</f>
        <v>0</v>
      </c>
      <c r="G211" s="460"/>
      <c r="H211" s="1489"/>
      <c r="I211" s="570">
        <v>8</v>
      </c>
      <c r="J211" s="517">
        <f>I82</f>
        <v>30</v>
      </c>
      <c r="K211" s="517">
        <f>K82</f>
        <v>-1.4</v>
      </c>
      <c r="L211" s="517" t="e">
        <f>#REF!</f>
        <v>#REF!</v>
      </c>
      <c r="M211" s="517">
        <f t="shared" ref="M211" si="55">L82</f>
        <v>0</v>
      </c>
      <c r="N211" s="460"/>
      <c r="O211" s="514">
        <v>9</v>
      </c>
      <c r="P211" s="909">
        <f>O91</f>
        <v>0.3</v>
      </c>
      <c r="Q211" s="909">
        <f>O92</f>
        <v>2.4</v>
      </c>
    </row>
    <row r="212" spans="1:17" ht="13" x14ac:dyDescent="0.3">
      <c r="A212" s="1485"/>
      <c r="B212" s="570">
        <v>9</v>
      </c>
      <c r="C212" s="517">
        <f>C93</f>
        <v>15</v>
      </c>
      <c r="D212" s="517">
        <f t="shared" ref="D212:F212" si="56">D93</f>
        <v>9.9999999999999995E-7</v>
      </c>
      <c r="E212" s="517" t="str">
        <f t="shared" si="56"/>
        <v>-</v>
      </c>
      <c r="F212" s="517">
        <f t="shared" si="56"/>
        <v>0</v>
      </c>
      <c r="G212" s="460"/>
      <c r="H212" s="1489"/>
      <c r="I212" s="570">
        <v>9</v>
      </c>
      <c r="J212" s="517">
        <f>I93</f>
        <v>30</v>
      </c>
      <c r="K212" s="517">
        <f t="shared" ref="K212:M212" si="57">J93</f>
        <v>-1.2</v>
      </c>
      <c r="L212" s="517" t="str">
        <f t="shared" si="57"/>
        <v>-</v>
      </c>
      <c r="M212" s="517">
        <f t="shared" si="57"/>
        <v>0</v>
      </c>
      <c r="N212" s="460"/>
      <c r="O212" s="514">
        <v>10</v>
      </c>
      <c r="P212" s="909">
        <f>O102</f>
        <v>0.3</v>
      </c>
      <c r="Q212" s="909">
        <f>O103</f>
        <v>1.5</v>
      </c>
    </row>
    <row r="213" spans="1:17" ht="13" x14ac:dyDescent="0.3">
      <c r="A213" s="1485"/>
      <c r="B213" s="570">
        <v>10</v>
      </c>
      <c r="C213" s="517">
        <f>C104</f>
        <v>15</v>
      </c>
      <c r="D213" s="517">
        <f t="shared" ref="D213:F213" si="58">D104</f>
        <v>0.2</v>
      </c>
      <c r="E213" s="517">
        <f t="shared" si="58"/>
        <v>0.2</v>
      </c>
      <c r="F213" s="517">
        <f t="shared" si="58"/>
        <v>0</v>
      </c>
      <c r="G213" s="460"/>
      <c r="H213" s="1489"/>
      <c r="I213" s="570">
        <v>10</v>
      </c>
      <c r="J213" s="517">
        <f>I104</f>
        <v>30</v>
      </c>
      <c r="K213" s="517">
        <f t="shared" ref="K213:M213" si="59">J104</f>
        <v>-2.9</v>
      </c>
      <c r="L213" s="517">
        <f t="shared" si="59"/>
        <v>-5.8</v>
      </c>
      <c r="M213" s="517">
        <f t="shared" si="59"/>
        <v>1.45</v>
      </c>
      <c r="N213" s="460"/>
      <c r="O213" s="514">
        <v>11</v>
      </c>
      <c r="P213" s="909">
        <f>O113</f>
        <v>0.3</v>
      </c>
      <c r="Q213" s="909">
        <f>O114</f>
        <v>1.8</v>
      </c>
    </row>
    <row r="214" spans="1:17" ht="13" x14ac:dyDescent="0.3">
      <c r="A214" s="1485"/>
      <c r="B214" s="570">
        <v>11</v>
      </c>
      <c r="C214" s="517">
        <f>C115</f>
        <v>15</v>
      </c>
      <c r="D214" s="517">
        <f t="shared" ref="D214:F214" si="60">D115</f>
        <v>0.3</v>
      </c>
      <c r="E214" s="517" t="str">
        <f t="shared" si="60"/>
        <v>-</v>
      </c>
      <c r="F214" s="517">
        <f t="shared" si="60"/>
        <v>0</v>
      </c>
      <c r="G214" s="460"/>
      <c r="H214" s="1489"/>
      <c r="I214" s="570">
        <v>11</v>
      </c>
      <c r="J214" s="517">
        <f>I115</f>
        <v>35</v>
      </c>
      <c r="K214" s="517">
        <f t="shared" ref="K214:M214" si="61">J115</f>
        <v>-5.2</v>
      </c>
      <c r="L214" s="517" t="str">
        <f t="shared" si="61"/>
        <v>-</v>
      </c>
      <c r="M214" s="517">
        <f t="shared" si="61"/>
        <v>0</v>
      </c>
      <c r="N214" s="460"/>
      <c r="O214" s="514">
        <v>12</v>
      </c>
      <c r="P214" s="909">
        <f>O124</f>
        <v>0.3</v>
      </c>
      <c r="Q214" s="909">
        <f>O125</f>
        <v>2.7</v>
      </c>
    </row>
    <row r="215" spans="1:17" ht="13" x14ac:dyDescent="0.3">
      <c r="A215" s="1485"/>
      <c r="B215" s="570">
        <v>12</v>
      </c>
      <c r="C215" s="517">
        <f>C126</f>
        <v>15</v>
      </c>
      <c r="D215" s="517">
        <f t="shared" ref="D215:F215" si="62">D126</f>
        <v>-0.6</v>
      </c>
      <c r="E215" s="517" t="str">
        <f t="shared" si="62"/>
        <v>-</v>
      </c>
      <c r="F215" s="517">
        <f t="shared" si="62"/>
        <v>0</v>
      </c>
      <c r="G215" s="460"/>
      <c r="H215" s="1489"/>
      <c r="I215" s="518">
        <v>12</v>
      </c>
      <c r="J215" s="517">
        <f>I126</f>
        <v>35</v>
      </c>
      <c r="K215" s="517">
        <f t="shared" ref="K215:M215" si="63">J126</f>
        <v>-0.4</v>
      </c>
      <c r="L215" s="517" t="str">
        <f t="shared" si="63"/>
        <v>-</v>
      </c>
      <c r="M215" s="517">
        <f t="shared" si="63"/>
        <v>0</v>
      </c>
      <c r="N215" s="460"/>
      <c r="O215" s="514">
        <v>13</v>
      </c>
      <c r="P215" s="909">
        <f>O135</f>
        <v>0.4</v>
      </c>
      <c r="Q215" s="909">
        <f>O136</f>
        <v>2.2000000000000002</v>
      </c>
    </row>
    <row r="216" spans="1:17" ht="13" x14ac:dyDescent="0.3">
      <c r="A216" s="1485"/>
      <c r="B216" s="570">
        <v>13</v>
      </c>
      <c r="C216" s="517">
        <f>C137</f>
        <v>15</v>
      </c>
      <c r="D216" s="517">
        <f t="shared" ref="D216:F216" si="64">D137</f>
        <v>-0.2</v>
      </c>
      <c r="E216" s="517" t="str">
        <f t="shared" si="64"/>
        <v>-</v>
      </c>
      <c r="F216" s="517">
        <f t="shared" si="64"/>
        <v>0</v>
      </c>
      <c r="G216" s="460"/>
      <c r="H216" s="1489"/>
      <c r="I216" s="570">
        <v>13</v>
      </c>
      <c r="J216" s="517">
        <f>I137</f>
        <v>35</v>
      </c>
      <c r="K216" s="517">
        <f t="shared" ref="K216:M216" si="65">J137</f>
        <v>0.6</v>
      </c>
      <c r="L216" s="517" t="str">
        <f t="shared" si="65"/>
        <v>-</v>
      </c>
      <c r="M216" s="517">
        <f t="shared" si="65"/>
        <v>0</v>
      </c>
      <c r="N216" s="460"/>
      <c r="O216" s="514">
        <v>14</v>
      </c>
      <c r="P216" s="909">
        <f>O146</f>
        <v>0.3</v>
      </c>
      <c r="Q216" s="909">
        <f>O147</f>
        <v>2.7</v>
      </c>
    </row>
    <row r="217" spans="1:17" ht="13" x14ac:dyDescent="0.3">
      <c r="A217" s="1485"/>
      <c r="B217" s="570">
        <v>14</v>
      </c>
      <c r="C217" s="517">
        <f>C148</f>
        <v>15</v>
      </c>
      <c r="D217" s="517">
        <f t="shared" ref="D217:F217" si="66">D148</f>
        <v>-0.7</v>
      </c>
      <c r="E217" s="517" t="str">
        <f t="shared" si="66"/>
        <v>-</v>
      </c>
      <c r="F217" s="517">
        <f t="shared" si="66"/>
        <v>0</v>
      </c>
      <c r="G217" s="460"/>
      <c r="H217" s="1489"/>
      <c r="I217" s="570">
        <v>14</v>
      </c>
      <c r="J217" s="517">
        <f>I148</f>
        <v>35</v>
      </c>
      <c r="K217" s="517">
        <f t="shared" ref="K217:M217" si="67">J148</f>
        <v>-1.4</v>
      </c>
      <c r="L217" s="517" t="str">
        <f t="shared" si="67"/>
        <v>-</v>
      </c>
      <c r="M217" s="517">
        <f t="shared" si="67"/>
        <v>0</v>
      </c>
      <c r="N217" s="460"/>
      <c r="O217" s="514">
        <v>15</v>
      </c>
      <c r="P217" s="909">
        <f>O157</f>
        <v>0.3</v>
      </c>
      <c r="Q217" s="909">
        <f>O158</f>
        <v>2.8</v>
      </c>
    </row>
    <row r="218" spans="1:17" ht="13" x14ac:dyDescent="0.3">
      <c r="A218" s="1485"/>
      <c r="B218" s="570">
        <v>15</v>
      </c>
      <c r="C218" s="517">
        <f>C159</f>
        <v>15</v>
      </c>
      <c r="D218" s="517">
        <f t="shared" ref="D218:F218" si="68">D159</f>
        <v>0.1</v>
      </c>
      <c r="E218" s="517" t="str">
        <f t="shared" si="68"/>
        <v>-</v>
      </c>
      <c r="F218" s="517">
        <f t="shared" si="68"/>
        <v>0</v>
      </c>
      <c r="G218" s="460"/>
      <c r="H218" s="1489"/>
      <c r="I218" s="570">
        <v>15</v>
      </c>
      <c r="J218" s="517">
        <f>I159</f>
        <v>30</v>
      </c>
      <c r="K218" s="517">
        <f t="shared" ref="K218:M218" si="69">J159</f>
        <v>0.1</v>
      </c>
      <c r="L218" s="517" t="str">
        <f t="shared" si="69"/>
        <v>-</v>
      </c>
      <c r="M218" s="517">
        <f t="shared" si="69"/>
        <v>0</v>
      </c>
      <c r="N218" s="460"/>
      <c r="O218" s="514">
        <v>16</v>
      </c>
      <c r="P218" s="909">
        <f>O168</f>
        <v>0.4</v>
      </c>
      <c r="Q218" s="908">
        <f>O169</f>
        <v>2.2000000000000002</v>
      </c>
    </row>
    <row r="219" spans="1:17" ht="13" x14ac:dyDescent="0.3">
      <c r="A219" s="1485"/>
      <c r="B219" s="570">
        <v>16</v>
      </c>
      <c r="C219" s="517">
        <f>C170</f>
        <v>15</v>
      </c>
      <c r="D219" s="517">
        <f t="shared" ref="D219:F219" si="70">D170</f>
        <v>0.1</v>
      </c>
      <c r="E219" s="517" t="str">
        <f t="shared" si="70"/>
        <v>-</v>
      </c>
      <c r="F219" s="517">
        <f t="shared" si="70"/>
        <v>0</v>
      </c>
      <c r="G219" s="460"/>
      <c r="H219" s="1489"/>
      <c r="I219" s="570">
        <v>16</v>
      </c>
      <c r="J219" s="517">
        <f>I170</f>
        <v>30</v>
      </c>
      <c r="K219" s="517">
        <f t="shared" ref="K219:M219" si="71">J170</f>
        <v>-1.6</v>
      </c>
      <c r="L219" s="517" t="str">
        <f t="shared" si="71"/>
        <v>-</v>
      </c>
      <c r="M219" s="517">
        <f t="shared" si="71"/>
        <v>0</v>
      </c>
      <c r="N219" s="460"/>
      <c r="O219" s="514">
        <v>17</v>
      </c>
      <c r="P219" s="909">
        <f>O179</f>
        <v>0.3</v>
      </c>
      <c r="Q219" s="908">
        <f>O180</f>
        <v>1.6</v>
      </c>
    </row>
    <row r="220" spans="1:17" ht="13" x14ac:dyDescent="0.3">
      <c r="A220" s="1485"/>
      <c r="B220" s="570">
        <v>17</v>
      </c>
      <c r="C220" s="517">
        <f>C181</f>
        <v>15</v>
      </c>
      <c r="D220" s="517">
        <f t="shared" ref="D220:F220" si="72">D181</f>
        <v>0</v>
      </c>
      <c r="E220" s="517" t="str">
        <f t="shared" si="72"/>
        <v>-</v>
      </c>
      <c r="F220" s="517">
        <f t="shared" si="72"/>
        <v>0</v>
      </c>
      <c r="G220" s="460"/>
      <c r="H220" s="1489"/>
      <c r="I220" s="570">
        <v>17</v>
      </c>
      <c r="J220" s="517">
        <f>I181</f>
        <v>30</v>
      </c>
      <c r="K220" s="517">
        <f t="shared" ref="K220:M220" si="73">J181</f>
        <v>-0.4</v>
      </c>
      <c r="L220" s="517" t="str">
        <f t="shared" si="73"/>
        <v>-</v>
      </c>
      <c r="M220" s="517">
        <f t="shared" si="73"/>
        <v>0</v>
      </c>
      <c r="N220" s="460"/>
      <c r="O220" s="514">
        <v>18</v>
      </c>
      <c r="P220" s="909">
        <f>O190</f>
        <v>0.3</v>
      </c>
      <c r="Q220" s="908">
        <f>O191</f>
        <v>2</v>
      </c>
    </row>
    <row r="221" spans="1:17" ht="13" x14ac:dyDescent="0.3">
      <c r="A221" s="1485"/>
      <c r="B221" s="570">
        <v>18</v>
      </c>
      <c r="C221" s="517">
        <f>C192</f>
        <v>15</v>
      </c>
      <c r="D221" s="517">
        <f>E192</f>
        <v>9.9999999999999995E-7</v>
      </c>
      <c r="E221" s="517" t="e">
        <f>#REF!</f>
        <v>#REF!</v>
      </c>
      <c r="F221" s="517">
        <f t="shared" ref="F221" si="74">F192</f>
        <v>0</v>
      </c>
      <c r="G221" s="460"/>
      <c r="H221" s="1489"/>
      <c r="I221" s="570">
        <v>18</v>
      </c>
      <c r="J221" s="517">
        <f>I192</f>
        <v>30</v>
      </c>
      <c r="K221" s="517">
        <f>K192</f>
        <v>-0.4</v>
      </c>
      <c r="L221" s="517" t="e">
        <f>#REF!</f>
        <v>#REF!</v>
      </c>
      <c r="M221" s="517">
        <f t="shared" ref="M221" si="75">L192</f>
        <v>0</v>
      </c>
      <c r="N221" s="460"/>
      <c r="O221" s="514">
        <v>19</v>
      </c>
      <c r="P221" s="908">
        <f>AE3</f>
        <v>0.1</v>
      </c>
      <c r="Q221" s="908">
        <f>AE4</f>
        <v>1.5</v>
      </c>
    </row>
    <row r="222" spans="1:17" ht="13" x14ac:dyDescent="0.3">
      <c r="A222" s="1485"/>
      <c r="B222" s="599">
        <v>19</v>
      </c>
      <c r="C222" s="600">
        <f>S5</f>
        <v>15</v>
      </c>
      <c r="D222" s="600">
        <f t="shared" ref="D222:F222" si="76">T5</f>
        <v>0</v>
      </c>
      <c r="E222" s="600">
        <f t="shared" si="76"/>
        <v>0</v>
      </c>
      <c r="F222" s="600">
        <f t="shared" si="76"/>
        <v>0</v>
      </c>
      <c r="G222" s="460"/>
      <c r="H222" s="1490"/>
      <c r="I222" s="574">
        <v>19</v>
      </c>
      <c r="J222" s="515">
        <f>Y5</f>
        <v>35</v>
      </c>
      <c r="K222" s="515">
        <f t="shared" ref="K222:M222" si="77">Z5</f>
        <v>-0.4</v>
      </c>
      <c r="L222" s="515">
        <f t="shared" si="77"/>
        <v>-1.5</v>
      </c>
      <c r="M222" s="515">
        <f t="shared" si="77"/>
        <v>0.55000000000000004</v>
      </c>
      <c r="N222" s="460"/>
      <c r="O222" s="601"/>
      <c r="P222" s="602"/>
    </row>
    <row r="223" spans="1:17" ht="13" x14ac:dyDescent="0.3">
      <c r="A223" s="310"/>
      <c r="B223" s="311"/>
      <c r="C223" s="312"/>
      <c r="D223" s="312"/>
      <c r="E223" s="312"/>
      <c r="F223" s="313"/>
      <c r="G223" s="305"/>
      <c r="H223" s="573"/>
      <c r="I223" s="573"/>
      <c r="J223" s="309"/>
      <c r="K223" s="309"/>
      <c r="L223" s="309"/>
      <c r="M223" s="309"/>
      <c r="N223" s="305"/>
      <c r="O223" s="305"/>
      <c r="P223" s="305"/>
    </row>
    <row r="224" spans="1:17" ht="13" x14ac:dyDescent="0.3">
      <c r="A224" s="1484" t="s">
        <v>391</v>
      </c>
      <c r="B224" s="570">
        <v>1</v>
      </c>
      <c r="C224" s="517">
        <f>C6</f>
        <v>20</v>
      </c>
      <c r="D224" s="517">
        <f t="shared" ref="D224:F224" si="78">D6</f>
        <v>-0.2</v>
      </c>
      <c r="E224" s="517">
        <f t="shared" si="78"/>
        <v>0.2</v>
      </c>
      <c r="F224" s="517">
        <f t="shared" si="78"/>
        <v>0.2</v>
      </c>
      <c r="G224" s="460"/>
      <c r="H224" s="1482" t="s">
        <v>391</v>
      </c>
      <c r="I224" s="570">
        <v>1</v>
      </c>
      <c r="J224" s="517">
        <f>I6</f>
        <v>40</v>
      </c>
      <c r="K224" s="517">
        <f t="shared" ref="K224:M224" si="79">J50</f>
        <v>-7.2</v>
      </c>
      <c r="L224" s="517">
        <f t="shared" si="79"/>
        <v>-8</v>
      </c>
      <c r="M224" s="517">
        <f t="shared" si="79"/>
        <v>0.39999999999999991</v>
      </c>
      <c r="N224" s="460"/>
      <c r="O224" s="1537" t="s">
        <v>367</v>
      </c>
      <c r="P224" s="1538"/>
    </row>
    <row r="225" spans="1:16" ht="13" x14ac:dyDescent="0.3">
      <c r="A225" s="1485"/>
      <c r="B225" s="570">
        <v>2</v>
      </c>
      <c r="C225" s="517">
        <f>C17</f>
        <v>20</v>
      </c>
      <c r="D225" s="517">
        <f>E17</f>
        <v>-0.1</v>
      </c>
      <c r="E225" s="517" t="e">
        <f>#REF!</f>
        <v>#REF!</v>
      </c>
      <c r="F225" s="517">
        <f t="shared" ref="F225" si="80">F17</f>
        <v>0</v>
      </c>
      <c r="G225" s="460"/>
      <c r="H225" s="1483"/>
      <c r="I225" s="570">
        <v>2</v>
      </c>
      <c r="J225" s="517">
        <f>I17</f>
        <v>40</v>
      </c>
      <c r="K225" s="517">
        <f>K17</f>
        <v>-1.6</v>
      </c>
      <c r="L225" s="517" t="e">
        <f>#REF!</f>
        <v>#REF!</v>
      </c>
      <c r="M225" s="517">
        <f t="shared" ref="M225" si="81">L17</f>
        <v>0</v>
      </c>
      <c r="N225" s="460"/>
      <c r="O225" s="1539" t="s">
        <v>369</v>
      </c>
      <c r="P225" s="1540"/>
    </row>
    <row r="226" spans="1:16" ht="13" x14ac:dyDescent="0.3">
      <c r="A226" s="1485"/>
      <c r="B226" s="570">
        <v>3</v>
      </c>
      <c r="C226" s="515">
        <f>C28</f>
        <v>20</v>
      </c>
      <c r="D226" s="515">
        <f>E28</f>
        <v>0</v>
      </c>
      <c r="E226" s="515" t="e">
        <f>#REF!</f>
        <v>#REF!</v>
      </c>
      <c r="F226" s="515">
        <f t="shared" ref="F226" si="82">F28</f>
        <v>0</v>
      </c>
      <c r="G226" s="460"/>
      <c r="H226" s="1483"/>
      <c r="I226" s="570">
        <v>3</v>
      </c>
      <c r="J226" s="515">
        <f>I28</f>
        <v>40</v>
      </c>
      <c r="K226" s="515">
        <f>K28</f>
        <v>-5.3</v>
      </c>
      <c r="L226" s="515" t="e">
        <f>#REF!</f>
        <v>#REF!</v>
      </c>
      <c r="M226" s="515">
        <f t="shared" ref="M226" si="83">L28</f>
        <v>0</v>
      </c>
      <c r="N226" s="460"/>
      <c r="O226" s="514">
        <v>1</v>
      </c>
    </row>
    <row r="227" spans="1:16" ht="13" x14ac:dyDescent="0.3">
      <c r="A227" s="1485"/>
      <c r="B227" s="570">
        <v>4</v>
      </c>
      <c r="C227" s="515">
        <f>C39</f>
        <v>20</v>
      </c>
      <c r="D227" s="515">
        <f>E39</f>
        <v>-0.3</v>
      </c>
      <c r="E227" s="515" t="e">
        <f>#REF!</f>
        <v>#REF!</v>
      </c>
      <c r="F227" s="515">
        <f t="shared" ref="F227" si="84">F39</f>
        <v>0</v>
      </c>
      <c r="G227" s="460"/>
      <c r="H227" s="1483"/>
      <c r="I227" s="570">
        <v>4</v>
      </c>
      <c r="J227" s="515">
        <f>I39</f>
        <v>40</v>
      </c>
      <c r="K227" s="515">
        <f>K39</f>
        <v>-1.5</v>
      </c>
      <c r="L227" s="515" t="e">
        <f>#REF!</f>
        <v>#REF!</v>
      </c>
      <c r="M227" s="515">
        <f t="shared" ref="M227" si="85">L39</f>
        <v>0</v>
      </c>
      <c r="N227" s="460"/>
      <c r="O227" s="516">
        <v>2</v>
      </c>
    </row>
    <row r="228" spans="1:16" ht="13" x14ac:dyDescent="0.3">
      <c r="A228" s="1485"/>
      <c r="B228" s="570">
        <v>5</v>
      </c>
      <c r="C228" s="515">
        <f>C50</f>
        <v>20</v>
      </c>
      <c r="D228" s="515">
        <f t="shared" ref="D228:F228" si="86">D50</f>
        <v>0.1</v>
      </c>
      <c r="E228" s="515">
        <f t="shared" si="86"/>
        <v>0.3</v>
      </c>
      <c r="F228" s="515">
        <f t="shared" si="86"/>
        <v>9.9999999999999992E-2</v>
      </c>
      <c r="G228" s="460"/>
      <c r="H228" s="1483"/>
      <c r="I228" s="570">
        <v>5</v>
      </c>
      <c r="J228" s="515">
        <f>I50</f>
        <v>40</v>
      </c>
      <c r="K228" s="515">
        <f t="shared" ref="K228:M228" si="87">J50</f>
        <v>-7.2</v>
      </c>
      <c r="L228" s="515">
        <f t="shared" si="87"/>
        <v>-8</v>
      </c>
      <c r="M228" s="515">
        <f t="shared" si="87"/>
        <v>0.39999999999999991</v>
      </c>
      <c r="N228" s="460"/>
      <c r="O228" s="516">
        <v>3</v>
      </c>
    </row>
    <row r="229" spans="1:16" ht="13" x14ac:dyDescent="0.3">
      <c r="A229" s="1485"/>
      <c r="B229" s="570">
        <v>6</v>
      </c>
      <c r="C229" s="515">
        <f>C61</f>
        <v>20</v>
      </c>
      <c r="D229" s="515">
        <f t="shared" ref="D229:F229" si="88">D61</f>
        <v>0.3</v>
      </c>
      <c r="E229" s="515">
        <f t="shared" si="88"/>
        <v>0.2</v>
      </c>
      <c r="F229" s="515">
        <f t="shared" si="88"/>
        <v>4.9999999999999989E-2</v>
      </c>
      <c r="G229" s="460"/>
      <c r="H229" s="1483"/>
      <c r="I229" s="570">
        <v>6</v>
      </c>
      <c r="J229" s="515">
        <f>I61</f>
        <v>40</v>
      </c>
      <c r="K229" s="515">
        <f t="shared" ref="K229:M229" si="89">J61</f>
        <v>-3.8</v>
      </c>
      <c r="L229" s="515">
        <f t="shared" si="89"/>
        <v>-3.4</v>
      </c>
      <c r="M229" s="515">
        <f t="shared" si="89"/>
        <v>0.19999999999999996</v>
      </c>
      <c r="N229" s="460"/>
      <c r="O229" s="516">
        <v>4</v>
      </c>
    </row>
    <row r="230" spans="1:16" ht="13" x14ac:dyDescent="0.3">
      <c r="A230" s="1485"/>
      <c r="B230" s="570">
        <v>7</v>
      </c>
      <c r="C230" s="515">
        <f>C72</f>
        <v>20</v>
      </c>
      <c r="D230" s="515">
        <f>E72</f>
        <v>0.1</v>
      </c>
      <c r="E230" s="515" t="e">
        <f>#REF!</f>
        <v>#REF!</v>
      </c>
      <c r="F230" s="515">
        <f t="shared" ref="F230" si="90">F72</f>
        <v>0</v>
      </c>
      <c r="G230" s="460"/>
      <c r="H230" s="1483"/>
      <c r="I230" s="570">
        <v>7</v>
      </c>
      <c r="J230" s="515">
        <f>I72</f>
        <v>40</v>
      </c>
      <c r="K230" s="515">
        <f>K72</f>
        <v>1.2</v>
      </c>
      <c r="L230" s="515" t="e">
        <f>#REF!</f>
        <v>#REF!</v>
      </c>
      <c r="M230" s="515">
        <f t="shared" ref="M230" si="91">L72</f>
        <v>0</v>
      </c>
      <c r="N230" s="460"/>
      <c r="O230" s="516">
        <v>5</v>
      </c>
    </row>
    <row r="231" spans="1:16" ht="13" x14ac:dyDescent="0.3">
      <c r="A231" s="1485"/>
      <c r="B231" s="570">
        <v>8</v>
      </c>
      <c r="C231" s="515">
        <f>C83</f>
        <v>20</v>
      </c>
      <c r="D231" s="515">
        <f>E83</f>
        <v>-0.2</v>
      </c>
      <c r="E231" s="515" t="e">
        <f>#REF!</f>
        <v>#REF!</v>
      </c>
      <c r="F231" s="515">
        <f t="shared" ref="F231" si="92">F83</f>
        <v>0</v>
      </c>
      <c r="G231" s="460"/>
      <c r="H231" s="1483"/>
      <c r="I231" s="570">
        <v>8</v>
      </c>
      <c r="J231" s="515">
        <f>I83</f>
        <v>40</v>
      </c>
      <c r="K231" s="515">
        <f>K83</f>
        <v>-1.2</v>
      </c>
      <c r="L231" s="515" t="e">
        <f>#REF!</f>
        <v>#REF!</v>
      </c>
      <c r="M231" s="515">
        <f t="shared" ref="M231" si="93">L83</f>
        <v>0</v>
      </c>
      <c r="N231" s="460"/>
      <c r="O231" s="514">
        <v>6</v>
      </c>
    </row>
    <row r="232" spans="1:16" ht="13" x14ac:dyDescent="0.3">
      <c r="A232" s="1485"/>
      <c r="B232" s="570">
        <v>9</v>
      </c>
      <c r="C232" s="515">
        <f>C94</f>
        <v>20</v>
      </c>
      <c r="D232" s="515">
        <f t="shared" ref="D232:F232" si="94">D94</f>
        <v>-0.2</v>
      </c>
      <c r="E232" s="515" t="str">
        <f t="shared" si="94"/>
        <v>-</v>
      </c>
      <c r="F232" s="515">
        <f t="shared" si="94"/>
        <v>0</v>
      </c>
      <c r="G232" s="460"/>
      <c r="H232" s="1483"/>
      <c r="I232" s="570">
        <v>9</v>
      </c>
      <c r="J232" s="515">
        <f>I94</f>
        <v>40</v>
      </c>
      <c r="K232" s="515">
        <f t="shared" ref="K232:M232" si="95">J94</f>
        <v>-1</v>
      </c>
      <c r="L232" s="515" t="str">
        <f t="shared" si="95"/>
        <v>-</v>
      </c>
      <c r="M232" s="515">
        <f t="shared" si="95"/>
        <v>0</v>
      </c>
      <c r="N232" s="460"/>
      <c r="O232" s="514">
        <v>7</v>
      </c>
    </row>
    <row r="233" spans="1:16" ht="13" x14ac:dyDescent="0.3">
      <c r="A233" s="1485"/>
      <c r="B233" s="570">
        <v>10</v>
      </c>
      <c r="C233" s="515">
        <f>C105</f>
        <v>20</v>
      </c>
      <c r="D233" s="515">
        <f t="shared" ref="D233:F233" si="96">D105</f>
        <v>0.2</v>
      </c>
      <c r="E233" s="515">
        <f t="shared" si="96"/>
        <v>-0.7</v>
      </c>
      <c r="F233" s="515">
        <f t="shared" si="96"/>
        <v>0.44999999999999996</v>
      </c>
      <c r="G233" s="460"/>
      <c r="H233" s="1483"/>
      <c r="I233" s="570">
        <v>10</v>
      </c>
      <c r="J233" s="515">
        <f>I105</f>
        <v>40</v>
      </c>
      <c r="K233" s="515">
        <f t="shared" ref="K233:M233" si="97">J105</f>
        <v>-3.3</v>
      </c>
      <c r="L233" s="515">
        <f t="shared" si="97"/>
        <v>-6.4</v>
      </c>
      <c r="M233" s="515">
        <f t="shared" si="97"/>
        <v>1.5500000000000003</v>
      </c>
      <c r="N233" s="460"/>
      <c r="O233" s="514">
        <v>8</v>
      </c>
    </row>
    <row r="234" spans="1:16" ht="13" x14ac:dyDescent="0.3">
      <c r="A234" s="1485"/>
      <c r="B234" s="570">
        <v>11</v>
      </c>
      <c r="C234" s="515">
        <f>C116</f>
        <v>20</v>
      </c>
      <c r="D234" s="515">
        <f t="shared" ref="D234:F234" si="98">D116</f>
        <v>0.4</v>
      </c>
      <c r="E234" s="515" t="str">
        <f t="shared" si="98"/>
        <v>-</v>
      </c>
      <c r="F234" s="515">
        <f t="shared" si="98"/>
        <v>0</v>
      </c>
      <c r="G234" s="460"/>
      <c r="H234" s="1483"/>
      <c r="I234" s="570">
        <v>11</v>
      </c>
      <c r="J234" s="515">
        <f>I116</f>
        <v>40</v>
      </c>
      <c r="K234" s="515">
        <f t="shared" ref="K234:M234" si="99">J116</f>
        <v>-5.5</v>
      </c>
      <c r="L234" s="515" t="str">
        <f t="shared" si="99"/>
        <v>-</v>
      </c>
      <c r="M234" s="515">
        <f t="shared" si="99"/>
        <v>0</v>
      </c>
      <c r="N234" s="460"/>
      <c r="O234" s="514">
        <v>9</v>
      </c>
    </row>
    <row r="235" spans="1:16" ht="13" x14ac:dyDescent="0.3">
      <c r="A235" s="1485"/>
      <c r="B235" s="570">
        <v>12</v>
      </c>
      <c r="C235" s="515">
        <f>C127</f>
        <v>20</v>
      </c>
      <c r="D235" s="515">
        <f t="shared" ref="D235:F235" si="100">D127</f>
        <v>-0.5</v>
      </c>
      <c r="E235" s="515" t="str">
        <f t="shared" si="100"/>
        <v>-</v>
      </c>
      <c r="F235" s="515">
        <f t="shared" si="100"/>
        <v>0</v>
      </c>
      <c r="G235" s="460"/>
      <c r="H235" s="1483"/>
      <c r="I235" s="570">
        <v>12</v>
      </c>
      <c r="J235" s="515">
        <f>I127</f>
        <v>40</v>
      </c>
      <c r="K235" s="515">
        <f t="shared" ref="K235:M235" si="101">J127</f>
        <v>-0.3</v>
      </c>
      <c r="L235" s="515" t="str">
        <f t="shared" si="101"/>
        <v>-</v>
      </c>
      <c r="M235" s="515">
        <f t="shared" si="101"/>
        <v>0</v>
      </c>
      <c r="N235" s="460"/>
      <c r="O235" s="514">
        <v>10</v>
      </c>
    </row>
    <row r="236" spans="1:16" ht="13" x14ac:dyDescent="0.3">
      <c r="A236" s="1485"/>
      <c r="B236" s="570">
        <v>13</v>
      </c>
      <c r="C236" s="515">
        <f>C138</f>
        <v>20</v>
      </c>
      <c r="D236" s="515">
        <f t="shared" ref="D236:F236" si="102">D138</f>
        <v>-0.1</v>
      </c>
      <c r="E236" s="515" t="str">
        <f t="shared" si="102"/>
        <v>-</v>
      </c>
      <c r="F236" s="515">
        <f t="shared" si="102"/>
        <v>0</v>
      </c>
      <c r="G236" s="460"/>
      <c r="H236" s="1483"/>
      <c r="I236" s="570">
        <v>13</v>
      </c>
      <c r="J236" s="515">
        <f>I138</f>
        <v>40</v>
      </c>
      <c r="K236" s="515">
        <f t="shared" ref="K236:M236" si="103">J138</f>
        <v>0.3</v>
      </c>
      <c r="L236" s="515" t="str">
        <f t="shared" si="103"/>
        <v>-</v>
      </c>
      <c r="M236" s="515">
        <f t="shared" si="103"/>
        <v>0</v>
      </c>
      <c r="N236" s="460"/>
      <c r="O236" s="514">
        <v>11</v>
      </c>
    </row>
    <row r="237" spans="1:16" ht="13" x14ac:dyDescent="0.3">
      <c r="A237" s="1485"/>
      <c r="B237" s="570">
        <v>14</v>
      </c>
      <c r="C237" s="515">
        <f>C149</f>
        <v>20</v>
      </c>
      <c r="D237" s="515">
        <f t="shared" ref="D237:F237" si="104">D149</f>
        <v>-0.4</v>
      </c>
      <c r="E237" s="515" t="str">
        <f t="shared" si="104"/>
        <v>-</v>
      </c>
      <c r="F237" s="515">
        <f t="shared" si="104"/>
        <v>0</v>
      </c>
      <c r="G237" s="460"/>
      <c r="H237" s="1483"/>
      <c r="I237" s="570">
        <v>14</v>
      </c>
      <c r="J237" s="515">
        <f>I149</f>
        <v>40</v>
      </c>
      <c r="K237" s="515">
        <f t="shared" ref="K237:M237" si="105">J149</f>
        <v>-1.3</v>
      </c>
      <c r="L237" s="515" t="str">
        <f t="shared" si="105"/>
        <v>-</v>
      </c>
      <c r="M237" s="515">
        <f t="shared" si="105"/>
        <v>0</v>
      </c>
      <c r="N237" s="460"/>
      <c r="O237" s="514">
        <v>12</v>
      </c>
    </row>
    <row r="238" spans="1:16" ht="13" x14ac:dyDescent="0.3">
      <c r="A238" s="1485"/>
      <c r="B238" s="570">
        <v>15</v>
      </c>
      <c r="C238" s="515">
        <f>C160</f>
        <v>20</v>
      </c>
      <c r="D238" s="515">
        <f t="shared" ref="D238:F238" si="106">D160</f>
        <v>0.1</v>
      </c>
      <c r="E238" s="515" t="str">
        <f t="shared" si="106"/>
        <v>-</v>
      </c>
      <c r="F238" s="515">
        <f t="shared" si="106"/>
        <v>0</v>
      </c>
      <c r="G238" s="460"/>
      <c r="H238" s="1483"/>
      <c r="I238" s="570">
        <v>15</v>
      </c>
      <c r="J238" s="515">
        <f>I160</f>
        <v>40</v>
      </c>
      <c r="K238" s="515">
        <f t="shared" ref="K238:M238" si="107">J160</f>
        <v>0.2</v>
      </c>
      <c r="L238" s="515" t="str">
        <f t="shared" si="107"/>
        <v>-</v>
      </c>
      <c r="M238" s="515">
        <f t="shared" si="107"/>
        <v>0</v>
      </c>
      <c r="N238" s="460"/>
      <c r="O238" s="514">
        <v>13</v>
      </c>
    </row>
    <row r="239" spans="1:16" ht="13" x14ac:dyDescent="0.3">
      <c r="A239" s="1485"/>
      <c r="B239" s="570">
        <v>16</v>
      </c>
      <c r="C239" s="515">
        <f>C171</f>
        <v>20</v>
      </c>
      <c r="D239" s="515">
        <f t="shared" ref="D239:F239" si="108">D171</f>
        <v>0.2</v>
      </c>
      <c r="E239" s="515" t="str">
        <f t="shared" si="108"/>
        <v>-</v>
      </c>
      <c r="F239" s="515">
        <f t="shared" si="108"/>
        <v>0</v>
      </c>
      <c r="G239" s="460"/>
      <c r="H239" s="1483"/>
      <c r="I239" s="570">
        <v>16</v>
      </c>
      <c r="J239" s="515">
        <f>I171</f>
        <v>40</v>
      </c>
      <c r="K239" s="515">
        <f t="shared" ref="K239:M239" si="109">J171</f>
        <v>-1.4</v>
      </c>
      <c r="L239" s="515" t="str">
        <f t="shared" si="109"/>
        <v>-</v>
      </c>
      <c r="M239" s="515">
        <f t="shared" si="109"/>
        <v>0</v>
      </c>
      <c r="N239" s="460"/>
      <c r="O239" s="514">
        <v>14</v>
      </c>
    </row>
    <row r="240" spans="1:16" ht="13" x14ac:dyDescent="0.3">
      <c r="A240" s="1485"/>
      <c r="B240" s="570">
        <v>17</v>
      </c>
      <c r="C240" s="515">
        <f>C182</f>
        <v>20</v>
      </c>
      <c r="D240" s="515">
        <f t="shared" ref="D240:F240" si="110">D182</f>
        <v>-0.1</v>
      </c>
      <c r="E240" s="515" t="str">
        <f t="shared" si="110"/>
        <v>-</v>
      </c>
      <c r="F240" s="515">
        <f t="shared" si="110"/>
        <v>0</v>
      </c>
      <c r="G240" s="460"/>
      <c r="H240" s="1483"/>
      <c r="I240" s="570">
        <v>17</v>
      </c>
      <c r="J240" s="515">
        <f>I182</f>
        <v>40</v>
      </c>
      <c r="K240" s="515">
        <f t="shared" ref="K240:M240" si="111">J182</f>
        <v>-0.2</v>
      </c>
      <c r="L240" s="515" t="str">
        <f t="shared" si="111"/>
        <v>-</v>
      </c>
      <c r="M240" s="515">
        <f t="shared" si="111"/>
        <v>0</v>
      </c>
      <c r="N240" s="460"/>
      <c r="O240" s="519">
        <v>15</v>
      </c>
    </row>
    <row r="241" spans="1:16" ht="13" x14ac:dyDescent="0.3">
      <c r="A241" s="1485"/>
      <c r="B241" s="570">
        <v>18</v>
      </c>
      <c r="C241" s="515">
        <f>C193</f>
        <v>20</v>
      </c>
      <c r="D241" s="515">
        <f>E193</f>
        <v>9.9999999999999995E-7</v>
      </c>
      <c r="E241" s="515" t="e">
        <f>#REF!</f>
        <v>#REF!</v>
      </c>
      <c r="F241" s="515">
        <f t="shared" ref="F241" si="112">F193</f>
        <v>0</v>
      </c>
      <c r="G241" s="460"/>
      <c r="H241" s="1483"/>
      <c r="I241" s="570">
        <v>18</v>
      </c>
      <c r="J241" s="515">
        <f>I193</f>
        <v>40</v>
      </c>
      <c r="K241" s="515">
        <f>K193</f>
        <v>-0.1</v>
      </c>
      <c r="L241" s="515" t="e">
        <f>#REF!</f>
        <v>#REF!</v>
      </c>
      <c r="M241" s="515">
        <f t="shared" ref="M241" si="113">L193</f>
        <v>0</v>
      </c>
      <c r="N241" s="460"/>
      <c r="O241" s="514">
        <v>16</v>
      </c>
    </row>
    <row r="242" spans="1:16" ht="13" x14ac:dyDescent="0.3">
      <c r="A242" s="1485"/>
      <c r="B242" s="599">
        <v>19</v>
      </c>
      <c r="C242" s="603">
        <f>S6</f>
        <v>20</v>
      </c>
      <c r="D242" s="603">
        <f t="shared" ref="D242:F242" si="114">T6</f>
        <v>-0.1</v>
      </c>
      <c r="E242" s="603">
        <f t="shared" si="114"/>
        <v>0.1</v>
      </c>
      <c r="F242" s="603">
        <f t="shared" si="114"/>
        <v>0.1</v>
      </c>
      <c r="G242" s="460"/>
      <c r="H242" s="1483"/>
      <c r="I242" s="599">
        <v>19</v>
      </c>
      <c r="J242" s="603">
        <f>Y6</f>
        <v>40</v>
      </c>
      <c r="K242" s="603">
        <f t="shared" ref="K242:M242" si="115">Z6</f>
        <v>-0.2</v>
      </c>
      <c r="L242" s="603">
        <f t="shared" si="115"/>
        <v>-0.8</v>
      </c>
      <c r="M242" s="603">
        <f t="shared" si="115"/>
        <v>0.30000000000000004</v>
      </c>
      <c r="N242" s="460"/>
      <c r="O242" s="601"/>
    </row>
    <row r="243" spans="1:16" ht="13" x14ac:dyDescent="0.3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60"/>
      <c r="O243" s="519">
        <v>17</v>
      </c>
    </row>
    <row r="244" spans="1:16" ht="13" x14ac:dyDescent="0.3">
      <c r="A244" s="1484" t="s">
        <v>392</v>
      </c>
      <c r="B244" s="570">
        <v>1</v>
      </c>
      <c r="C244" s="515">
        <f>C7</f>
        <v>25</v>
      </c>
      <c r="D244" s="515">
        <f t="shared" ref="D244:F244" si="116">D7</f>
        <v>9.9999999999999995E-7</v>
      </c>
      <c r="E244" s="515">
        <f t="shared" si="116"/>
        <v>0.1</v>
      </c>
      <c r="F244" s="515">
        <f t="shared" si="116"/>
        <v>4.9999500000000002E-2</v>
      </c>
      <c r="G244" s="460"/>
      <c r="H244" s="1482" t="s">
        <v>392</v>
      </c>
      <c r="I244" s="570">
        <v>1</v>
      </c>
      <c r="J244" s="515">
        <f>I7</f>
        <v>50</v>
      </c>
      <c r="K244" s="515">
        <f t="shared" ref="K244:M244" si="117">J7</f>
        <v>-5.3</v>
      </c>
      <c r="L244" s="515">
        <f t="shared" si="117"/>
        <v>-7.2</v>
      </c>
      <c r="M244" s="515">
        <f t="shared" si="117"/>
        <v>0.95000000000000018</v>
      </c>
      <c r="N244" s="460"/>
      <c r="O244" s="514">
        <v>18</v>
      </c>
    </row>
    <row r="245" spans="1:16" ht="13" x14ac:dyDescent="0.3">
      <c r="A245" s="1485"/>
      <c r="B245" s="570">
        <v>2</v>
      </c>
      <c r="C245" s="515">
        <f>C18</f>
        <v>25</v>
      </c>
      <c r="D245" s="515">
        <f>E18</f>
        <v>-0.2</v>
      </c>
      <c r="E245" s="515" t="e">
        <f>#REF!</f>
        <v>#REF!</v>
      </c>
      <c r="F245" s="515">
        <f t="shared" ref="F245" si="118">F18</f>
        <v>0</v>
      </c>
      <c r="G245" s="460"/>
      <c r="H245" s="1483"/>
      <c r="I245" s="570">
        <v>2</v>
      </c>
      <c r="J245" s="515">
        <f>I18</f>
        <v>50</v>
      </c>
      <c r="K245" s="515">
        <f>K18</f>
        <v>-1.5</v>
      </c>
      <c r="L245" s="515" t="e">
        <f>#REF!</f>
        <v>#REF!</v>
      </c>
      <c r="M245" s="515">
        <f t="shared" ref="M245" si="119">L18</f>
        <v>0</v>
      </c>
      <c r="N245" s="460"/>
      <c r="O245" s="607">
        <v>19</v>
      </c>
    </row>
    <row r="246" spans="1:16" ht="13" x14ac:dyDescent="0.3">
      <c r="A246" s="1485"/>
      <c r="B246" s="570">
        <v>3</v>
      </c>
      <c r="C246" s="515">
        <f>C29</f>
        <v>25</v>
      </c>
      <c r="D246" s="515">
        <f>E29</f>
        <v>-0.1</v>
      </c>
      <c r="E246" s="515" t="e">
        <f>#REF!</f>
        <v>#REF!</v>
      </c>
      <c r="F246" s="515">
        <f t="shared" ref="F246" si="120">F29</f>
        <v>0</v>
      </c>
      <c r="G246" s="460"/>
      <c r="H246" s="1483"/>
      <c r="I246" s="570">
        <v>3</v>
      </c>
      <c r="J246" s="515">
        <f>I29</f>
        <v>50</v>
      </c>
      <c r="K246" s="515">
        <f>K29</f>
        <v>-4.9000000000000004</v>
      </c>
      <c r="L246" s="515" t="e">
        <f>#REF!</f>
        <v>#REF!</v>
      </c>
      <c r="M246" s="515">
        <f t="shared" ref="M246" si="121">L29</f>
        <v>0</v>
      </c>
      <c r="N246" s="460"/>
      <c r="O246" s="460"/>
      <c r="P246" s="460"/>
    </row>
    <row r="247" spans="1:16" ht="13" x14ac:dyDescent="0.3">
      <c r="A247" s="1485"/>
      <c r="B247" s="570">
        <v>4</v>
      </c>
      <c r="C247" s="515">
        <f>C40</f>
        <v>25</v>
      </c>
      <c r="D247" s="515">
        <f>E40</f>
        <v>-0.5</v>
      </c>
      <c r="E247" s="515" t="e">
        <f>#REF!</f>
        <v>#REF!</v>
      </c>
      <c r="F247" s="515">
        <f t="shared" ref="F247" si="122">F40</f>
        <v>0</v>
      </c>
      <c r="G247" s="460"/>
      <c r="H247" s="1483"/>
      <c r="I247" s="570">
        <v>4</v>
      </c>
      <c r="J247" s="515">
        <f>I40</f>
        <v>50</v>
      </c>
      <c r="K247" s="515">
        <f>K40</f>
        <v>-1</v>
      </c>
      <c r="L247" s="515" t="e">
        <f>#REF!</f>
        <v>#REF!</v>
      </c>
      <c r="M247" s="515">
        <f t="shared" ref="M247" si="123">L40</f>
        <v>0</v>
      </c>
      <c r="N247" s="460"/>
      <c r="O247" s="460"/>
      <c r="P247" s="460"/>
    </row>
    <row r="248" spans="1:16" ht="13" x14ac:dyDescent="0.3">
      <c r="A248" s="1485"/>
      <c r="B248" s="570">
        <v>5</v>
      </c>
      <c r="C248" s="515">
        <f>C51</f>
        <v>25</v>
      </c>
      <c r="D248" s="515">
        <f t="shared" ref="D248:F248" si="124">D51</f>
        <v>0.4</v>
      </c>
      <c r="E248" s="515">
        <f t="shared" si="124"/>
        <v>0.2</v>
      </c>
      <c r="F248" s="515">
        <f t="shared" si="124"/>
        <v>0.1</v>
      </c>
      <c r="G248" s="460"/>
      <c r="H248" s="1483"/>
      <c r="I248" s="570">
        <v>5</v>
      </c>
      <c r="J248" s="515">
        <f>I51</f>
        <v>50</v>
      </c>
      <c r="K248" s="515">
        <f t="shared" ref="K248:M248" si="125">J51</f>
        <v>-6.2</v>
      </c>
      <c r="L248" s="515">
        <f t="shared" si="125"/>
        <v>-6.2</v>
      </c>
      <c r="M248" s="515">
        <f t="shared" si="125"/>
        <v>0</v>
      </c>
      <c r="N248" s="460"/>
      <c r="O248" s="460"/>
      <c r="P248" s="460"/>
    </row>
    <row r="249" spans="1:16" ht="13" x14ac:dyDescent="0.3">
      <c r="A249" s="1485"/>
      <c r="B249" s="570">
        <v>6</v>
      </c>
      <c r="C249" s="515">
        <f>C62</f>
        <v>25</v>
      </c>
      <c r="D249" s="515">
        <f t="shared" ref="D249:F249" si="126">D62</f>
        <v>0.2</v>
      </c>
      <c r="E249" s="515">
        <f t="shared" si="126"/>
        <v>-0.1</v>
      </c>
      <c r="F249" s="515">
        <f t="shared" si="126"/>
        <v>0.15000000000000002</v>
      </c>
      <c r="G249" s="460"/>
      <c r="H249" s="1483"/>
      <c r="I249" s="570">
        <v>6</v>
      </c>
      <c r="J249" s="515">
        <f>I62</f>
        <v>50</v>
      </c>
      <c r="K249" s="515">
        <f t="shared" ref="K249:M249" si="127">J62</f>
        <v>-5.4</v>
      </c>
      <c r="L249" s="515">
        <f t="shared" si="127"/>
        <v>-2.5</v>
      </c>
      <c r="M249" s="515">
        <f t="shared" si="127"/>
        <v>1.4500000000000002</v>
      </c>
      <c r="N249" s="460"/>
      <c r="O249" s="460"/>
      <c r="P249" s="460"/>
    </row>
    <row r="250" spans="1:16" ht="13" x14ac:dyDescent="0.3">
      <c r="A250" s="1485"/>
      <c r="B250" s="570">
        <v>7</v>
      </c>
      <c r="C250" s="515">
        <f>C73</f>
        <v>25</v>
      </c>
      <c r="D250" s="515">
        <f>E73</f>
        <v>-0.2</v>
      </c>
      <c r="E250" s="515" t="e">
        <f>#REF!</f>
        <v>#REF!</v>
      </c>
      <c r="F250" s="515">
        <f t="shared" ref="F250" si="128">F73</f>
        <v>0</v>
      </c>
      <c r="G250" s="460"/>
      <c r="H250" s="1483"/>
      <c r="I250" s="570">
        <v>7</v>
      </c>
      <c r="J250" s="515">
        <f>I73</f>
        <v>50</v>
      </c>
      <c r="K250" s="515">
        <f>K73</f>
        <v>0.8</v>
      </c>
      <c r="L250" s="515" t="e">
        <f>#REF!</f>
        <v>#REF!</v>
      </c>
      <c r="M250" s="515">
        <f t="shared" ref="M250" si="129">L73</f>
        <v>0</v>
      </c>
      <c r="N250" s="460"/>
      <c r="O250" s="460"/>
      <c r="P250" s="460"/>
    </row>
    <row r="251" spans="1:16" ht="13" x14ac:dyDescent="0.3">
      <c r="A251" s="1485"/>
      <c r="B251" s="570">
        <v>8</v>
      </c>
      <c r="C251" s="515">
        <f>C84</f>
        <v>25</v>
      </c>
      <c r="D251" s="515">
        <f>E84</f>
        <v>-0.4</v>
      </c>
      <c r="E251" s="515" t="e">
        <f>#REF!</f>
        <v>#REF!</v>
      </c>
      <c r="F251" s="515">
        <f t="shared" ref="F251" si="130">F84</f>
        <v>0</v>
      </c>
      <c r="G251" s="460"/>
      <c r="H251" s="1483"/>
      <c r="I251" s="570">
        <v>8</v>
      </c>
      <c r="J251" s="515">
        <f>I84</f>
        <v>50</v>
      </c>
      <c r="K251" s="515">
        <f>K84</f>
        <v>-1.2</v>
      </c>
      <c r="L251" s="515" t="e">
        <f>#REF!</f>
        <v>#REF!</v>
      </c>
      <c r="M251" s="515">
        <f t="shared" ref="M251" si="131">L84</f>
        <v>0</v>
      </c>
      <c r="N251" s="460"/>
      <c r="O251" s="460"/>
      <c r="P251" s="460"/>
    </row>
    <row r="252" spans="1:16" ht="13" x14ac:dyDescent="0.3">
      <c r="A252" s="1485"/>
      <c r="B252" s="570">
        <v>9</v>
      </c>
      <c r="C252" s="515">
        <f>C95</f>
        <v>25</v>
      </c>
      <c r="D252" s="515">
        <f t="shared" ref="D252:F252" si="132">D95</f>
        <v>-0.4</v>
      </c>
      <c r="E252" s="515" t="str">
        <f t="shared" si="132"/>
        <v>-</v>
      </c>
      <c r="F252" s="515">
        <f t="shared" si="132"/>
        <v>0</v>
      </c>
      <c r="G252" s="460"/>
      <c r="H252" s="1483"/>
      <c r="I252" s="570">
        <v>9</v>
      </c>
      <c r="J252" s="515">
        <f>I95</f>
        <v>50</v>
      </c>
      <c r="K252" s="515">
        <f t="shared" ref="K252:M252" si="133">J95</f>
        <v>-0.9</v>
      </c>
      <c r="L252" s="515" t="str">
        <f t="shared" si="133"/>
        <v>-</v>
      </c>
      <c r="M252" s="515">
        <f t="shared" si="133"/>
        <v>0</v>
      </c>
      <c r="N252" s="460"/>
      <c r="O252" s="460"/>
      <c r="P252" s="460"/>
    </row>
    <row r="253" spans="1:16" ht="13" x14ac:dyDescent="0.3">
      <c r="A253" s="1485"/>
      <c r="B253" s="570">
        <v>10</v>
      </c>
      <c r="C253" s="515">
        <f>C106</f>
        <v>25</v>
      </c>
      <c r="D253" s="515">
        <f t="shared" ref="D253:F253" si="134">D106</f>
        <v>0.1</v>
      </c>
      <c r="E253" s="515">
        <f t="shared" si="134"/>
        <v>-0.5</v>
      </c>
      <c r="F253" s="515">
        <f t="shared" si="134"/>
        <v>0.3</v>
      </c>
      <c r="G253" s="460"/>
      <c r="H253" s="1483"/>
      <c r="I253" s="570">
        <v>10</v>
      </c>
      <c r="J253" s="515">
        <f>I106</f>
        <v>50</v>
      </c>
      <c r="K253" s="515">
        <f t="shared" ref="K253:M253" si="135">J106</f>
        <v>-3.1</v>
      </c>
      <c r="L253" s="515">
        <f t="shared" si="135"/>
        <v>-6.1</v>
      </c>
      <c r="M253" s="515">
        <f t="shared" si="135"/>
        <v>1.4999999999999998</v>
      </c>
      <c r="N253" s="460"/>
      <c r="O253" s="460"/>
      <c r="P253" s="460"/>
    </row>
    <row r="254" spans="1:16" ht="13" x14ac:dyDescent="0.3">
      <c r="A254" s="1485"/>
      <c r="B254" s="570">
        <v>11</v>
      </c>
      <c r="C254" s="515">
        <f>C117</f>
        <v>25</v>
      </c>
      <c r="D254" s="515">
        <f t="shared" ref="D254:F254" si="136">D117</f>
        <v>0.4</v>
      </c>
      <c r="E254" s="515" t="str">
        <f t="shared" si="136"/>
        <v>-</v>
      </c>
      <c r="F254" s="515">
        <f t="shared" si="136"/>
        <v>0</v>
      </c>
      <c r="G254" s="460"/>
      <c r="H254" s="1483"/>
      <c r="I254" s="570">
        <v>11</v>
      </c>
      <c r="J254" s="515">
        <f>I117</f>
        <v>50</v>
      </c>
      <c r="K254" s="515">
        <f t="shared" ref="K254:M254" si="137">J117</f>
        <v>-5.5</v>
      </c>
      <c r="L254" s="515" t="str">
        <f t="shared" si="137"/>
        <v>-</v>
      </c>
      <c r="M254" s="515">
        <f t="shared" si="137"/>
        <v>0</v>
      </c>
      <c r="N254" s="460"/>
      <c r="O254" s="460"/>
      <c r="P254" s="460"/>
    </row>
    <row r="255" spans="1:16" ht="13" x14ac:dyDescent="0.3">
      <c r="A255" s="1485"/>
      <c r="B255" s="570">
        <v>12</v>
      </c>
      <c r="C255" s="515">
        <f>C128</f>
        <v>25</v>
      </c>
      <c r="D255" s="515">
        <f t="shared" ref="D255:F255" si="138">D128</f>
        <v>-0.4</v>
      </c>
      <c r="E255" s="515" t="str">
        <f t="shared" si="138"/>
        <v>-</v>
      </c>
      <c r="F255" s="515">
        <f t="shared" si="138"/>
        <v>0</v>
      </c>
      <c r="G255" s="460"/>
      <c r="H255" s="1483"/>
      <c r="I255" s="570">
        <v>12</v>
      </c>
      <c r="J255" s="515">
        <f>I128</f>
        <v>50</v>
      </c>
      <c r="K255" s="515">
        <f t="shared" ref="K255:M255" si="139">J128</f>
        <v>-0.3</v>
      </c>
      <c r="L255" s="515" t="str">
        <f t="shared" si="139"/>
        <v>-</v>
      </c>
      <c r="M255" s="515">
        <f t="shared" si="139"/>
        <v>0</v>
      </c>
      <c r="N255" s="460"/>
      <c r="O255" s="460"/>
      <c r="P255" s="460"/>
    </row>
    <row r="256" spans="1:16" ht="13" x14ac:dyDescent="0.3">
      <c r="A256" s="1485"/>
      <c r="B256" s="570">
        <v>13</v>
      </c>
      <c r="C256" s="515">
        <f>C139</f>
        <v>25</v>
      </c>
      <c r="D256" s="515">
        <f t="shared" ref="D256:F256" si="140">D139</f>
        <v>-0.1</v>
      </c>
      <c r="E256" s="515" t="str">
        <f t="shared" si="140"/>
        <v>-</v>
      </c>
      <c r="F256" s="515">
        <f t="shared" si="140"/>
        <v>0</v>
      </c>
      <c r="G256" s="460"/>
      <c r="H256" s="1483"/>
      <c r="I256" s="570">
        <v>13</v>
      </c>
      <c r="J256" s="515">
        <f>I139</f>
        <v>50</v>
      </c>
      <c r="K256" s="515">
        <f t="shared" ref="K256:M256" si="141">J139</f>
        <v>-0.2</v>
      </c>
      <c r="L256" s="515" t="str">
        <f t="shared" si="141"/>
        <v>-</v>
      </c>
      <c r="M256" s="515">
        <f t="shared" si="141"/>
        <v>0</v>
      </c>
      <c r="N256" s="460"/>
      <c r="O256" s="460"/>
      <c r="P256" s="460"/>
    </row>
    <row r="257" spans="1:16" ht="13" x14ac:dyDescent="0.3">
      <c r="A257" s="1485"/>
      <c r="B257" s="570">
        <v>14</v>
      </c>
      <c r="C257" s="515">
        <f>C150</f>
        <v>25</v>
      </c>
      <c r="D257" s="515">
        <f t="shared" ref="D257:F257" si="142">D150</f>
        <v>-0.2</v>
      </c>
      <c r="E257" s="515" t="str">
        <f t="shared" si="142"/>
        <v>-</v>
      </c>
      <c r="F257" s="515">
        <f t="shared" si="142"/>
        <v>0</v>
      </c>
      <c r="G257" s="460"/>
      <c r="H257" s="1483"/>
      <c r="I257" s="570">
        <v>14</v>
      </c>
      <c r="J257" s="515">
        <f>I150</f>
        <v>50</v>
      </c>
      <c r="K257" s="515">
        <f t="shared" ref="K257:M257" si="143">J150</f>
        <v>-1.3</v>
      </c>
      <c r="L257" s="515" t="str">
        <f t="shared" si="143"/>
        <v>-</v>
      </c>
      <c r="M257" s="515">
        <f t="shared" si="143"/>
        <v>0</v>
      </c>
      <c r="N257" s="460"/>
      <c r="O257" s="460"/>
      <c r="P257" s="460"/>
    </row>
    <row r="258" spans="1:16" ht="13" x14ac:dyDescent="0.3">
      <c r="A258" s="1485"/>
      <c r="B258" s="570">
        <v>15</v>
      </c>
      <c r="C258" s="515">
        <f>C161</f>
        <v>25</v>
      </c>
      <c r="D258" s="515">
        <f t="shared" ref="D258:F258" si="144">D161</f>
        <v>9.9999999999999995E-7</v>
      </c>
      <c r="E258" s="515" t="str">
        <f t="shared" si="144"/>
        <v>-</v>
      </c>
      <c r="F258" s="515">
        <f t="shared" si="144"/>
        <v>0</v>
      </c>
      <c r="G258" s="460"/>
      <c r="H258" s="1483"/>
      <c r="I258" s="570">
        <v>15</v>
      </c>
      <c r="J258" s="515">
        <f>I161</f>
        <v>50</v>
      </c>
      <c r="K258" s="515">
        <f t="shared" ref="K258:M258" si="145">J161</f>
        <v>0.2</v>
      </c>
      <c r="L258" s="515" t="str">
        <f t="shared" si="145"/>
        <v>-</v>
      </c>
      <c r="M258" s="515">
        <f t="shared" si="145"/>
        <v>0</v>
      </c>
      <c r="N258" s="460"/>
      <c r="O258" s="460"/>
      <c r="P258" s="460"/>
    </row>
    <row r="259" spans="1:16" ht="13" x14ac:dyDescent="0.3">
      <c r="A259" s="1485"/>
      <c r="B259" s="570">
        <v>16</v>
      </c>
      <c r="C259" s="515">
        <f>C172</f>
        <v>25</v>
      </c>
      <c r="D259" s="515">
        <f t="shared" ref="D259:F259" si="146">D172</f>
        <v>0.2</v>
      </c>
      <c r="E259" s="515" t="str">
        <f t="shared" si="146"/>
        <v>-</v>
      </c>
      <c r="F259" s="515">
        <f t="shared" si="146"/>
        <v>0</v>
      </c>
      <c r="G259" s="460"/>
      <c r="H259" s="1483"/>
      <c r="I259" s="570">
        <v>16</v>
      </c>
      <c r="J259" s="515">
        <f>I172</f>
        <v>50</v>
      </c>
      <c r="K259" s="515">
        <f t="shared" ref="K259:M259" si="147">J172</f>
        <v>-1.4</v>
      </c>
      <c r="L259" s="515" t="str">
        <f t="shared" si="147"/>
        <v>-</v>
      </c>
      <c r="M259" s="515">
        <f t="shared" si="147"/>
        <v>0</v>
      </c>
      <c r="N259" s="460"/>
      <c r="O259" s="460"/>
      <c r="P259" s="460"/>
    </row>
    <row r="260" spans="1:16" ht="13" x14ac:dyDescent="0.3">
      <c r="A260" s="1485"/>
      <c r="B260" s="570">
        <v>17</v>
      </c>
      <c r="C260" s="515">
        <f>C183</f>
        <v>25</v>
      </c>
      <c r="D260" s="515">
        <f t="shared" ref="D260:F260" si="148">D183</f>
        <v>-0.2</v>
      </c>
      <c r="E260" s="515" t="str">
        <f t="shared" si="148"/>
        <v>-</v>
      </c>
      <c r="F260" s="515">
        <f t="shared" si="148"/>
        <v>0</v>
      </c>
      <c r="G260" s="460"/>
      <c r="H260" s="1483"/>
      <c r="I260" s="570">
        <v>17</v>
      </c>
      <c r="J260" s="515">
        <f>I183</f>
        <v>50</v>
      </c>
      <c r="K260" s="515">
        <f t="shared" ref="K260:M260" si="149">J183</f>
        <v>-0.2</v>
      </c>
      <c r="L260" s="515" t="str">
        <f t="shared" si="149"/>
        <v>-</v>
      </c>
      <c r="M260" s="515">
        <f t="shared" si="149"/>
        <v>0</v>
      </c>
      <c r="N260" s="460"/>
      <c r="O260" s="460"/>
      <c r="P260" s="460"/>
    </row>
    <row r="261" spans="1:16" ht="13" x14ac:dyDescent="0.3">
      <c r="A261" s="1485"/>
      <c r="B261" s="570">
        <v>18</v>
      </c>
      <c r="C261" s="515">
        <f>C194</f>
        <v>25</v>
      </c>
      <c r="D261" s="515">
        <f>E194</f>
        <v>9.9999999999999995E-7</v>
      </c>
      <c r="E261" s="515" t="e">
        <f>#REF!</f>
        <v>#REF!</v>
      </c>
      <c r="F261" s="515">
        <f t="shared" ref="F261" si="150">F194</f>
        <v>0</v>
      </c>
      <c r="G261" s="460"/>
      <c r="H261" s="1483"/>
      <c r="I261" s="570">
        <v>18</v>
      </c>
      <c r="J261" s="515">
        <f>I194</f>
        <v>50</v>
      </c>
      <c r="K261" s="515">
        <f>K194</f>
        <v>9.9999999999999995E-7</v>
      </c>
      <c r="L261" s="515" t="e">
        <f>#REF!</f>
        <v>#REF!</v>
      </c>
      <c r="M261" s="515">
        <f t="shared" ref="M261" si="151">L194</f>
        <v>0</v>
      </c>
      <c r="N261" s="460"/>
      <c r="O261" s="460"/>
      <c r="P261" s="460"/>
    </row>
    <row r="262" spans="1:16" ht="13" x14ac:dyDescent="0.3">
      <c r="A262" s="1485"/>
      <c r="B262" s="599">
        <v>19</v>
      </c>
      <c r="C262" s="603">
        <f>S7</f>
        <v>25</v>
      </c>
      <c r="D262" s="603">
        <f t="shared" ref="D262:F262" si="152">T7</f>
        <v>-0.2</v>
      </c>
      <c r="E262" s="603">
        <f t="shared" si="152"/>
        <v>0</v>
      </c>
      <c r="F262" s="603">
        <f t="shared" si="152"/>
        <v>0.1</v>
      </c>
      <c r="G262" s="460"/>
      <c r="H262" s="1483"/>
      <c r="I262" s="604">
        <v>19</v>
      </c>
      <c r="J262" s="603">
        <f>Y7</f>
        <v>50</v>
      </c>
      <c r="K262" s="603">
        <f t="shared" ref="K262:M262" si="153">Z7</f>
        <v>-0.2</v>
      </c>
      <c r="L262" s="603">
        <f t="shared" si="153"/>
        <v>-0.2</v>
      </c>
      <c r="M262" s="603">
        <f t="shared" si="153"/>
        <v>0</v>
      </c>
      <c r="N262" s="460"/>
      <c r="O262" s="460"/>
      <c r="P262" s="460"/>
    </row>
    <row r="263" spans="1:16" ht="13" x14ac:dyDescent="0.3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60"/>
      <c r="O263" s="460"/>
      <c r="P263" s="460"/>
    </row>
    <row r="264" spans="1:16" ht="13" x14ac:dyDescent="0.3">
      <c r="A264" s="1484" t="s">
        <v>280</v>
      </c>
      <c r="B264" s="570">
        <v>1</v>
      </c>
      <c r="C264" s="515">
        <f>C8</f>
        <v>30</v>
      </c>
      <c r="D264" s="515">
        <f t="shared" ref="D264:F264" si="154">D8</f>
        <v>9.9999999999999995E-7</v>
      </c>
      <c r="E264" s="515">
        <f t="shared" si="154"/>
        <v>-0.2</v>
      </c>
      <c r="F264" s="515">
        <f t="shared" si="154"/>
        <v>0.10000050000000001</v>
      </c>
      <c r="G264" s="460"/>
      <c r="H264" s="1482" t="s">
        <v>280</v>
      </c>
      <c r="I264" s="570">
        <v>1</v>
      </c>
      <c r="J264" s="515">
        <f>I8</f>
        <v>60</v>
      </c>
      <c r="K264" s="515">
        <f t="shared" ref="K264:M264" si="155">J8</f>
        <v>-4.4000000000000004</v>
      </c>
      <c r="L264" s="515">
        <f t="shared" si="155"/>
        <v>-5.2</v>
      </c>
      <c r="M264" s="515">
        <f t="shared" si="155"/>
        <v>0.39999999999999991</v>
      </c>
      <c r="N264" s="460"/>
      <c r="O264" s="460"/>
      <c r="P264" s="460"/>
    </row>
    <row r="265" spans="1:16" ht="13" x14ac:dyDescent="0.3">
      <c r="A265" s="1485"/>
      <c r="B265" s="570">
        <v>2</v>
      </c>
      <c r="C265" s="515">
        <f>C19</f>
        <v>30</v>
      </c>
      <c r="D265" s="515">
        <f>E19</f>
        <v>-0.3</v>
      </c>
      <c r="E265" s="515" t="e">
        <f>#REF!</f>
        <v>#REF!</v>
      </c>
      <c r="F265" s="515">
        <f t="shared" ref="F265" si="156">F19</f>
        <v>0</v>
      </c>
      <c r="G265" s="460"/>
      <c r="H265" s="1483"/>
      <c r="I265" s="570">
        <v>2</v>
      </c>
      <c r="J265" s="515">
        <f>I19</f>
        <v>60</v>
      </c>
      <c r="K265" s="515">
        <f>K19</f>
        <v>-1.3</v>
      </c>
      <c r="L265" s="515" t="e">
        <f>#REF!</f>
        <v>#REF!</v>
      </c>
      <c r="M265" s="515">
        <f t="shared" ref="M265" si="157">L19</f>
        <v>0</v>
      </c>
      <c r="N265" s="460"/>
      <c r="O265" s="460"/>
      <c r="P265" s="460"/>
    </row>
    <row r="266" spans="1:16" ht="13" x14ac:dyDescent="0.3">
      <c r="A266" s="1485"/>
      <c r="B266" s="570">
        <v>3</v>
      </c>
      <c r="C266" s="515">
        <f>C30</f>
        <v>30</v>
      </c>
      <c r="D266" s="515">
        <f>E30</f>
        <v>-0.3</v>
      </c>
      <c r="E266" s="515" t="e">
        <f>#REF!</f>
        <v>#REF!</v>
      </c>
      <c r="F266" s="515">
        <f t="shared" ref="F266" si="158">F30</f>
        <v>0</v>
      </c>
      <c r="G266" s="460"/>
      <c r="H266" s="1483"/>
      <c r="I266" s="570">
        <v>3</v>
      </c>
      <c r="J266" s="515">
        <f>I30</f>
        <v>60</v>
      </c>
      <c r="K266" s="515">
        <f>K30</f>
        <v>-4.3</v>
      </c>
      <c r="L266" s="515" t="e">
        <f>#REF!</f>
        <v>#REF!</v>
      </c>
      <c r="M266" s="515">
        <f t="shared" ref="M266" si="159">L30</f>
        <v>0</v>
      </c>
      <c r="N266" s="460"/>
      <c r="O266" s="460"/>
      <c r="P266" s="460"/>
    </row>
    <row r="267" spans="1:16" ht="13" x14ac:dyDescent="0.3">
      <c r="A267" s="1485"/>
      <c r="B267" s="570">
        <v>4</v>
      </c>
      <c r="C267" s="515">
        <f>C41</f>
        <v>30</v>
      </c>
      <c r="D267" s="515">
        <f>E41</f>
        <v>-0.6</v>
      </c>
      <c r="E267" s="515" t="e">
        <f>#REF!</f>
        <v>#REF!</v>
      </c>
      <c r="F267" s="515">
        <f t="shared" ref="F267" si="160">F41</f>
        <v>0</v>
      </c>
      <c r="G267" s="460"/>
      <c r="H267" s="1483"/>
      <c r="I267" s="570">
        <v>4</v>
      </c>
      <c r="J267" s="515">
        <f>I41</f>
        <v>60</v>
      </c>
      <c r="K267" s="515">
        <f>K41</f>
        <v>-0.3</v>
      </c>
      <c r="L267" s="515" t="e">
        <f>#REF!</f>
        <v>#REF!</v>
      </c>
      <c r="M267" s="515">
        <f t="shared" ref="M267" si="161">L41</f>
        <v>0</v>
      </c>
      <c r="N267" s="460"/>
      <c r="O267" s="460"/>
      <c r="P267" s="460"/>
    </row>
    <row r="268" spans="1:16" ht="13" x14ac:dyDescent="0.3">
      <c r="A268" s="1485"/>
      <c r="B268" s="570">
        <v>5</v>
      </c>
      <c r="C268" s="515">
        <f>C52</f>
        <v>30</v>
      </c>
      <c r="D268" s="515">
        <f t="shared" ref="D268:F268" si="162">D52</f>
        <v>0.6</v>
      </c>
      <c r="E268" s="515">
        <f t="shared" si="162"/>
        <v>0.1</v>
      </c>
      <c r="F268" s="515">
        <f t="shared" si="162"/>
        <v>0.25</v>
      </c>
      <c r="G268" s="460"/>
      <c r="H268" s="1483"/>
      <c r="I268" s="570">
        <v>5</v>
      </c>
      <c r="J268" s="515">
        <f>I52</f>
        <v>60</v>
      </c>
      <c r="K268" s="515">
        <f t="shared" ref="K268:M268" si="163">J52</f>
        <v>-5.2</v>
      </c>
      <c r="L268" s="515">
        <f t="shared" si="163"/>
        <v>-4.2</v>
      </c>
      <c r="M268" s="515">
        <f t="shared" si="163"/>
        <v>0.5</v>
      </c>
      <c r="N268" s="460"/>
      <c r="O268" s="460"/>
      <c r="P268" s="460"/>
    </row>
    <row r="269" spans="1:16" ht="13" x14ac:dyDescent="0.3">
      <c r="A269" s="1485"/>
      <c r="B269" s="570">
        <v>6</v>
      </c>
      <c r="C269" s="515">
        <f>C63</f>
        <v>30</v>
      </c>
      <c r="D269" s="515">
        <f t="shared" ref="D269:F269" si="164">D63</f>
        <v>0.1</v>
      </c>
      <c r="E269" s="515">
        <f t="shared" si="164"/>
        <v>-0.5</v>
      </c>
      <c r="F269" s="515">
        <f t="shared" si="164"/>
        <v>0.3</v>
      </c>
      <c r="G269" s="460"/>
      <c r="H269" s="1483"/>
      <c r="I269" s="570">
        <v>6</v>
      </c>
      <c r="J269" s="515">
        <f>I63</f>
        <v>60</v>
      </c>
      <c r="K269" s="515">
        <f t="shared" ref="K269:M269" si="165">J63</f>
        <v>-6.4</v>
      </c>
      <c r="L269" s="515">
        <f t="shared" si="165"/>
        <v>-2</v>
      </c>
      <c r="M269" s="515">
        <f t="shared" si="165"/>
        <v>2.2000000000000002</v>
      </c>
      <c r="N269" s="460"/>
      <c r="O269" s="460"/>
      <c r="P269" s="460"/>
    </row>
    <row r="270" spans="1:16" ht="13" x14ac:dyDescent="0.3">
      <c r="A270" s="1485"/>
      <c r="B270" s="570">
        <v>7</v>
      </c>
      <c r="C270" s="515">
        <f>C74</f>
        <v>30</v>
      </c>
      <c r="D270" s="515">
        <f>E74</f>
        <v>-0.6</v>
      </c>
      <c r="E270" s="515" t="e">
        <f>#REF!</f>
        <v>#REF!</v>
      </c>
      <c r="F270" s="515">
        <f t="shared" ref="F270" si="166">F74</f>
        <v>0</v>
      </c>
      <c r="G270" s="460"/>
      <c r="H270" s="1483"/>
      <c r="I270" s="570">
        <v>7</v>
      </c>
      <c r="J270" s="515">
        <f>I74</f>
        <v>60</v>
      </c>
      <c r="K270" s="515">
        <f>K74</f>
        <v>0.7</v>
      </c>
      <c r="L270" s="515" t="e">
        <f>#REF!</f>
        <v>#REF!</v>
      </c>
      <c r="M270" s="515">
        <f t="shared" ref="M270" si="167">L74</f>
        <v>0</v>
      </c>
      <c r="N270" s="460"/>
      <c r="O270" s="460"/>
      <c r="P270" s="460"/>
    </row>
    <row r="271" spans="1:16" ht="13" x14ac:dyDescent="0.3">
      <c r="A271" s="1485"/>
      <c r="B271" s="570">
        <v>8</v>
      </c>
      <c r="C271" s="515">
        <f>C85</f>
        <v>30</v>
      </c>
      <c r="D271" s="515">
        <f>E85</f>
        <v>-0.4</v>
      </c>
      <c r="E271" s="515" t="e">
        <f>#REF!</f>
        <v>#REF!</v>
      </c>
      <c r="F271" s="515">
        <f t="shared" ref="F271" si="168">F85</f>
        <v>0</v>
      </c>
      <c r="G271" s="460"/>
      <c r="H271" s="1483"/>
      <c r="I271" s="570">
        <v>8</v>
      </c>
      <c r="J271" s="515">
        <f>I85</f>
        <v>60</v>
      </c>
      <c r="K271" s="515">
        <f>K85</f>
        <v>-1.1000000000000001</v>
      </c>
      <c r="L271" s="515" t="e">
        <f>#REF!</f>
        <v>#REF!</v>
      </c>
      <c r="M271" s="515">
        <f t="shared" ref="M271" si="169">L85</f>
        <v>0</v>
      </c>
      <c r="N271" s="460"/>
      <c r="O271" s="460"/>
      <c r="P271" s="460"/>
    </row>
    <row r="272" spans="1:16" ht="13" x14ac:dyDescent="0.3">
      <c r="A272" s="1485"/>
      <c r="B272" s="570">
        <v>9</v>
      </c>
      <c r="C272" s="515">
        <f>C96</f>
        <v>30</v>
      </c>
      <c r="D272" s="515">
        <f t="shared" ref="D272:F272" si="170">D96</f>
        <v>-0.5</v>
      </c>
      <c r="E272" s="515" t="str">
        <f t="shared" si="170"/>
        <v>-</v>
      </c>
      <c r="F272" s="515">
        <f t="shared" si="170"/>
        <v>0</v>
      </c>
      <c r="G272" s="460"/>
      <c r="H272" s="1483"/>
      <c r="I272" s="570">
        <v>9</v>
      </c>
      <c r="J272" s="515">
        <f>I96</f>
        <v>60</v>
      </c>
      <c r="K272" s="515">
        <f t="shared" ref="K272:M272" si="171">J96</f>
        <v>-0.8</v>
      </c>
      <c r="L272" s="515" t="str">
        <f t="shared" si="171"/>
        <v>-</v>
      </c>
      <c r="M272" s="515">
        <f t="shared" si="171"/>
        <v>0</v>
      </c>
      <c r="N272" s="460"/>
      <c r="O272" s="460"/>
      <c r="P272" s="460"/>
    </row>
    <row r="273" spans="1:16" ht="13" x14ac:dyDescent="0.3">
      <c r="A273" s="1485"/>
      <c r="B273" s="570">
        <v>10</v>
      </c>
      <c r="C273" s="515">
        <f>C107</f>
        <v>30</v>
      </c>
      <c r="D273" s="515">
        <f t="shared" ref="D273:F273" si="172">D107</f>
        <v>0.1</v>
      </c>
      <c r="E273" s="515">
        <f t="shared" si="172"/>
        <v>0.2</v>
      </c>
      <c r="F273" s="515">
        <f t="shared" si="172"/>
        <v>0.05</v>
      </c>
      <c r="G273" s="460"/>
      <c r="H273" s="1483"/>
      <c r="I273" s="570">
        <v>10</v>
      </c>
      <c r="J273" s="515">
        <f>I107</f>
        <v>60</v>
      </c>
      <c r="K273" s="515">
        <f t="shared" ref="K273:M273" si="173">J107</f>
        <v>-2.1</v>
      </c>
      <c r="L273" s="515">
        <f t="shared" si="173"/>
        <v>-5.6</v>
      </c>
      <c r="M273" s="515">
        <f t="shared" si="173"/>
        <v>1.7499999999999998</v>
      </c>
      <c r="N273" s="460"/>
      <c r="O273" s="460"/>
      <c r="P273" s="460"/>
    </row>
    <row r="274" spans="1:16" ht="13" x14ac:dyDescent="0.3">
      <c r="A274" s="1485"/>
      <c r="B274" s="570">
        <v>11</v>
      </c>
      <c r="C274" s="515">
        <f>C118</f>
        <v>30</v>
      </c>
      <c r="D274" s="515">
        <f t="shared" ref="D274:F274" si="174">D118</f>
        <v>0.5</v>
      </c>
      <c r="E274" s="515" t="str">
        <f t="shared" si="174"/>
        <v>-</v>
      </c>
      <c r="F274" s="515">
        <f t="shared" si="174"/>
        <v>0</v>
      </c>
      <c r="G274" s="460"/>
      <c r="H274" s="1483"/>
      <c r="I274" s="570">
        <v>11</v>
      </c>
      <c r="J274" s="515">
        <f>I118</f>
        <v>60</v>
      </c>
      <c r="K274" s="515">
        <f t="shared" ref="K274:M274" si="175">J118</f>
        <v>-4.8</v>
      </c>
      <c r="L274" s="515" t="str">
        <f t="shared" si="175"/>
        <v>-</v>
      </c>
      <c r="M274" s="515">
        <f t="shared" si="175"/>
        <v>0</v>
      </c>
      <c r="N274" s="460"/>
      <c r="O274" s="460"/>
      <c r="P274" s="460"/>
    </row>
    <row r="275" spans="1:16" ht="13" x14ac:dyDescent="0.3">
      <c r="A275" s="1485"/>
      <c r="B275" s="570">
        <v>12</v>
      </c>
      <c r="C275" s="515">
        <f>C129</f>
        <v>30</v>
      </c>
      <c r="D275" s="515">
        <f t="shared" ref="D275:F275" si="176">D129</f>
        <v>-0.2</v>
      </c>
      <c r="E275" s="515" t="str">
        <f t="shared" si="176"/>
        <v>-</v>
      </c>
      <c r="F275" s="515">
        <f t="shared" si="176"/>
        <v>0</v>
      </c>
      <c r="G275" s="460"/>
      <c r="H275" s="1483"/>
      <c r="I275" s="570">
        <v>12</v>
      </c>
      <c r="J275" s="515">
        <f>I129</f>
        <v>60</v>
      </c>
      <c r="K275" s="515">
        <f t="shared" ref="K275:M275" si="177">J129</f>
        <v>-0.5</v>
      </c>
      <c r="L275" s="515" t="str">
        <f t="shared" si="177"/>
        <v>-</v>
      </c>
      <c r="M275" s="515">
        <f t="shared" si="177"/>
        <v>0</v>
      </c>
      <c r="N275" s="460"/>
      <c r="O275" s="460"/>
      <c r="P275" s="460"/>
    </row>
    <row r="276" spans="1:16" ht="13" x14ac:dyDescent="0.3">
      <c r="A276" s="1485"/>
      <c r="B276" s="570">
        <v>13</v>
      </c>
      <c r="C276" s="515">
        <f>C140</f>
        <v>30</v>
      </c>
      <c r="D276" s="515">
        <f t="shared" ref="D276:F276" si="178">D140</f>
        <v>-0.3</v>
      </c>
      <c r="E276" s="515" t="str">
        <f t="shared" si="178"/>
        <v>-</v>
      </c>
      <c r="F276" s="515">
        <f t="shared" si="178"/>
        <v>0</v>
      </c>
      <c r="G276" s="460"/>
      <c r="H276" s="1483"/>
      <c r="I276" s="570">
        <v>13</v>
      </c>
      <c r="J276" s="515">
        <f>I140</f>
        <v>60</v>
      </c>
      <c r="K276" s="515">
        <f t="shared" ref="K276:M276" si="179">J140</f>
        <v>-0.6</v>
      </c>
      <c r="L276" s="515" t="str">
        <f t="shared" si="179"/>
        <v>-</v>
      </c>
      <c r="M276" s="515">
        <f t="shared" si="179"/>
        <v>0</v>
      </c>
      <c r="N276" s="460"/>
      <c r="O276" s="460"/>
      <c r="P276" s="460"/>
    </row>
    <row r="277" spans="1:16" ht="13" x14ac:dyDescent="0.3">
      <c r="A277" s="1485"/>
      <c r="B277" s="570">
        <v>14</v>
      </c>
      <c r="C277" s="515">
        <f>C151</f>
        <v>30</v>
      </c>
      <c r="D277" s="515">
        <f t="shared" ref="D277:F277" si="180">D151</f>
        <v>0.1</v>
      </c>
      <c r="E277" s="515" t="str">
        <f t="shared" si="180"/>
        <v>-</v>
      </c>
      <c r="F277" s="515">
        <f t="shared" si="180"/>
        <v>0</v>
      </c>
      <c r="G277" s="460"/>
      <c r="H277" s="1483"/>
      <c r="I277" s="570">
        <v>14</v>
      </c>
      <c r="J277" s="515">
        <f>I151</f>
        <v>60</v>
      </c>
      <c r="K277" s="515">
        <f t="shared" ref="K277:M277" si="181">J151</f>
        <v>-1.5</v>
      </c>
      <c r="L277" s="515" t="str">
        <f t="shared" si="181"/>
        <v>-</v>
      </c>
      <c r="M277" s="515">
        <f t="shared" si="181"/>
        <v>0</v>
      </c>
      <c r="N277" s="460"/>
      <c r="O277" s="460"/>
      <c r="P277" s="460"/>
    </row>
    <row r="278" spans="1:16" ht="13" x14ac:dyDescent="0.3">
      <c r="A278" s="1485"/>
      <c r="B278" s="570">
        <v>15</v>
      </c>
      <c r="C278" s="515">
        <f>C162</f>
        <v>30</v>
      </c>
      <c r="D278" s="515">
        <f t="shared" ref="D278:F278" si="182">D162</f>
        <v>-0.2</v>
      </c>
      <c r="E278" s="515" t="str">
        <f t="shared" si="182"/>
        <v>-</v>
      </c>
      <c r="F278" s="515">
        <f t="shared" si="182"/>
        <v>0</v>
      </c>
      <c r="G278" s="460"/>
      <c r="H278" s="1483"/>
      <c r="I278" s="570">
        <v>15</v>
      </c>
      <c r="J278" s="515">
        <f>I162</f>
        <v>60</v>
      </c>
      <c r="K278" s="515">
        <f t="shared" ref="K278:M278" si="183">J162</f>
        <v>9.9999999999999995E-7</v>
      </c>
      <c r="L278" s="515" t="str">
        <f t="shared" si="183"/>
        <v>-</v>
      </c>
      <c r="M278" s="515">
        <f t="shared" si="183"/>
        <v>0</v>
      </c>
      <c r="N278" s="460"/>
      <c r="O278" s="460"/>
      <c r="P278" s="460"/>
    </row>
    <row r="279" spans="1:16" ht="13" x14ac:dyDescent="0.3">
      <c r="A279" s="1485"/>
      <c r="B279" s="570">
        <v>16</v>
      </c>
      <c r="C279" s="515">
        <f>C173</f>
        <v>30</v>
      </c>
      <c r="D279" s="515">
        <f t="shared" ref="D279:F279" si="184">D173</f>
        <v>0.2</v>
      </c>
      <c r="E279" s="515" t="str">
        <f t="shared" si="184"/>
        <v>-</v>
      </c>
      <c r="F279" s="515">
        <f t="shared" si="184"/>
        <v>0</v>
      </c>
      <c r="G279" s="460"/>
      <c r="H279" s="1483"/>
      <c r="I279" s="570">
        <v>16</v>
      </c>
      <c r="J279" s="515">
        <f>I173</f>
        <v>60</v>
      </c>
      <c r="K279" s="515">
        <f t="shared" ref="K279:M279" si="185">J173</f>
        <v>-1.5</v>
      </c>
      <c r="L279" s="515" t="str">
        <f t="shared" si="185"/>
        <v>-</v>
      </c>
      <c r="M279" s="515">
        <f t="shared" si="185"/>
        <v>0</v>
      </c>
      <c r="N279" s="460"/>
      <c r="O279" s="460"/>
      <c r="P279" s="460"/>
    </row>
    <row r="280" spans="1:16" ht="13" x14ac:dyDescent="0.3">
      <c r="A280" s="1485"/>
      <c r="B280" s="570">
        <v>17</v>
      </c>
      <c r="C280" s="515">
        <f>C184</f>
        <v>30</v>
      </c>
      <c r="D280" s="515">
        <f t="shared" ref="D280:F280" si="186">D184</f>
        <v>-0.2</v>
      </c>
      <c r="E280" s="515" t="str">
        <f t="shared" si="186"/>
        <v>-</v>
      </c>
      <c r="F280" s="515">
        <f t="shared" si="186"/>
        <v>0</v>
      </c>
      <c r="G280" s="460"/>
      <c r="H280" s="1483"/>
      <c r="I280" s="570">
        <v>17</v>
      </c>
      <c r="J280" s="515">
        <f>I184</f>
        <v>60</v>
      </c>
      <c r="K280" s="515">
        <f t="shared" ref="K280:M280" si="187">J184</f>
        <v>-0.2</v>
      </c>
      <c r="L280" s="515" t="str">
        <f t="shared" si="187"/>
        <v>-</v>
      </c>
      <c r="M280" s="515">
        <f t="shared" si="187"/>
        <v>0</v>
      </c>
      <c r="N280" s="460"/>
      <c r="O280" s="460"/>
      <c r="P280" s="460"/>
    </row>
    <row r="281" spans="1:16" ht="13" x14ac:dyDescent="0.3">
      <c r="A281" s="1485"/>
      <c r="B281" s="570">
        <v>18</v>
      </c>
      <c r="C281" s="515">
        <f>C195</f>
        <v>30</v>
      </c>
      <c r="D281" s="515">
        <f>E195</f>
        <v>-0.1</v>
      </c>
      <c r="E281" s="515" t="e">
        <f>#REF!</f>
        <v>#REF!</v>
      </c>
      <c r="F281" s="515">
        <f t="shared" ref="F281" si="188">F195</f>
        <v>0</v>
      </c>
      <c r="G281" s="460"/>
      <c r="H281" s="1483"/>
      <c r="I281" s="570">
        <v>18</v>
      </c>
      <c r="J281" s="515">
        <f>I195</f>
        <v>60</v>
      </c>
      <c r="K281" s="515">
        <f>K195</f>
        <v>9.9999999999999995E-7</v>
      </c>
      <c r="L281" s="515" t="e">
        <f>#REF!</f>
        <v>#REF!</v>
      </c>
      <c r="M281" s="515">
        <f t="shared" ref="M281" si="189">L195</f>
        <v>0</v>
      </c>
      <c r="N281" s="460"/>
      <c r="O281" s="460"/>
      <c r="P281" s="460"/>
    </row>
    <row r="282" spans="1:16" ht="13" x14ac:dyDescent="0.3">
      <c r="A282" s="1485"/>
      <c r="B282" s="599">
        <v>19</v>
      </c>
      <c r="C282" s="603">
        <f>S8</f>
        <v>30</v>
      </c>
      <c r="D282" s="603">
        <f t="shared" ref="D282:F282" si="190">T8</f>
        <v>-0.2</v>
      </c>
      <c r="E282" s="603">
        <f t="shared" si="190"/>
        <v>-0.1</v>
      </c>
      <c r="F282" s="603">
        <f t="shared" si="190"/>
        <v>0.05</v>
      </c>
      <c r="G282" s="460"/>
      <c r="H282" s="1483"/>
      <c r="I282" s="604">
        <v>19</v>
      </c>
      <c r="J282" s="603">
        <f>Y8</f>
        <v>60</v>
      </c>
      <c r="K282" s="603">
        <f t="shared" ref="K282:M282" si="191">Z8</f>
        <v>-0.2</v>
      </c>
      <c r="L282" s="603">
        <f t="shared" si="191"/>
        <v>0.2</v>
      </c>
      <c r="M282" s="603">
        <f t="shared" si="191"/>
        <v>0.2</v>
      </c>
      <c r="N282" s="460"/>
      <c r="O282" s="460"/>
      <c r="P282" s="460"/>
    </row>
    <row r="283" spans="1:16" ht="13" x14ac:dyDescent="0.3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60"/>
      <c r="O283" s="460"/>
      <c r="P283" s="460"/>
    </row>
    <row r="284" spans="1:16" ht="13" x14ac:dyDescent="0.3">
      <c r="A284" s="1484" t="s">
        <v>393</v>
      </c>
      <c r="B284" s="570">
        <v>1</v>
      </c>
      <c r="C284" s="515">
        <f>C9</f>
        <v>35</v>
      </c>
      <c r="D284" s="515">
        <f t="shared" ref="D284:F284" si="192">D9</f>
        <v>-0.1</v>
      </c>
      <c r="E284" s="515">
        <f t="shared" si="192"/>
        <v>-0.5</v>
      </c>
      <c r="F284" s="515">
        <f t="shared" si="192"/>
        <v>0.2</v>
      </c>
      <c r="G284" s="460"/>
      <c r="H284" s="1482" t="s">
        <v>393</v>
      </c>
      <c r="I284" s="570">
        <v>1</v>
      </c>
      <c r="J284" s="515">
        <f>I20</f>
        <v>70</v>
      </c>
      <c r="K284" s="515">
        <f>K20</f>
        <v>-1.1000000000000001</v>
      </c>
      <c r="L284" s="515" t="e">
        <f>#REF!</f>
        <v>#REF!</v>
      </c>
      <c r="M284" s="515">
        <f t="shared" ref="M284" si="193">L20</f>
        <v>0</v>
      </c>
      <c r="N284" s="460"/>
      <c r="O284" s="460"/>
      <c r="P284" s="460"/>
    </row>
    <row r="285" spans="1:16" ht="13" x14ac:dyDescent="0.3">
      <c r="A285" s="1485"/>
      <c r="B285" s="570">
        <v>2</v>
      </c>
      <c r="C285" s="515">
        <f>C20</f>
        <v>35</v>
      </c>
      <c r="D285" s="515">
        <f>E20</f>
        <v>-0.3</v>
      </c>
      <c r="E285" s="515" t="e">
        <f>#REF!</f>
        <v>#REF!</v>
      </c>
      <c r="F285" s="515">
        <f t="shared" ref="F285" si="194">F20</f>
        <v>0</v>
      </c>
      <c r="G285" s="460"/>
      <c r="H285" s="1483"/>
      <c r="I285" s="570">
        <v>2</v>
      </c>
      <c r="J285" s="515">
        <f>I20</f>
        <v>70</v>
      </c>
      <c r="K285" s="515">
        <f>K20</f>
        <v>-1.1000000000000001</v>
      </c>
      <c r="L285" s="515" t="e">
        <f>#REF!</f>
        <v>#REF!</v>
      </c>
      <c r="M285" s="515">
        <f t="shared" ref="M285" si="195">L20</f>
        <v>0</v>
      </c>
      <c r="N285" s="460"/>
      <c r="O285" s="460"/>
      <c r="P285" s="460"/>
    </row>
    <row r="286" spans="1:16" ht="13" x14ac:dyDescent="0.3">
      <c r="A286" s="1485"/>
      <c r="B286" s="570">
        <v>3</v>
      </c>
      <c r="C286" s="515">
        <f>C31</f>
        <v>35</v>
      </c>
      <c r="D286" s="515">
        <f>E31</f>
        <v>-0.5</v>
      </c>
      <c r="E286" s="515" t="e">
        <f>#REF!</f>
        <v>#REF!</v>
      </c>
      <c r="F286" s="515">
        <f t="shared" ref="F286" si="196">F31</f>
        <v>0</v>
      </c>
      <c r="G286" s="460"/>
      <c r="H286" s="1483"/>
      <c r="I286" s="570">
        <v>3</v>
      </c>
      <c r="J286" s="515">
        <f>I31</f>
        <v>70</v>
      </c>
      <c r="K286" s="515">
        <f>K31</f>
        <v>-3.6</v>
      </c>
      <c r="L286" s="515" t="e">
        <f>#REF!</f>
        <v>#REF!</v>
      </c>
      <c r="M286" s="515">
        <f t="shared" ref="M286" si="197">L31</f>
        <v>0</v>
      </c>
      <c r="N286" s="460"/>
      <c r="O286" s="460"/>
      <c r="P286" s="460"/>
    </row>
    <row r="287" spans="1:16" ht="13" x14ac:dyDescent="0.3">
      <c r="A287" s="1485"/>
      <c r="B287" s="570">
        <v>4</v>
      </c>
      <c r="C287" s="515">
        <f>C42</f>
        <v>35</v>
      </c>
      <c r="D287" s="515">
        <f>E42</f>
        <v>-0.6</v>
      </c>
      <c r="E287" s="515" t="e">
        <f>#REF!</f>
        <v>#REF!</v>
      </c>
      <c r="F287" s="515">
        <f t="shared" ref="F287" si="198">F42</f>
        <v>0</v>
      </c>
      <c r="G287" s="460"/>
      <c r="H287" s="1483"/>
      <c r="I287" s="570">
        <v>4</v>
      </c>
      <c r="J287" s="515">
        <f>I42</f>
        <v>70</v>
      </c>
      <c r="K287" s="515">
        <f>K42</f>
        <v>0.7</v>
      </c>
      <c r="L287" s="515" t="e">
        <f>#REF!</f>
        <v>#REF!</v>
      </c>
      <c r="M287" s="515">
        <f t="shared" ref="M287" si="199">L42</f>
        <v>0</v>
      </c>
      <c r="N287" s="460"/>
      <c r="O287" s="460"/>
      <c r="P287" s="460"/>
    </row>
    <row r="288" spans="1:16" ht="13" x14ac:dyDescent="0.3">
      <c r="A288" s="1485"/>
      <c r="B288" s="570">
        <v>5</v>
      </c>
      <c r="C288" s="515">
        <f>C53</f>
        <v>35</v>
      </c>
      <c r="D288" s="515">
        <f t="shared" ref="D288:F288" si="200">D53</f>
        <v>0.7</v>
      </c>
      <c r="E288" s="515">
        <f t="shared" si="200"/>
        <v>9.9999999999999995E-7</v>
      </c>
      <c r="F288" s="515">
        <f t="shared" si="200"/>
        <v>0.34999949999999996</v>
      </c>
      <c r="G288" s="460"/>
      <c r="H288" s="1483"/>
      <c r="I288" s="570">
        <v>5</v>
      </c>
      <c r="J288" s="515">
        <f>I53</f>
        <v>70</v>
      </c>
      <c r="K288" s="515">
        <f t="shared" ref="K288:M288" si="201">J53</f>
        <v>-4.0999999999999996</v>
      </c>
      <c r="L288" s="515">
        <f t="shared" si="201"/>
        <v>-2.1</v>
      </c>
      <c r="M288" s="515">
        <f t="shared" si="201"/>
        <v>0.99999999999999978</v>
      </c>
      <c r="N288" s="460"/>
      <c r="O288" s="460"/>
      <c r="P288" s="460"/>
    </row>
    <row r="289" spans="1:16" ht="13" x14ac:dyDescent="0.3">
      <c r="A289" s="1485"/>
      <c r="B289" s="570">
        <v>6</v>
      </c>
      <c r="C289" s="515">
        <f>C64</f>
        <v>35</v>
      </c>
      <c r="D289" s="515">
        <f t="shared" ref="D289:F289" si="202">D64</f>
        <v>0.1</v>
      </c>
      <c r="E289" s="515">
        <f t="shared" si="202"/>
        <v>-0.9</v>
      </c>
      <c r="F289" s="515">
        <f t="shared" si="202"/>
        <v>0.5</v>
      </c>
      <c r="G289" s="460"/>
      <c r="H289" s="1483"/>
      <c r="I289" s="570">
        <v>6</v>
      </c>
      <c r="J289" s="515">
        <f>I64</f>
        <v>70</v>
      </c>
      <c r="K289" s="515">
        <f t="shared" ref="K289:M289" si="203">J64</f>
        <v>-6.7</v>
      </c>
      <c r="L289" s="515">
        <f t="shared" si="203"/>
        <v>-2.1</v>
      </c>
      <c r="M289" s="515">
        <f t="shared" si="203"/>
        <v>2.2999999999999998</v>
      </c>
      <c r="N289" s="460"/>
      <c r="O289" s="460"/>
      <c r="P289" s="460"/>
    </row>
    <row r="290" spans="1:16" ht="13" x14ac:dyDescent="0.3">
      <c r="A290" s="1485"/>
      <c r="B290" s="570">
        <v>7</v>
      </c>
      <c r="C290" s="515">
        <f>C75</f>
        <v>35</v>
      </c>
      <c r="D290" s="515">
        <f>E75</f>
        <v>-1.1000000000000001</v>
      </c>
      <c r="E290" s="515" t="e">
        <f>#REF!</f>
        <v>#REF!</v>
      </c>
      <c r="F290" s="515">
        <f t="shared" ref="F290" si="204">F75</f>
        <v>0</v>
      </c>
      <c r="G290" s="460"/>
      <c r="H290" s="1483"/>
      <c r="I290" s="570">
        <v>7</v>
      </c>
      <c r="J290" s="515">
        <f>I75</f>
        <v>70</v>
      </c>
      <c r="K290" s="515">
        <f>K75</f>
        <v>0.9</v>
      </c>
      <c r="L290" s="515" t="e">
        <f>#REF!</f>
        <v>#REF!</v>
      </c>
      <c r="M290" s="515">
        <f t="shared" ref="M290" si="205">L75</f>
        <v>0</v>
      </c>
      <c r="N290" s="460"/>
      <c r="O290" s="460"/>
      <c r="P290" s="460"/>
    </row>
    <row r="291" spans="1:16" ht="13" x14ac:dyDescent="0.3">
      <c r="A291" s="1485"/>
      <c r="B291" s="570">
        <v>8</v>
      </c>
      <c r="C291" s="515">
        <f>C86</f>
        <v>35</v>
      </c>
      <c r="D291" s="515">
        <f>E86</f>
        <v>-0.5</v>
      </c>
      <c r="E291" s="515" t="e">
        <f>#REF!</f>
        <v>#REF!</v>
      </c>
      <c r="F291" s="515">
        <f t="shared" ref="F291" si="206">F86</f>
        <v>0</v>
      </c>
      <c r="G291" s="460"/>
      <c r="H291" s="1483"/>
      <c r="I291" s="570">
        <v>8</v>
      </c>
      <c r="J291" s="515">
        <f>I86</f>
        <v>70</v>
      </c>
      <c r="K291" s="515">
        <f>K86</f>
        <v>-1.2</v>
      </c>
      <c r="L291" s="515" t="e">
        <f>#REF!</f>
        <v>#REF!</v>
      </c>
      <c r="M291" s="515">
        <f t="shared" ref="M291" si="207">L86</f>
        <v>0</v>
      </c>
      <c r="N291" s="460"/>
      <c r="O291" s="460"/>
      <c r="P291" s="460"/>
    </row>
    <row r="292" spans="1:16" ht="13" x14ac:dyDescent="0.3">
      <c r="A292" s="1485"/>
      <c r="B292" s="570">
        <v>9</v>
      </c>
      <c r="C292" s="515">
        <f>C97</f>
        <v>35</v>
      </c>
      <c r="D292" s="515">
        <f t="shared" ref="D292:F292" si="208">D97</f>
        <v>-0.5</v>
      </c>
      <c r="E292" s="515" t="str">
        <f t="shared" si="208"/>
        <v>-</v>
      </c>
      <c r="F292" s="515">
        <f t="shared" si="208"/>
        <v>0</v>
      </c>
      <c r="G292" s="460"/>
      <c r="H292" s="1483"/>
      <c r="I292" s="570">
        <v>9</v>
      </c>
      <c r="J292" s="515">
        <f>I97</f>
        <v>70</v>
      </c>
      <c r="K292" s="515">
        <f t="shared" ref="K292:M292" si="209">J97</f>
        <v>-0.6</v>
      </c>
      <c r="L292" s="515" t="str">
        <f t="shared" si="209"/>
        <v>-</v>
      </c>
      <c r="M292" s="515">
        <f t="shared" si="209"/>
        <v>0</v>
      </c>
      <c r="N292" s="460"/>
      <c r="O292" s="460"/>
      <c r="P292" s="460"/>
    </row>
    <row r="293" spans="1:16" ht="13" x14ac:dyDescent="0.3">
      <c r="A293" s="1485"/>
      <c r="B293" s="570">
        <v>10</v>
      </c>
      <c r="C293" s="515">
        <f>C108</f>
        <v>35</v>
      </c>
      <c r="D293" s="515">
        <f t="shared" ref="D293:F293" si="210">D108</f>
        <v>0.2</v>
      </c>
      <c r="E293" s="515">
        <f t="shared" si="210"/>
        <v>0.8</v>
      </c>
      <c r="F293" s="515">
        <f t="shared" si="210"/>
        <v>0.30000000000000004</v>
      </c>
      <c r="G293" s="460"/>
      <c r="H293" s="1483"/>
      <c r="I293" s="570">
        <v>10</v>
      </c>
      <c r="J293" s="515">
        <f>I108</f>
        <v>70</v>
      </c>
      <c r="K293" s="515">
        <f t="shared" ref="K293:M293" si="211">J108</f>
        <v>-0.3</v>
      </c>
      <c r="L293" s="515">
        <f t="shared" si="211"/>
        <v>-5.0999999999999996</v>
      </c>
      <c r="M293" s="515">
        <f t="shared" si="211"/>
        <v>2.4</v>
      </c>
      <c r="N293" s="460"/>
      <c r="O293" s="460"/>
      <c r="P293" s="460"/>
    </row>
    <row r="294" spans="1:16" ht="13" x14ac:dyDescent="0.3">
      <c r="A294" s="1485"/>
      <c r="B294" s="570">
        <v>11</v>
      </c>
      <c r="C294" s="515">
        <f>C119</f>
        <v>35</v>
      </c>
      <c r="D294" s="515">
        <f t="shared" ref="D294:F294" si="212">D119</f>
        <v>0.5</v>
      </c>
      <c r="E294" s="515" t="str">
        <f t="shared" si="212"/>
        <v>-</v>
      </c>
      <c r="F294" s="515">
        <f t="shared" si="212"/>
        <v>0</v>
      </c>
      <c r="G294" s="460"/>
      <c r="H294" s="1483"/>
      <c r="I294" s="570">
        <v>11</v>
      </c>
      <c r="J294" s="515">
        <f>I119</f>
        <v>70</v>
      </c>
      <c r="K294" s="515">
        <f t="shared" ref="K294:M294" si="213">J119</f>
        <v>-3.4</v>
      </c>
      <c r="L294" s="515" t="str">
        <f t="shared" si="213"/>
        <v>-</v>
      </c>
      <c r="M294" s="515">
        <f t="shared" si="213"/>
        <v>0</v>
      </c>
      <c r="N294" s="460"/>
      <c r="O294" s="460"/>
      <c r="P294" s="460"/>
    </row>
    <row r="295" spans="1:16" ht="13" x14ac:dyDescent="0.3">
      <c r="A295" s="1485"/>
      <c r="B295" s="570">
        <v>12</v>
      </c>
      <c r="C295" s="515">
        <f>C130</f>
        <v>35</v>
      </c>
      <c r="D295" s="515">
        <f t="shared" ref="D295:F295" si="214">D130</f>
        <v>-0.1</v>
      </c>
      <c r="E295" s="515" t="str">
        <f t="shared" si="214"/>
        <v>-</v>
      </c>
      <c r="F295" s="515">
        <f t="shared" si="214"/>
        <v>0</v>
      </c>
      <c r="G295" s="460"/>
      <c r="H295" s="1483"/>
      <c r="I295" s="570">
        <v>12</v>
      </c>
      <c r="J295" s="515">
        <f>I130</f>
        <v>70</v>
      </c>
      <c r="K295" s="515">
        <f t="shared" ref="K295:M295" si="215">J130</f>
        <v>-0.8</v>
      </c>
      <c r="L295" s="515" t="str">
        <f t="shared" si="215"/>
        <v>-</v>
      </c>
      <c r="M295" s="515">
        <f t="shared" si="215"/>
        <v>0</v>
      </c>
      <c r="N295" s="460"/>
      <c r="O295" s="460"/>
      <c r="P295" s="460"/>
    </row>
    <row r="296" spans="1:16" ht="13" x14ac:dyDescent="0.3">
      <c r="A296" s="1485"/>
      <c r="B296" s="570">
        <v>13</v>
      </c>
      <c r="C296" s="515">
        <f>C141</f>
        <v>35</v>
      </c>
      <c r="D296" s="515">
        <f t="shared" ref="D296:F296" si="216">D141</f>
        <v>-0.6</v>
      </c>
      <c r="E296" s="515" t="str">
        <f t="shared" si="216"/>
        <v>-</v>
      </c>
      <c r="F296" s="515">
        <f t="shared" si="216"/>
        <v>0</v>
      </c>
      <c r="G296" s="460"/>
      <c r="H296" s="1483"/>
      <c r="I296" s="570">
        <v>13</v>
      </c>
      <c r="J296" s="515">
        <f>I141</f>
        <v>70</v>
      </c>
      <c r="K296" s="515">
        <f t="shared" ref="K296:M296" si="217">J141</f>
        <v>-0.8</v>
      </c>
      <c r="L296" s="515" t="str">
        <f t="shared" si="217"/>
        <v>-</v>
      </c>
      <c r="M296" s="515">
        <f t="shared" si="217"/>
        <v>0</v>
      </c>
      <c r="N296" s="460"/>
      <c r="O296" s="460"/>
      <c r="P296" s="460"/>
    </row>
    <row r="297" spans="1:16" ht="13" x14ac:dyDescent="0.3">
      <c r="A297" s="1485"/>
      <c r="B297" s="570">
        <v>14</v>
      </c>
      <c r="C297" s="515">
        <f>C152</f>
        <v>35</v>
      </c>
      <c r="D297" s="515">
        <f t="shared" ref="D297:F297" si="218">D152</f>
        <v>0.3</v>
      </c>
      <c r="E297" s="515" t="str">
        <f t="shared" si="218"/>
        <v>-</v>
      </c>
      <c r="F297" s="515">
        <f t="shared" si="218"/>
        <v>0</v>
      </c>
      <c r="G297" s="460"/>
      <c r="H297" s="1483"/>
      <c r="I297" s="570">
        <v>14</v>
      </c>
      <c r="J297" s="515">
        <f>I152</f>
        <v>70</v>
      </c>
      <c r="K297" s="515">
        <f t="shared" ref="K297:M297" si="219">J152</f>
        <v>-1.9</v>
      </c>
      <c r="L297" s="515" t="str">
        <f t="shared" si="219"/>
        <v>-</v>
      </c>
      <c r="M297" s="515">
        <f t="shared" si="219"/>
        <v>0</v>
      </c>
      <c r="N297" s="460"/>
      <c r="O297" s="460"/>
      <c r="P297" s="460"/>
    </row>
    <row r="298" spans="1:16" ht="13" x14ac:dyDescent="0.3">
      <c r="A298" s="1485"/>
      <c r="B298" s="570">
        <v>15</v>
      </c>
      <c r="C298" s="515">
        <f>C163</f>
        <v>35</v>
      </c>
      <c r="D298" s="515">
        <f t="shared" ref="D298:F298" si="220">D163</f>
        <v>-0.5</v>
      </c>
      <c r="E298" s="515" t="str">
        <f t="shared" si="220"/>
        <v>-</v>
      </c>
      <c r="F298" s="515">
        <f t="shared" si="220"/>
        <v>0</v>
      </c>
      <c r="G298" s="460"/>
      <c r="H298" s="1483"/>
      <c r="I298" s="570">
        <v>15</v>
      </c>
      <c r="J298" s="515">
        <f>I163</f>
        <v>70</v>
      </c>
      <c r="K298" s="515">
        <f t="shared" ref="K298:M298" si="221">J163</f>
        <v>-0.3</v>
      </c>
      <c r="L298" s="515" t="str">
        <f t="shared" si="221"/>
        <v>-</v>
      </c>
      <c r="M298" s="515">
        <f t="shared" si="221"/>
        <v>0</v>
      </c>
      <c r="N298" s="460"/>
      <c r="O298" s="460"/>
      <c r="P298" s="460"/>
    </row>
    <row r="299" spans="1:16" ht="13" x14ac:dyDescent="0.3">
      <c r="A299" s="1485"/>
      <c r="B299" s="570">
        <v>16</v>
      </c>
      <c r="C299" s="515">
        <f>C174</f>
        <v>35</v>
      </c>
      <c r="D299" s="515">
        <f t="shared" ref="D299:F299" si="222">D174</f>
        <v>0.1</v>
      </c>
      <c r="E299" s="515" t="str">
        <f t="shared" si="222"/>
        <v>-</v>
      </c>
      <c r="F299" s="515">
        <f t="shared" si="222"/>
        <v>0</v>
      </c>
      <c r="G299" s="460"/>
      <c r="H299" s="1483"/>
      <c r="I299" s="570">
        <v>16</v>
      </c>
      <c r="J299" s="515">
        <f>I174</f>
        <v>70</v>
      </c>
      <c r="K299" s="515">
        <f t="shared" ref="K299:M299" si="223">J174</f>
        <v>-1.8</v>
      </c>
      <c r="L299" s="515" t="str">
        <f t="shared" si="223"/>
        <v>-</v>
      </c>
      <c r="M299" s="515">
        <f t="shared" si="223"/>
        <v>0</v>
      </c>
      <c r="N299" s="460"/>
      <c r="O299" s="460"/>
      <c r="P299" s="460"/>
    </row>
    <row r="300" spans="1:16" ht="13" x14ac:dyDescent="0.3">
      <c r="A300" s="1485"/>
      <c r="B300" s="570">
        <v>17</v>
      </c>
      <c r="C300" s="515">
        <f>C185</f>
        <v>35</v>
      </c>
      <c r="D300" s="515">
        <f t="shared" ref="D300:F300" si="224">D185</f>
        <v>-0.3</v>
      </c>
      <c r="E300" s="515" t="str">
        <f t="shared" si="224"/>
        <v>-</v>
      </c>
      <c r="F300" s="515">
        <f t="shared" si="224"/>
        <v>0</v>
      </c>
      <c r="G300" s="460"/>
      <c r="H300" s="1483"/>
      <c r="I300" s="570">
        <v>17</v>
      </c>
      <c r="J300" s="515">
        <f>I185</f>
        <v>70</v>
      </c>
      <c r="K300" s="515">
        <f t="shared" ref="K300:M300" si="225">J185</f>
        <v>-0.3</v>
      </c>
      <c r="L300" s="515" t="str">
        <f t="shared" si="225"/>
        <v>-</v>
      </c>
      <c r="M300" s="515">
        <f t="shared" si="225"/>
        <v>0</v>
      </c>
      <c r="N300" s="460"/>
      <c r="O300" s="460"/>
      <c r="P300" s="460"/>
    </row>
    <row r="301" spans="1:16" ht="13" x14ac:dyDescent="0.3">
      <c r="A301" s="1485"/>
      <c r="B301" s="570">
        <v>18</v>
      </c>
      <c r="C301" s="515">
        <f>C196</f>
        <v>35</v>
      </c>
      <c r="D301" s="515">
        <f>E196</f>
        <v>-0.2</v>
      </c>
      <c r="E301" s="515" t="e">
        <f>#REF!</f>
        <v>#REF!</v>
      </c>
      <c r="F301" s="515">
        <f t="shared" ref="F301" si="226">F196</f>
        <v>0</v>
      </c>
      <c r="G301" s="460"/>
      <c r="H301" s="1483"/>
      <c r="I301" s="570">
        <v>18</v>
      </c>
      <c r="J301" s="515">
        <f>I196</f>
        <v>70</v>
      </c>
      <c r="K301" s="515">
        <f>K196</f>
        <v>-0.1</v>
      </c>
      <c r="L301" s="515" t="e">
        <f>#REF!</f>
        <v>#REF!</v>
      </c>
      <c r="M301" s="515">
        <f t="shared" ref="M301" si="227">L196</f>
        <v>0</v>
      </c>
      <c r="N301" s="460"/>
      <c r="O301" s="460"/>
      <c r="P301" s="460"/>
    </row>
    <row r="302" spans="1:16" ht="13" x14ac:dyDescent="0.3">
      <c r="A302" s="1485"/>
      <c r="B302" s="609">
        <v>19</v>
      </c>
      <c r="C302" s="603">
        <f>S9</f>
        <v>35</v>
      </c>
      <c r="D302" s="603">
        <f t="shared" ref="D302:F302" si="228">T9</f>
        <v>-0.3</v>
      </c>
      <c r="E302" s="603">
        <f t="shared" si="228"/>
        <v>-0.1</v>
      </c>
      <c r="F302" s="603">
        <f t="shared" si="228"/>
        <v>9.9999999999999992E-2</v>
      </c>
      <c r="G302" s="460"/>
      <c r="H302" s="1483"/>
      <c r="I302" s="599">
        <v>19</v>
      </c>
      <c r="J302" s="603">
        <f>Y9</f>
        <v>70</v>
      </c>
      <c r="K302" s="603">
        <f t="shared" ref="K302:M302" si="229">Z9</f>
        <v>-0.3</v>
      </c>
      <c r="L302" s="603">
        <f t="shared" si="229"/>
        <v>-0.7</v>
      </c>
      <c r="M302" s="603">
        <f t="shared" si="229"/>
        <v>0.19999999999999998</v>
      </c>
      <c r="N302" s="460"/>
      <c r="O302" s="460"/>
      <c r="P302" s="460"/>
    </row>
    <row r="303" spans="1:16" ht="13" x14ac:dyDescent="0.3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60"/>
      <c r="O303" s="460"/>
      <c r="P303" s="460"/>
    </row>
    <row r="304" spans="1:16" ht="13" x14ac:dyDescent="0.3">
      <c r="A304" s="1484" t="s">
        <v>394</v>
      </c>
      <c r="B304" s="570">
        <v>1</v>
      </c>
      <c r="C304" s="515">
        <f>C10</f>
        <v>37</v>
      </c>
      <c r="D304" s="515">
        <f t="shared" ref="D304:F304" si="230">D10</f>
        <v>-0.2</v>
      </c>
      <c r="E304" s="515">
        <f t="shared" si="230"/>
        <v>-0.6</v>
      </c>
      <c r="F304" s="515">
        <f t="shared" si="230"/>
        <v>0.19999999999999998</v>
      </c>
      <c r="G304" s="460"/>
      <c r="H304" s="1482" t="s">
        <v>394</v>
      </c>
      <c r="I304" s="570">
        <v>1</v>
      </c>
      <c r="J304" s="515">
        <f>I10</f>
        <v>80</v>
      </c>
      <c r="K304" s="515">
        <f t="shared" ref="K304:M304" si="231">J10</f>
        <v>-1.6</v>
      </c>
      <c r="L304" s="515">
        <f t="shared" si="231"/>
        <v>0.7</v>
      </c>
      <c r="M304" s="515">
        <f t="shared" si="231"/>
        <v>1.1499999999999999</v>
      </c>
      <c r="N304" s="460"/>
      <c r="O304" s="460"/>
      <c r="P304" s="460"/>
    </row>
    <row r="305" spans="1:16" ht="13" x14ac:dyDescent="0.3">
      <c r="A305" s="1485"/>
      <c r="B305" s="570">
        <v>2</v>
      </c>
      <c r="C305" s="515">
        <f>C21</f>
        <v>37</v>
      </c>
      <c r="D305" s="515">
        <f>E21</f>
        <v>-0.3</v>
      </c>
      <c r="E305" s="515" t="e">
        <f>#REF!</f>
        <v>#REF!</v>
      </c>
      <c r="F305" s="515">
        <f t="shared" ref="F305" si="232">F21</f>
        <v>0</v>
      </c>
      <c r="G305" s="460"/>
      <c r="H305" s="1483"/>
      <c r="I305" s="570">
        <v>2</v>
      </c>
      <c r="J305" s="515">
        <f>I21</f>
        <v>80</v>
      </c>
      <c r="K305" s="515">
        <f>K21</f>
        <v>-0.7</v>
      </c>
      <c r="L305" s="515" t="e">
        <f>#REF!</f>
        <v>#REF!</v>
      </c>
      <c r="M305" s="515">
        <f t="shared" ref="M305" si="233">L21</f>
        <v>0</v>
      </c>
      <c r="N305" s="460"/>
      <c r="O305" s="460"/>
      <c r="P305" s="460"/>
    </row>
    <row r="306" spans="1:16" ht="13" x14ac:dyDescent="0.3">
      <c r="A306" s="1485"/>
      <c r="B306" s="570">
        <v>3</v>
      </c>
      <c r="C306" s="515">
        <f>C32</f>
        <v>37</v>
      </c>
      <c r="D306" s="515">
        <f>E32</f>
        <v>-0.6</v>
      </c>
      <c r="E306" s="515" t="e">
        <f>#REF!</f>
        <v>#REF!</v>
      </c>
      <c r="F306" s="515">
        <f t="shared" ref="F306" si="234">F32</f>
        <v>0</v>
      </c>
      <c r="G306" s="460"/>
      <c r="H306" s="1483"/>
      <c r="I306" s="570">
        <v>3</v>
      </c>
      <c r="J306" s="515">
        <f>I32</f>
        <v>80</v>
      </c>
      <c r="K306" s="515">
        <f>K32</f>
        <v>-2.9</v>
      </c>
      <c r="L306" s="515" t="e">
        <f>#REF!</f>
        <v>#REF!</v>
      </c>
      <c r="M306" s="515">
        <f t="shared" ref="M306" si="235">L32</f>
        <v>0</v>
      </c>
      <c r="N306" s="460"/>
      <c r="O306" s="460"/>
      <c r="P306" s="460"/>
    </row>
    <row r="307" spans="1:16" ht="13" x14ac:dyDescent="0.3">
      <c r="A307" s="1485"/>
      <c r="B307" s="570">
        <v>4</v>
      </c>
      <c r="C307" s="515">
        <f>C43</f>
        <v>37</v>
      </c>
      <c r="D307" s="515">
        <f>E43</f>
        <v>-0.6</v>
      </c>
      <c r="E307" s="515" t="e">
        <f>#REF!</f>
        <v>#REF!</v>
      </c>
      <c r="F307" s="515">
        <f t="shared" ref="F307" si="236">F43</f>
        <v>0</v>
      </c>
      <c r="G307" s="460"/>
      <c r="H307" s="1483"/>
      <c r="I307" s="570">
        <v>4</v>
      </c>
      <c r="J307" s="515">
        <f>I43</f>
        <v>80</v>
      </c>
      <c r="K307" s="515">
        <f>K43</f>
        <v>1.9</v>
      </c>
      <c r="L307" s="515" t="e">
        <f>#REF!</f>
        <v>#REF!</v>
      </c>
      <c r="M307" s="515">
        <f t="shared" ref="M307" si="237">L43</f>
        <v>0</v>
      </c>
      <c r="N307" s="460"/>
      <c r="O307" s="460"/>
      <c r="P307" s="460"/>
    </row>
    <row r="308" spans="1:16" ht="13" x14ac:dyDescent="0.3">
      <c r="A308" s="1485"/>
      <c r="B308" s="570">
        <v>5</v>
      </c>
      <c r="C308" s="515">
        <f>C54</f>
        <v>37</v>
      </c>
      <c r="D308" s="515">
        <f t="shared" ref="D308:F308" si="238">D54</f>
        <v>0.7</v>
      </c>
      <c r="E308" s="515">
        <f t="shared" si="238"/>
        <v>9.9999999999999995E-7</v>
      </c>
      <c r="F308" s="515">
        <f t="shared" si="238"/>
        <v>0.34999949999999996</v>
      </c>
      <c r="G308" s="460"/>
      <c r="H308" s="1483"/>
      <c r="I308" s="570">
        <v>5</v>
      </c>
      <c r="J308" s="515">
        <f>I54</f>
        <v>80</v>
      </c>
      <c r="K308" s="515">
        <f t="shared" ref="K308:M308" si="239">J54</f>
        <v>-3</v>
      </c>
      <c r="L308" s="515">
        <f t="shared" si="239"/>
        <v>0.2</v>
      </c>
      <c r="M308" s="515">
        <f t="shared" si="239"/>
        <v>1.6</v>
      </c>
      <c r="N308" s="460"/>
      <c r="O308" s="460"/>
      <c r="P308" s="460"/>
    </row>
    <row r="309" spans="1:16" ht="13" x14ac:dyDescent="0.3">
      <c r="A309" s="1485"/>
      <c r="B309" s="570">
        <v>6</v>
      </c>
      <c r="C309" s="515">
        <f>C65</f>
        <v>37</v>
      </c>
      <c r="D309" s="515">
        <f t="shared" ref="D309:F309" si="240">D65</f>
        <v>0.1</v>
      </c>
      <c r="E309" s="515">
        <f t="shared" si="240"/>
        <v>-1.1000000000000001</v>
      </c>
      <c r="F309" s="515">
        <f t="shared" si="240"/>
        <v>0.60000000000000009</v>
      </c>
      <c r="G309" s="460"/>
      <c r="H309" s="1483"/>
      <c r="I309" s="570">
        <v>6</v>
      </c>
      <c r="J309" s="515">
        <f>I65</f>
        <v>80</v>
      </c>
      <c r="K309" s="515">
        <f t="shared" ref="K309:M309" si="241">J65</f>
        <v>-6.3</v>
      </c>
      <c r="L309" s="515">
        <f t="shared" si="241"/>
        <v>-2.6</v>
      </c>
      <c r="M309" s="515">
        <f t="shared" si="241"/>
        <v>1.8499999999999999</v>
      </c>
      <c r="N309" s="460"/>
      <c r="O309" s="460"/>
      <c r="P309" s="460"/>
    </row>
    <row r="310" spans="1:16" ht="13" x14ac:dyDescent="0.3">
      <c r="A310" s="1485"/>
      <c r="B310" s="570">
        <v>7</v>
      </c>
      <c r="C310" s="515">
        <f>C76</f>
        <v>37</v>
      </c>
      <c r="D310" s="515">
        <f>E76</f>
        <v>-1.4</v>
      </c>
      <c r="E310" s="515" t="e">
        <f>#REF!</f>
        <v>#REF!</v>
      </c>
      <c r="F310" s="515">
        <f t="shared" ref="F310" si="242">F76</f>
        <v>0</v>
      </c>
      <c r="G310" s="460"/>
      <c r="H310" s="1483"/>
      <c r="I310" s="570">
        <v>7</v>
      </c>
      <c r="J310" s="515">
        <f>I76</f>
        <v>80</v>
      </c>
      <c r="K310" s="515">
        <f>K76</f>
        <v>1.2</v>
      </c>
      <c r="L310" s="515" t="e">
        <f>#REF!</f>
        <v>#REF!</v>
      </c>
      <c r="M310" s="515">
        <f t="shared" ref="M310" si="243">L76</f>
        <v>0</v>
      </c>
      <c r="N310" s="460"/>
      <c r="O310" s="460"/>
      <c r="P310" s="460"/>
    </row>
    <row r="311" spans="1:16" ht="13" x14ac:dyDescent="0.3">
      <c r="A311" s="1485"/>
      <c r="B311" s="570">
        <v>8</v>
      </c>
      <c r="C311" s="515">
        <f>C87</f>
        <v>37</v>
      </c>
      <c r="D311" s="515">
        <f>E87</f>
        <v>-0.5</v>
      </c>
      <c r="E311" s="515" t="e">
        <f>#REF!</f>
        <v>#REF!</v>
      </c>
      <c r="F311" s="515">
        <f t="shared" ref="F311" si="244">F87</f>
        <v>0</v>
      </c>
      <c r="G311" s="460"/>
      <c r="H311" s="1483"/>
      <c r="I311" s="570">
        <v>8</v>
      </c>
      <c r="J311" s="515">
        <f>I87</f>
        <v>80</v>
      </c>
      <c r="K311" s="515">
        <f>K87</f>
        <v>-1.2</v>
      </c>
      <c r="L311" s="515" t="e">
        <f>#REF!</f>
        <v>#REF!</v>
      </c>
      <c r="M311" s="515">
        <f t="shared" ref="M311" si="245">L87</f>
        <v>0</v>
      </c>
      <c r="N311" s="460"/>
      <c r="O311" s="460"/>
      <c r="P311" s="460"/>
    </row>
    <row r="312" spans="1:16" ht="13" x14ac:dyDescent="0.3">
      <c r="A312" s="1485"/>
      <c r="B312" s="570">
        <v>9</v>
      </c>
      <c r="C312" s="515">
        <f>C98</f>
        <v>37</v>
      </c>
      <c r="D312" s="515">
        <f t="shared" ref="D312:F312" si="246">D98</f>
        <v>-0.5</v>
      </c>
      <c r="E312" s="515" t="str">
        <f t="shared" si="246"/>
        <v>-</v>
      </c>
      <c r="F312" s="515">
        <f t="shared" si="246"/>
        <v>0</v>
      </c>
      <c r="G312" s="460"/>
      <c r="H312" s="1483"/>
      <c r="I312" s="570">
        <v>9</v>
      </c>
      <c r="J312" s="515">
        <f>I98</f>
        <v>80</v>
      </c>
      <c r="K312" s="515">
        <f t="shared" ref="K312:M312" si="247">J98</f>
        <v>-0.5</v>
      </c>
      <c r="L312" s="515" t="str">
        <f t="shared" si="247"/>
        <v>-</v>
      </c>
      <c r="M312" s="515">
        <f t="shared" si="247"/>
        <v>0</v>
      </c>
      <c r="N312" s="460"/>
      <c r="O312" s="460"/>
      <c r="P312" s="460"/>
    </row>
    <row r="313" spans="1:16" ht="13" x14ac:dyDescent="0.3">
      <c r="A313" s="1485"/>
      <c r="B313" s="570">
        <v>10</v>
      </c>
      <c r="C313" s="515">
        <f>C109</f>
        <v>37</v>
      </c>
      <c r="D313" s="515">
        <f t="shared" ref="D313:F313" si="248">D109</f>
        <v>0.2</v>
      </c>
      <c r="E313" s="515">
        <f t="shared" si="248"/>
        <v>0.4</v>
      </c>
      <c r="F313" s="515">
        <f t="shared" si="248"/>
        <v>0.1</v>
      </c>
      <c r="G313" s="460"/>
      <c r="H313" s="1483"/>
      <c r="I313" s="570">
        <v>10</v>
      </c>
      <c r="J313" s="515">
        <f>I109</f>
        <v>80</v>
      </c>
      <c r="K313" s="515">
        <f t="shared" ref="K313:M313" si="249">J109</f>
        <v>2.2000000000000002</v>
      </c>
      <c r="L313" s="515">
        <f t="shared" si="249"/>
        <v>-4.7</v>
      </c>
      <c r="M313" s="515">
        <f t="shared" si="249"/>
        <v>3.45</v>
      </c>
      <c r="N313" s="460"/>
      <c r="O313" s="460"/>
      <c r="P313" s="460"/>
    </row>
    <row r="314" spans="1:16" ht="13" x14ac:dyDescent="0.3">
      <c r="A314" s="1485"/>
      <c r="B314" s="570">
        <v>11</v>
      </c>
      <c r="C314" s="515">
        <f>C120</f>
        <v>37</v>
      </c>
      <c r="D314" s="515">
        <f t="shared" ref="D314:F314" si="250">D120</f>
        <v>0.5</v>
      </c>
      <c r="E314" s="515" t="str">
        <f t="shared" si="250"/>
        <v>-</v>
      </c>
      <c r="F314" s="515">
        <f t="shared" si="250"/>
        <v>0</v>
      </c>
      <c r="G314" s="460"/>
      <c r="H314" s="1483"/>
      <c r="I314" s="570">
        <v>11</v>
      </c>
      <c r="J314" s="515">
        <f>I120</f>
        <v>80</v>
      </c>
      <c r="K314" s="515">
        <f t="shared" ref="K314:M314" si="251">J120</f>
        <v>-1.4</v>
      </c>
      <c r="L314" s="515" t="str">
        <f t="shared" si="251"/>
        <v>-</v>
      </c>
      <c r="M314" s="515">
        <f t="shared" si="251"/>
        <v>0</v>
      </c>
      <c r="N314" s="460"/>
      <c r="O314" s="460"/>
      <c r="P314" s="460"/>
    </row>
    <row r="315" spans="1:16" ht="13" x14ac:dyDescent="0.3">
      <c r="A315" s="1485"/>
      <c r="B315" s="570">
        <v>12</v>
      </c>
      <c r="C315" s="515">
        <f>C131</f>
        <v>37</v>
      </c>
      <c r="D315" s="515">
        <f t="shared" ref="D315:F315" si="252">D131</f>
        <v>-0.1</v>
      </c>
      <c r="E315" s="515" t="str">
        <f t="shared" si="252"/>
        <v>-</v>
      </c>
      <c r="F315" s="515">
        <f t="shared" si="252"/>
        <v>0</v>
      </c>
      <c r="G315" s="460"/>
      <c r="H315" s="1483"/>
      <c r="I315" s="570">
        <v>12</v>
      </c>
      <c r="J315" s="515">
        <f>I131</f>
        <v>80</v>
      </c>
      <c r="K315" s="515">
        <f t="shared" ref="K315:M315" si="253">J131</f>
        <v>-1.3</v>
      </c>
      <c r="L315" s="515" t="str">
        <f t="shared" si="253"/>
        <v>-</v>
      </c>
      <c r="M315" s="515">
        <f t="shared" si="253"/>
        <v>0</v>
      </c>
      <c r="N315" s="460"/>
      <c r="O315" s="460"/>
      <c r="P315" s="460"/>
    </row>
    <row r="316" spans="1:16" ht="13" x14ac:dyDescent="0.3">
      <c r="A316" s="1485"/>
      <c r="B316" s="570">
        <v>13</v>
      </c>
      <c r="C316" s="515">
        <f>C142</f>
        <v>37</v>
      </c>
      <c r="D316" s="515">
        <f t="shared" ref="D316:F316" si="254">D142</f>
        <v>-0.8</v>
      </c>
      <c r="E316" s="515" t="str">
        <f t="shared" si="254"/>
        <v>-</v>
      </c>
      <c r="F316" s="515">
        <f t="shared" si="254"/>
        <v>0</v>
      </c>
      <c r="G316" s="460"/>
      <c r="H316" s="1483"/>
      <c r="I316" s="570">
        <v>13</v>
      </c>
      <c r="J316" s="515">
        <f>I142</f>
        <v>80</v>
      </c>
      <c r="K316" s="515">
        <f t="shared" ref="K316:M316" si="255">J142</f>
        <v>-0.9</v>
      </c>
      <c r="L316" s="515" t="str">
        <f t="shared" si="255"/>
        <v>-</v>
      </c>
      <c r="M316" s="515">
        <f t="shared" si="255"/>
        <v>0</v>
      </c>
      <c r="N316" s="460"/>
      <c r="O316" s="460"/>
      <c r="P316" s="460"/>
    </row>
    <row r="317" spans="1:16" ht="13" x14ac:dyDescent="0.3">
      <c r="A317" s="1485"/>
      <c r="B317" s="570">
        <v>14</v>
      </c>
      <c r="C317" s="515">
        <f>C153</f>
        <v>37</v>
      </c>
      <c r="D317" s="515">
        <f t="shared" ref="D317:F317" si="256">D153</f>
        <v>0.4</v>
      </c>
      <c r="E317" s="515" t="str">
        <f t="shared" si="256"/>
        <v>-</v>
      </c>
      <c r="F317" s="515">
        <f t="shared" si="256"/>
        <v>0</v>
      </c>
      <c r="G317" s="460"/>
      <c r="H317" s="1483"/>
      <c r="I317" s="570">
        <v>14</v>
      </c>
      <c r="J317" s="515">
        <f>I153</f>
        <v>80</v>
      </c>
      <c r="K317" s="515">
        <f t="shared" ref="K317:M317" si="257">J153</f>
        <v>-2.5</v>
      </c>
      <c r="L317" s="515" t="str">
        <f t="shared" si="257"/>
        <v>-</v>
      </c>
      <c r="M317" s="515">
        <f t="shared" si="257"/>
        <v>0</v>
      </c>
      <c r="N317" s="460"/>
      <c r="O317" s="460"/>
      <c r="P317" s="460"/>
    </row>
    <row r="318" spans="1:16" ht="13" x14ac:dyDescent="0.3">
      <c r="A318" s="1485"/>
      <c r="B318" s="570">
        <v>15</v>
      </c>
      <c r="C318" s="515">
        <f>C164</f>
        <v>37</v>
      </c>
      <c r="D318" s="515">
        <f t="shared" ref="D318:F318" si="258">D164</f>
        <v>-0.6</v>
      </c>
      <c r="E318" s="515" t="str">
        <f t="shared" si="258"/>
        <v>-</v>
      </c>
      <c r="F318" s="515">
        <f t="shared" si="258"/>
        <v>0</v>
      </c>
      <c r="G318" s="460"/>
      <c r="H318" s="1483"/>
      <c r="I318" s="570">
        <v>15</v>
      </c>
      <c r="J318" s="515">
        <f>I164</f>
        <v>80</v>
      </c>
      <c r="K318" s="515">
        <f t="shared" ref="K318:M318" si="259">J164</f>
        <v>-0.8</v>
      </c>
      <c r="L318" s="515" t="str">
        <f t="shared" si="259"/>
        <v>-</v>
      </c>
      <c r="M318" s="515">
        <f t="shared" si="259"/>
        <v>0</v>
      </c>
      <c r="N318" s="460"/>
      <c r="O318" s="460"/>
      <c r="P318" s="460"/>
    </row>
    <row r="319" spans="1:16" ht="13" x14ac:dyDescent="0.3">
      <c r="A319" s="1485"/>
      <c r="B319" s="570">
        <v>16</v>
      </c>
      <c r="C319" s="515">
        <f>C175</f>
        <v>37</v>
      </c>
      <c r="D319" s="515">
        <f t="shared" ref="D319:F319" si="260">D175</f>
        <v>9.9999999999999995E-7</v>
      </c>
      <c r="E319" s="515" t="str">
        <f t="shared" si="260"/>
        <v>-</v>
      </c>
      <c r="F319" s="515">
        <f t="shared" si="260"/>
        <v>0</v>
      </c>
      <c r="G319" s="460"/>
      <c r="H319" s="1483"/>
      <c r="I319" s="570">
        <v>16</v>
      </c>
      <c r="J319" s="515">
        <f>I175</f>
        <v>80</v>
      </c>
      <c r="K319" s="515">
        <f t="shared" ref="K319:M319" si="261">J175</f>
        <v>-2.2999999999999998</v>
      </c>
      <c r="L319" s="515" t="str">
        <f t="shared" si="261"/>
        <v>-</v>
      </c>
      <c r="M319" s="515">
        <f t="shared" si="261"/>
        <v>0</v>
      </c>
      <c r="N319" s="460"/>
      <c r="O319" s="460"/>
      <c r="P319" s="460"/>
    </row>
    <row r="320" spans="1:16" ht="13" x14ac:dyDescent="0.3">
      <c r="A320" s="1485"/>
      <c r="B320" s="570">
        <v>17</v>
      </c>
      <c r="C320" s="515">
        <f>C186</f>
        <v>37</v>
      </c>
      <c r="D320" s="515">
        <f t="shared" ref="D320:F320" si="262">D186</f>
        <v>-0.3</v>
      </c>
      <c r="E320" s="515" t="str">
        <f t="shared" si="262"/>
        <v>-</v>
      </c>
      <c r="F320" s="515">
        <f t="shared" si="262"/>
        <v>0</v>
      </c>
      <c r="G320" s="460"/>
      <c r="H320" s="1483"/>
      <c r="I320" s="570">
        <v>17</v>
      </c>
      <c r="J320" s="515">
        <f>I186</f>
        <v>80</v>
      </c>
      <c r="K320" s="515">
        <f t="shared" ref="K320:M320" si="263">J186</f>
        <v>-0.5</v>
      </c>
      <c r="L320" s="515" t="str">
        <f t="shared" si="263"/>
        <v>-</v>
      </c>
      <c r="M320" s="515">
        <f t="shared" si="263"/>
        <v>0</v>
      </c>
      <c r="N320" s="515"/>
      <c r="O320" s="460"/>
      <c r="P320" s="460"/>
    </row>
    <row r="321" spans="1:16" ht="13" x14ac:dyDescent="0.3">
      <c r="A321" s="1485"/>
      <c r="B321" s="570">
        <v>18</v>
      </c>
      <c r="C321" s="515">
        <f>C197</f>
        <v>37</v>
      </c>
      <c r="D321" s="515">
        <f>E197</f>
        <v>-0.3</v>
      </c>
      <c r="E321" s="515" t="e">
        <f>#REF!</f>
        <v>#REF!</v>
      </c>
      <c r="F321" s="515">
        <f t="shared" ref="F321" si="264">F197</f>
        <v>0</v>
      </c>
      <c r="G321" s="460"/>
      <c r="H321" s="1483"/>
      <c r="I321" s="570">
        <v>18</v>
      </c>
      <c r="J321" s="515">
        <f>I197</f>
        <v>80</v>
      </c>
      <c r="K321" s="515">
        <f>K197</f>
        <v>-0.5</v>
      </c>
      <c r="L321" s="515" t="e">
        <f>#REF!</f>
        <v>#REF!</v>
      </c>
      <c r="M321" s="515">
        <f t="shared" ref="M321" si="265">L197</f>
        <v>0</v>
      </c>
      <c r="N321" s="460"/>
      <c r="O321" s="460"/>
      <c r="P321" s="460"/>
    </row>
    <row r="322" spans="1:16" ht="13" x14ac:dyDescent="0.3">
      <c r="A322" s="1485"/>
      <c r="B322" s="599">
        <v>19</v>
      </c>
      <c r="C322" s="603">
        <f>S10</f>
        <v>37</v>
      </c>
      <c r="D322" s="603">
        <f t="shared" ref="D322:F322" si="266">T10</f>
        <v>-0.3</v>
      </c>
      <c r="E322" s="603">
        <f t="shared" si="266"/>
        <v>0</v>
      </c>
      <c r="F322" s="603">
        <f t="shared" si="266"/>
        <v>0.15</v>
      </c>
      <c r="G322" s="460"/>
      <c r="H322" s="1483"/>
      <c r="I322" s="599">
        <v>19</v>
      </c>
      <c r="J322" s="608">
        <f>Y10</f>
        <v>80</v>
      </c>
      <c r="K322" s="608">
        <f t="shared" ref="K322:M322" si="267">Z10</f>
        <v>-0.5</v>
      </c>
      <c r="L322" s="608">
        <f t="shared" si="267"/>
        <v>-0.9</v>
      </c>
      <c r="M322" s="608">
        <f t="shared" si="267"/>
        <v>0.2</v>
      </c>
      <c r="N322" s="460"/>
      <c r="O322" s="460"/>
      <c r="P322" s="460"/>
    </row>
    <row r="323" spans="1:16" ht="13" x14ac:dyDescent="0.3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60"/>
      <c r="O323" s="460"/>
      <c r="P323" s="460"/>
    </row>
    <row r="324" spans="1:16" ht="13" x14ac:dyDescent="0.3">
      <c r="A324" s="1486" t="s">
        <v>131</v>
      </c>
      <c r="B324" s="570">
        <v>1</v>
      </c>
      <c r="C324" s="515">
        <f>C11</f>
        <v>40</v>
      </c>
      <c r="D324" s="515">
        <f t="shared" ref="D324:F324" si="268">D11</f>
        <v>-0.3</v>
      </c>
      <c r="E324" s="515">
        <f t="shared" si="268"/>
        <v>-0.8</v>
      </c>
      <c r="F324" s="515">
        <f t="shared" si="268"/>
        <v>0.25</v>
      </c>
      <c r="G324" s="460"/>
      <c r="H324" s="1482" t="s">
        <v>131</v>
      </c>
      <c r="I324" s="570">
        <v>1</v>
      </c>
      <c r="J324" s="515">
        <f>I11</f>
        <v>90</v>
      </c>
      <c r="K324" s="515">
        <f t="shared" ref="K324:M324" si="269">J11</f>
        <v>0.3</v>
      </c>
      <c r="L324" s="515">
        <f t="shared" si="269"/>
        <v>4.5</v>
      </c>
      <c r="M324" s="515">
        <f t="shared" si="269"/>
        <v>2.1</v>
      </c>
      <c r="N324" s="460"/>
      <c r="O324" s="460"/>
      <c r="P324" s="460"/>
    </row>
    <row r="325" spans="1:16" ht="13" x14ac:dyDescent="0.3">
      <c r="A325" s="1487"/>
      <c r="B325" s="570">
        <v>2</v>
      </c>
      <c r="C325" s="515">
        <f>C22</f>
        <v>40</v>
      </c>
      <c r="D325" s="515">
        <f>E22</f>
        <v>-0.3</v>
      </c>
      <c r="E325" s="515" t="e">
        <f>#REF!</f>
        <v>#REF!</v>
      </c>
      <c r="F325" s="515">
        <f t="shared" ref="F325" si="270">F22</f>
        <v>0</v>
      </c>
      <c r="G325" s="460"/>
      <c r="H325" s="1483"/>
      <c r="I325" s="570">
        <v>2</v>
      </c>
      <c r="J325" s="515">
        <f>I22</f>
        <v>90</v>
      </c>
      <c r="K325" s="515">
        <f>K22</f>
        <v>-0.3</v>
      </c>
      <c r="L325" s="515" t="e">
        <f>#REF!</f>
        <v>#REF!</v>
      </c>
      <c r="M325" s="515">
        <f t="shared" ref="M325" si="271">L22</f>
        <v>0</v>
      </c>
      <c r="N325" s="460"/>
      <c r="O325" s="460"/>
      <c r="P325" s="460"/>
    </row>
    <row r="326" spans="1:16" ht="13" x14ac:dyDescent="0.3">
      <c r="A326" s="1487"/>
      <c r="B326" s="570">
        <v>3</v>
      </c>
      <c r="C326" s="515">
        <f>C33</f>
        <v>40</v>
      </c>
      <c r="D326" s="515">
        <f>E33</f>
        <v>-0.7</v>
      </c>
      <c r="E326" s="515" t="e">
        <f>#REF!</f>
        <v>#REF!</v>
      </c>
      <c r="F326" s="515">
        <f t="shared" ref="F326" si="272">F33</f>
        <v>0</v>
      </c>
      <c r="G326" s="460"/>
      <c r="H326" s="1483"/>
      <c r="I326" s="570">
        <v>3</v>
      </c>
      <c r="J326" s="515">
        <f>I33</f>
        <v>90</v>
      </c>
      <c r="K326" s="515">
        <f>K33</f>
        <v>-2</v>
      </c>
      <c r="L326" s="515" t="e">
        <f>#REF!</f>
        <v>#REF!</v>
      </c>
      <c r="M326" s="515">
        <f t="shared" ref="M326" si="273">L33</f>
        <v>0</v>
      </c>
      <c r="N326" s="460"/>
      <c r="O326" s="460"/>
      <c r="P326" s="460"/>
    </row>
    <row r="327" spans="1:16" ht="13" x14ac:dyDescent="0.3">
      <c r="A327" s="1487"/>
      <c r="B327" s="570">
        <v>4</v>
      </c>
      <c r="C327" s="515">
        <f>C44</f>
        <v>40</v>
      </c>
      <c r="D327" s="515">
        <f>E44</f>
        <v>-0.6</v>
      </c>
      <c r="E327" s="515" t="e">
        <f>#REF!</f>
        <v>#REF!</v>
      </c>
      <c r="F327" s="515">
        <f t="shared" ref="F327" si="274">F44</f>
        <v>0</v>
      </c>
      <c r="G327" s="460"/>
      <c r="H327" s="1483"/>
      <c r="I327" s="570">
        <v>4</v>
      </c>
      <c r="J327" s="515">
        <f>I44</f>
        <v>90</v>
      </c>
      <c r="K327" s="515">
        <f>K44</f>
        <v>3.3</v>
      </c>
      <c r="L327" s="515" t="e">
        <f>#REF!</f>
        <v>#REF!</v>
      </c>
      <c r="M327" s="515">
        <f t="shared" ref="M327" si="275">L44</f>
        <v>0</v>
      </c>
      <c r="N327" s="460"/>
      <c r="O327" s="460"/>
      <c r="P327" s="460"/>
    </row>
    <row r="328" spans="1:16" ht="13" x14ac:dyDescent="0.3">
      <c r="A328" s="1487"/>
      <c r="B328" s="570">
        <v>5</v>
      </c>
      <c r="C328" s="515">
        <f>C55</f>
        <v>40</v>
      </c>
      <c r="D328" s="515">
        <f t="shared" ref="D328:F328" si="276">D55</f>
        <v>0.7</v>
      </c>
      <c r="E328" s="515">
        <f t="shared" si="276"/>
        <v>-0.1</v>
      </c>
      <c r="F328" s="515">
        <f t="shared" si="276"/>
        <v>0.39999999999999997</v>
      </c>
      <c r="G328" s="460"/>
      <c r="H328" s="1483"/>
      <c r="I328" s="570">
        <v>5</v>
      </c>
      <c r="J328" s="515">
        <f>I55</f>
        <v>90</v>
      </c>
      <c r="K328" s="515">
        <f t="shared" ref="K328:M328" si="277">J55</f>
        <v>-1.8</v>
      </c>
      <c r="L328" s="515">
        <f t="shared" si="277"/>
        <v>2.7</v>
      </c>
      <c r="M328" s="515">
        <f t="shared" si="277"/>
        <v>2.25</v>
      </c>
      <c r="N328" s="460"/>
      <c r="O328" s="460"/>
      <c r="P328" s="460"/>
    </row>
    <row r="329" spans="1:16" ht="13" x14ac:dyDescent="0.3">
      <c r="A329" s="1487"/>
      <c r="B329" s="570">
        <v>6</v>
      </c>
      <c r="C329" s="515">
        <f>C66</f>
        <v>40</v>
      </c>
      <c r="D329" s="515">
        <f t="shared" ref="D329:F329" si="278">D66</f>
        <v>0.1</v>
      </c>
      <c r="E329" s="515">
        <f t="shared" si="278"/>
        <v>-1.4</v>
      </c>
      <c r="F329" s="515">
        <f t="shared" si="278"/>
        <v>0.75</v>
      </c>
      <c r="G329" s="460"/>
      <c r="H329" s="1483"/>
      <c r="I329" s="570">
        <v>6</v>
      </c>
      <c r="J329" s="515">
        <f>I66</f>
        <v>90</v>
      </c>
      <c r="K329" s="515">
        <f t="shared" ref="K329:M329" si="279">J66</f>
        <v>-5.2</v>
      </c>
      <c r="L329" s="515">
        <f t="shared" si="279"/>
        <v>-2.6</v>
      </c>
      <c r="M329" s="515">
        <f t="shared" si="279"/>
        <v>1.3</v>
      </c>
      <c r="N329" s="460"/>
      <c r="O329" s="460"/>
      <c r="P329" s="460"/>
    </row>
    <row r="330" spans="1:16" ht="13" x14ac:dyDescent="0.3">
      <c r="A330" s="1487"/>
      <c r="B330" s="570">
        <v>7</v>
      </c>
      <c r="C330" s="515">
        <f>C77</f>
        <v>40</v>
      </c>
      <c r="D330" s="515">
        <f>E77</f>
        <v>-1.7</v>
      </c>
      <c r="E330" s="515" t="e">
        <f>#REF!</f>
        <v>#REF!</v>
      </c>
      <c r="F330" s="515">
        <f t="shared" ref="F330" si="280">F77</f>
        <v>0</v>
      </c>
      <c r="G330" s="460"/>
      <c r="H330" s="1483"/>
      <c r="I330" s="570">
        <v>7</v>
      </c>
      <c r="J330" s="515">
        <f>I77</f>
        <v>90</v>
      </c>
      <c r="K330" s="515">
        <f>K77</f>
        <v>1.8</v>
      </c>
      <c r="L330" s="515" t="e">
        <f>#REF!</f>
        <v>#REF!</v>
      </c>
      <c r="M330" s="515">
        <f t="shared" ref="M330" si="281">L77</f>
        <v>0</v>
      </c>
      <c r="N330" s="460"/>
      <c r="O330" s="460"/>
      <c r="P330" s="460"/>
    </row>
    <row r="331" spans="1:16" ht="13" x14ac:dyDescent="0.3">
      <c r="A331" s="1487"/>
      <c r="B331" s="570">
        <v>8</v>
      </c>
      <c r="C331" s="515">
        <f>C88</f>
        <v>40</v>
      </c>
      <c r="D331" s="515">
        <f>E88</f>
        <v>-0.4</v>
      </c>
      <c r="E331" s="515" t="e">
        <f>#REF!</f>
        <v>#REF!</v>
      </c>
      <c r="F331" s="515">
        <f t="shared" ref="F331" si="282">F88</f>
        <v>0</v>
      </c>
      <c r="G331" s="460"/>
      <c r="H331" s="1483"/>
      <c r="I331" s="570">
        <v>8</v>
      </c>
      <c r="J331" s="515">
        <f>I88</f>
        <v>90</v>
      </c>
      <c r="K331" s="515">
        <f>K88</f>
        <v>-1.3</v>
      </c>
      <c r="L331" s="515" t="e">
        <f>#REF!</f>
        <v>#REF!</v>
      </c>
      <c r="M331" s="515">
        <f t="shared" ref="M331" si="283">L88</f>
        <v>0</v>
      </c>
      <c r="N331" s="460"/>
      <c r="O331" s="460"/>
      <c r="P331" s="460"/>
    </row>
    <row r="332" spans="1:16" ht="13" x14ac:dyDescent="0.3">
      <c r="A332" s="1487"/>
      <c r="B332" s="570">
        <v>9</v>
      </c>
      <c r="C332" s="515">
        <f>C99</f>
        <v>40</v>
      </c>
      <c r="D332" s="515">
        <f t="shared" ref="D332:F332" si="284">D99</f>
        <v>-0.4</v>
      </c>
      <c r="E332" s="515" t="str">
        <f t="shared" si="284"/>
        <v>-</v>
      </c>
      <c r="F332" s="515">
        <f t="shared" si="284"/>
        <v>0</v>
      </c>
      <c r="G332" s="460"/>
      <c r="H332" s="1483"/>
      <c r="I332" s="570">
        <v>9</v>
      </c>
      <c r="J332" s="515">
        <f>I99</f>
        <v>90</v>
      </c>
      <c r="K332" s="515">
        <f t="shared" ref="K332:M332" si="285">J99</f>
        <v>-0.2</v>
      </c>
      <c r="L332" s="515" t="str">
        <f t="shared" si="285"/>
        <v>-</v>
      </c>
      <c r="M332" s="515">
        <f t="shared" si="285"/>
        <v>0</v>
      </c>
      <c r="N332" s="460"/>
      <c r="O332" s="460"/>
      <c r="P332" s="460"/>
    </row>
    <row r="333" spans="1:16" ht="13" x14ac:dyDescent="0.3">
      <c r="A333" s="1487"/>
      <c r="B333" s="570">
        <v>10</v>
      </c>
      <c r="C333" s="515">
        <f>C110</f>
        <v>40</v>
      </c>
      <c r="D333" s="515">
        <f t="shared" ref="D333:F333" si="286">D110</f>
        <v>0.2</v>
      </c>
      <c r="E333" s="515">
        <f t="shared" si="286"/>
        <v>0</v>
      </c>
      <c r="F333" s="515">
        <f t="shared" si="286"/>
        <v>0.1</v>
      </c>
      <c r="G333" s="460"/>
      <c r="H333" s="1483"/>
      <c r="I333" s="570">
        <v>10</v>
      </c>
      <c r="J333" s="515">
        <f>I110</f>
        <v>90</v>
      </c>
      <c r="K333" s="515">
        <f t="shared" ref="K333:M333" si="287">J110</f>
        <v>5.4</v>
      </c>
      <c r="L333" s="515">
        <f t="shared" si="287"/>
        <v>0</v>
      </c>
      <c r="M333" s="515">
        <f t="shared" si="287"/>
        <v>2.7</v>
      </c>
      <c r="N333" s="460"/>
      <c r="O333" s="460"/>
      <c r="P333" s="460"/>
    </row>
    <row r="334" spans="1:16" ht="13" x14ac:dyDescent="0.3">
      <c r="A334" s="1487"/>
      <c r="B334" s="570">
        <v>11</v>
      </c>
      <c r="C334" s="515">
        <f>C121</f>
        <v>40</v>
      </c>
      <c r="D334" s="515">
        <f t="shared" ref="D334:F334" si="288">D121</f>
        <v>0.5</v>
      </c>
      <c r="E334" s="515" t="str">
        <f t="shared" si="288"/>
        <v>-</v>
      </c>
      <c r="F334" s="515">
        <f t="shared" si="288"/>
        <v>0</v>
      </c>
      <c r="G334" s="460"/>
      <c r="H334" s="1483"/>
      <c r="I334" s="570">
        <v>11</v>
      </c>
      <c r="J334" s="515">
        <f>I121</f>
        <v>90</v>
      </c>
      <c r="K334" s="515">
        <f t="shared" ref="K334:M334" si="289">J121</f>
        <v>1.3</v>
      </c>
      <c r="L334" s="515" t="str">
        <f t="shared" si="289"/>
        <v>-</v>
      </c>
      <c r="M334" s="515">
        <f t="shared" si="289"/>
        <v>0</v>
      </c>
      <c r="N334" s="460"/>
      <c r="O334" s="460"/>
      <c r="P334" s="460"/>
    </row>
    <row r="335" spans="1:16" ht="13" x14ac:dyDescent="0.3">
      <c r="A335" s="1487"/>
      <c r="B335" s="570">
        <v>12</v>
      </c>
      <c r="C335" s="515">
        <f>C132</f>
        <v>40</v>
      </c>
      <c r="D335" s="515">
        <f t="shared" ref="D335:F335" si="290">D132</f>
        <v>9.9999999999999995E-7</v>
      </c>
      <c r="E335" s="515" t="str">
        <f t="shared" si="290"/>
        <v>-</v>
      </c>
      <c r="F335" s="515">
        <f t="shared" si="290"/>
        <v>0</v>
      </c>
      <c r="G335" s="460"/>
      <c r="H335" s="1483"/>
      <c r="I335" s="570">
        <v>12</v>
      </c>
      <c r="J335" s="515">
        <f>I132</f>
        <v>90</v>
      </c>
      <c r="K335" s="515">
        <f t="shared" ref="K335:M335" si="291">J132</f>
        <v>-2</v>
      </c>
      <c r="L335" s="515" t="str">
        <f t="shared" si="291"/>
        <v>-</v>
      </c>
      <c r="M335" s="515">
        <f t="shared" si="291"/>
        <v>0</v>
      </c>
      <c r="N335" s="460"/>
      <c r="O335" s="460"/>
      <c r="P335" s="460"/>
    </row>
    <row r="336" spans="1:16" ht="13" x14ac:dyDescent="0.3">
      <c r="A336" s="1487"/>
      <c r="B336" s="570">
        <v>13</v>
      </c>
      <c r="C336" s="515">
        <f>C143</f>
        <v>40</v>
      </c>
      <c r="D336" s="515">
        <f t="shared" ref="D336:F336" si="292">D143</f>
        <v>-1.1000000000000001</v>
      </c>
      <c r="E336" s="515" t="str">
        <f t="shared" si="292"/>
        <v>-</v>
      </c>
      <c r="F336" s="515">
        <f t="shared" si="292"/>
        <v>0</v>
      </c>
      <c r="G336" s="460"/>
      <c r="H336" s="1483"/>
      <c r="I336" s="570">
        <v>13</v>
      </c>
      <c r="J336" s="515">
        <f>I143</f>
        <v>90</v>
      </c>
      <c r="K336" s="515">
        <f t="shared" ref="K336:M336" si="293">J143</f>
        <v>-0.8</v>
      </c>
      <c r="L336" s="515" t="str">
        <f t="shared" si="293"/>
        <v>-</v>
      </c>
      <c r="M336" s="515">
        <f t="shared" si="293"/>
        <v>0</v>
      </c>
      <c r="N336" s="460"/>
      <c r="O336" s="460"/>
      <c r="P336" s="460"/>
    </row>
    <row r="337" spans="1:16" ht="13" x14ac:dyDescent="0.3">
      <c r="A337" s="1487"/>
      <c r="B337" s="570">
        <v>14</v>
      </c>
      <c r="C337" s="515">
        <f>C154</f>
        <v>40</v>
      </c>
      <c r="D337" s="515">
        <f t="shared" ref="D337:F337" si="294">D154</f>
        <v>0.5</v>
      </c>
      <c r="E337" s="515" t="str">
        <f t="shared" si="294"/>
        <v>-</v>
      </c>
      <c r="F337" s="515">
        <f t="shared" si="294"/>
        <v>0</v>
      </c>
      <c r="G337" s="460"/>
      <c r="H337" s="1483"/>
      <c r="I337" s="570">
        <v>14</v>
      </c>
      <c r="J337" s="515">
        <f>I154</f>
        <v>90</v>
      </c>
      <c r="K337" s="515">
        <f t="shared" ref="K337:M337" si="295">J154</f>
        <v>-3.2</v>
      </c>
      <c r="L337" s="515" t="str">
        <f t="shared" si="295"/>
        <v>-</v>
      </c>
      <c r="M337" s="515">
        <f t="shared" si="295"/>
        <v>0</v>
      </c>
      <c r="N337" s="460"/>
      <c r="O337" s="460"/>
      <c r="P337" s="460"/>
    </row>
    <row r="338" spans="1:16" ht="13" x14ac:dyDescent="0.3">
      <c r="A338" s="1487"/>
      <c r="B338" s="570">
        <v>15</v>
      </c>
      <c r="C338" s="515">
        <f>C165</f>
        <v>40</v>
      </c>
      <c r="D338" s="515">
        <f t="shared" ref="D338:F338" si="296">D165</f>
        <v>-0.8</v>
      </c>
      <c r="E338" s="515" t="str">
        <f t="shared" si="296"/>
        <v>-</v>
      </c>
      <c r="F338" s="515">
        <f t="shared" si="296"/>
        <v>0</v>
      </c>
      <c r="G338" s="460"/>
      <c r="H338" s="1483"/>
      <c r="I338" s="570">
        <v>15</v>
      </c>
      <c r="J338" s="515">
        <f>I165</f>
        <v>90</v>
      </c>
      <c r="K338" s="515">
        <f t="shared" ref="K338:M338" si="297">J165</f>
        <v>-1.4</v>
      </c>
      <c r="L338" s="515" t="str">
        <f t="shared" si="297"/>
        <v>-</v>
      </c>
      <c r="M338" s="515">
        <f t="shared" si="297"/>
        <v>0</v>
      </c>
      <c r="N338" s="460"/>
      <c r="O338" s="460"/>
      <c r="P338" s="460"/>
    </row>
    <row r="339" spans="1:16" ht="13" x14ac:dyDescent="0.3">
      <c r="A339" s="1487"/>
      <c r="B339" s="570">
        <v>16</v>
      </c>
      <c r="C339" s="515">
        <f>C176</f>
        <v>40</v>
      </c>
      <c r="D339" s="515">
        <f t="shared" ref="D339:F339" si="298">D176</f>
        <v>9.9999999999999995E-7</v>
      </c>
      <c r="E339" s="515" t="str">
        <f t="shared" si="298"/>
        <v>-</v>
      </c>
      <c r="F339" s="515">
        <f t="shared" si="298"/>
        <v>0</v>
      </c>
      <c r="G339" s="460"/>
      <c r="H339" s="1483"/>
      <c r="I339" s="570">
        <v>16</v>
      </c>
      <c r="J339" s="515">
        <f>I176</f>
        <v>90</v>
      </c>
      <c r="K339" s="515">
        <f t="shared" ref="K339:M339" si="299">J176</f>
        <v>-3</v>
      </c>
      <c r="L339" s="515" t="str">
        <f t="shared" si="299"/>
        <v>-</v>
      </c>
      <c r="M339" s="515">
        <f t="shared" si="299"/>
        <v>0</v>
      </c>
      <c r="N339" s="460"/>
      <c r="O339" s="460"/>
      <c r="P339" s="460"/>
    </row>
    <row r="340" spans="1:16" ht="13" x14ac:dyDescent="0.3">
      <c r="A340" s="1487"/>
      <c r="B340" s="570">
        <v>17</v>
      </c>
      <c r="C340" s="515">
        <f>C187</f>
        <v>40</v>
      </c>
      <c r="D340" s="515">
        <f t="shared" ref="D340:F340" si="300">D187</f>
        <v>-0.4</v>
      </c>
      <c r="E340" s="515" t="str">
        <f t="shared" si="300"/>
        <v>-</v>
      </c>
      <c r="F340" s="515">
        <f t="shared" si="300"/>
        <v>0</v>
      </c>
      <c r="G340" s="460"/>
      <c r="H340" s="1483"/>
      <c r="I340" s="570">
        <v>17</v>
      </c>
      <c r="J340" s="515">
        <f>I187</f>
        <v>90</v>
      </c>
      <c r="K340" s="515">
        <f t="shared" ref="K340:M340" si="301">J187</f>
        <v>-0.8</v>
      </c>
      <c r="L340" s="515" t="str">
        <f t="shared" si="301"/>
        <v>-</v>
      </c>
      <c r="M340" s="515">
        <f t="shared" si="301"/>
        <v>0</v>
      </c>
      <c r="N340" s="460"/>
      <c r="O340" s="460"/>
      <c r="P340" s="460"/>
    </row>
    <row r="341" spans="1:16" ht="13" x14ac:dyDescent="0.3">
      <c r="A341" s="1487"/>
      <c r="B341" s="570">
        <v>18</v>
      </c>
      <c r="C341" s="515">
        <f>C198</f>
        <v>40</v>
      </c>
      <c r="D341" s="515">
        <f>E198</f>
        <v>-0.4</v>
      </c>
      <c r="E341" s="515" t="e">
        <f>#REF!</f>
        <v>#REF!</v>
      </c>
      <c r="F341" s="515">
        <f t="shared" ref="F341" si="302">F198</f>
        <v>0</v>
      </c>
      <c r="G341" s="460"/>
      <c r="H341" s="1483"/>
      <c r="I341" s="570">
        <v>18</v>
      </c>
      <c r="J341" s="515">
        <f>I198</f>
        <v>90</v>
      </c>
      <c r="K341" s="515">
        <f>K198</f>
        <v>-0.9</v>
      </c>
      <c r="L341" s="515" t="e">
        <f>#REF!</f>
        <v>#REF!</v>
      </c>
      <c r="M341" s="515">
        <f t="shared" ref="M341" si="303">L198</f>
        <v>0</v>
      </c>
      <c r="N341" s="460"/>
      <c r="O341" s="460"/>
      <c r="P341" s="460"/>
    </row>
    <row r="342" spans="1:16" ht="13" x14ac:dyDescent="0.3">
      <c r="A342" s="1487"/>
      <c r="B342" s="605">
        <v>19</v>
      </c>
      <c r="C342" s="606">
        <f>S11</f>
        <v>40</v>
      </c>
      <c r="D342" s="606">
        <f t="shared" ref="D342:F342" si="304">T11</f>
        <v>-0.4</v>
      </c>
      <c r="E342" s="606">
        <f t="shared" si="304"/>
        <v>0.2</v>
      </c>
      <c r="F342" s="606">
        <f t="shared" si="304"/>
        <v>0.30000000000000004</v>
      </c>
      <c r="G342" s="460"/>
      <c r="H342" s="1483"/>
      <c r="I342" s="574">
        <v>19</v>
      </c>
      <c r="J342" s="515">
        <f>Y11</f>
        <v>90</v>
      </c>
      <c r="K342" s="515">
        <f t="shared" ref="K342:M342" si="305">Z11</f>
        <v>-0.8</v>
      </c>
      <c r="L342" s="515">
        <f t="shared" si="305"/>
        <v>-0.6</v>
      </c>
      <c r="M342" s="515">
        <f t="shared" si="305"/>
        <v>0.10000000000000003</v>
      </c>
      <c r="N342" s="460"/>
      <c r="O342" s="460"/>
      <c r="P342" s="460"/>
    </row>
    <row r="343" spans="1:16" ht="13.5" thickBot="1" x14ac:dyDescent="0.35">
      <c r="A343" s="520"/>
      <c r="B343" s="318"/>
      <c r="C343" s="305"/>
      <c r="D343" s="305"/>
      <c r="E343" s="305"/>
      <c r="F343" s="305"/>
      <c r="G343" s="305"/>
      <c r="H343" s="460"/>
      <c r="I343" s="521"/>
      <c r="J343" s="318"/>
      <c r="K343" s="305"/>
      <c r="L343" s="305"/>
      <c r="M343" s="305"/>
      <c r="N343" s="305"/>
      <c r="O343" s="305"/>
      <c r="P343" s="460"/>
    </row>
    <row r="344" spans="1:16" ht="29.25" customHeight="1" x14ac:dyDescent="0.3">
      <c r="A344" s="447">
        <f>A383</f>
        <v>16</v>
      </c>
      <c r="B344" s="1535" t="str">
        <f>A363</f>
        <v>Thermohygrobarometer, Merek : EXTECH, Model : SD700, SN : A.100616</v>
      </c>
      <c r="C344" s="1535"/>
      <c r="D344" s="1536"/>
      <c r="E344" s="319"/>
      <c r="F344" s="447">
        <f>A344</f>
        <v>16</v>
      </c>
      <c r="G344" s="1535" t="str">
        <f>B344</f>
        <v>Thermohygrobarometer, Merek : EXTECH, Model : SD700, SN : A.100616</v>
      </c>
      <c r="H344" s="1535"/>
      <c r="I344" s="1536"/>
      <c r="J344" s="319"/>
      <c r="K344" s="447">
        <f>A344</f>
        <v>16</v>
      </c>
      <c r="L344" s="1525" t="str">
        <f>G344</f>
        <v>Thermohygrobarometer, Merek : EXTECH, Model : SD700, SN : A.100616</v>
      </c>
      <c r="M344" s="1526"/>
      <c r="N344" s="1526"/>
      <c r="O344" s="1527"/>
      <c r="P344" s="460"/>
    </row>
    <row r="345" spans="1:16" ht="13.5" x14ac:dyDescent="0.3">
      <c r="A345" s="320" t="s">
        <v>368</v>
      </c>
      <c r="B345" s="1528" t="s">
        <v>237</v>
      </c>
      <c r="C345" s="1528"/>
      <c r="D345" s="1529" t="s">
        <v>231</v>
      </c>
      <c r="E345" s="305"/>
      <c r="F345" s="320" t="s">
        <v>369</v>
      </c>
      <c r="G345" s="1528" t="s">
        <v>237</v>
      </c>
      <c r="H345" s="1528"/>
      <c r="I345" s="1529" t="s">
        <v>231</v>
      </c>
      <c r="J345" s="305"/>
      <c r="K345" s="1530"/>
      <c r="L345" s="1533" t="s">
        <v>395</v>
      </c>
      <c r="M345" s="1533" t="s">
        <v>396</v>
      </c>
      <c r="N345" s="1533" t="s">
        <v>143</v>
      </c>
      <c r="O345" s="1534" t="s">
        <v>367</v>
      </c>
      <c r="P345" s="460"/>
    </row>
    <row r="346" spans="1:16" ht="14" x14ac:dyDescent="0.3">
      <c r="A346" s="299" t="s">
        <v>389</v>
      </c>
      <c r="B346" s="572">
        <f>VLOOKUP(B344,A364:K382,9,FALSE)</f>
        <v>2020</v>
      </c>
      <c r="C346" s="572" t="str">
        <f>VLOOKUP(B344,A364:K382,10,FALSE)</f>
        <v>-</v>
      </c>
      <c r="D346" s="1529"/>
      <c r="E346" s="305"/>
      <c r="F346" s="321" t="s">
        <v>17</v>
      </c>
      <c r="G346" s="572">
        <f>B346</f>
        <v>2020</v>
      </c>
      <c r="H346" s="572" t="str">
        <f>C346</f>
        <v>-</v>
      </c>
      <c r="I346" s="1529"/>
      <c r="J346" s="305"/>
      <c r="K346" s="1531"/>
      <c r="L346" s="1533"/>
      <c r="M346" s="1533"/>
      <c r="N346" s="1533"/>
      <c r="O346" s="1534"/>
      <c r="P346" s="460"/>
    </row>
    <row r="347" spans="1:16" ht="13" x14ac:dyDescent="0.3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32"/>
      <c r="L347" s="1533"/>
      <c r="M347" s="1533"/>
      <c r="N347" s="1533"/>
      <c r="O347" s="1534"/>
      <c r="P347" s="460"/>
    </row>
    <row r="348" spans="1:16" ht="13" x14ac:dyDescent="0.3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368</v>
      </c>
      <c r="L348" s="522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7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5" thickBot="1" x14ac:dyDescent="0.35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22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7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3"/>
    </row>
    <row r="350" spans="1:16" ht="13" x14ac:dyDescent="0.3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2"/>
      <c r="M350" s="363"/>
      <c r="N350" s="362"/>
      <c r="O350" s="329"/>
      <c r="P350" s="523"/>
    </row>
    <row r="351" spans="1:16" ht="13.5" thickBot="1" x14ac:dyDescent="0.35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3"/>
    </row>
    <row r="352" spans="1:16" ht="14" x14ac:dyDescent="0.3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11" t="s">
        <v>397</v>
      </c>
      <c r="L352" s="462" t="str">
        <f>N352&amp;M366&amp;M364&amp;N366&amp;N364&amp;O366&amp;O364</f>
        <v>: ( 25.3 ± 0.4 ) °C</v>
      </c>
      <c r="M352" s="524"/>
      <c r="N352" s="461" t="s">
        <v>488</v>
      </c>
      <c r="O352" s="330"/>
      <c r="P352" s="525"/>
    </row>
    <row r="353" spans="1:16" ht="14.5" thickBot="1" x14ac:dyDescent="0.35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12"/>
      <c r="L353" s="472" t="str">
        <f>N352&amp;M366&amp;M365&amp;N366&amp;N365&amp;O366&amp;O365</f>
        <v>: ( 63.2 ± 2.2 ) %RH</v>
      </c>
      <c r="M353" s="473"/>
      <c r="O353" s="330"/>
      <c r="P353" s="523"/>
    </row>
    <row r="354" spans="1:16" ht="16" thickBot="1" x14ac:dyDescent="0.4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6"/>
    </row>
    <row r="355" spans="1:16" ht="14.5" thickBot="1" x14ac:dyDescent="0.35">
      <c r="A355" s="1513" t="s">
        <v>398</v>
      </c>
      <c r="B355" s="1514"/>
      <c r="C355" s="1514"/>
      <c r="D355" s="1515"/>
      <c r="E355" s="364"/>
      <c r="F355" s="1513" t="s">
        <v>399</v>
      </c>
      <c r="G355" s="1514"/>
      <c r="H355" s="1514"/>
      <c r="I355" s="1515"/>
      <c r="J355" s="305"/>
      <c r="K355" s="305"/>
      <c r="L355" s="305"/>
      <c r="M355" s="365"/>
      <c r="N355" s="297"/>
      <c r="O355" s="330"/>
      <c r="P355" s="527"/>
    </row>
    <row r="356" spans="1:16" ht="13.5" x14ac:dyDescent="0.3">
      <c r="A356" s="335"/>
      <c r="B356" s="336"/>
      <c r="C356" s="336"/>
      <c r="D356" s="337"/>
      <c r="E356" s="528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9"/>
    </row>
    <row r="357" spans="1:16" ht="14" x14ac:dyDescent="0.3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8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30"/>
    </row>
    <row r="358" spans="1:16" ht="13.5" thickBot="1" x14ac:dyDescent="0.35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31"/>
    </row>
    <row r="362" spans="1:16" ht="13" thickBot="1" x14ac:dyDescent="0.3"/>
    <row r="363" spans="1:16" s="532" customFormat="1" ht="13.5" thickBot="1" x14ac:dyDescent="0.3">
      <c r="A363" s="1516" t="str">
        <f>ID!B75</f>
        <v>Thermohygrobarometer, Merek : EXTECH, Model : SD700, SN : A.100616</v>
      </c>
      <c r="B363" s="1517"/>
      <c r="C363" s="1517"/>
      <c r="D363" s="1517"/>
      <c r="E363" s="1517"/>
      <c r="F363" s="1517"/>
      <c r="G363" s="1517"/>
      <c r="H363" s="1517"/>
      <c r="I363" s="1518"/>
      <c r="J363" s="1518"/>
      <c r="K363" s="1519"/>
      <c r="M363" s="1520" t="s">
        <v>400</v>
      </c>
      <c r="N363" s="1520"/>
      <c r="O363" s="1520"/>
    </row>
    <row r="364" spans="1:16" s="532" customFormat="1" ht="15.5" x14ac:dyDescent="0.25">
      <c r="A364" s="533" t="s">
        <v>574</v>
      </c>
      <c r="B364" s="534"/>
      <c r="C364" s="534"/>
      <c r="D364" s="535"/>
      <c r="E364" s="535"/>
      <c r="F364" s="535"/>
      <c r="G364" s="536"/>
      <c r="H364" s="537"/>
      <c r="I364" s="538">
        <f>D4</f>
        <v>2020</v>
      </c>
      <c r="J364" s="539">
        <f>E4</f>
        <v>2017</v>
      </c>
      <c r="K364" s="540">
        <v>1</v>
      </c>
      <c r="M364" s="298" t="str">
        <f>TEXT(M348,"0.0")</f>
        <v>25.3</v>
      </c>
      <c r="N364" s="298" t="str">
        <f>TEXT(O348,"0.0")</f>
        <v>0.4</v>
      </c>
      <c r="O364" s="541" t="s">
        <v>401</v>
      </c>
    </row>
    <row r="365" spans="1:16" s="532" customFormat="1" ht="15.5" x14ac:dyDescent="0.25">
      <c r="A365" s="533" t="s">
        <v>575</v>
      </c>
      <c r="B365" s="534"/>
      <c r="C365" s="534"/>
      <c r="D365" s="535"/>
      <c r="E365" s="535"/>
      <c r="F365" s="535"/>
      <c r="G365" s="536"/>
      <c r="H365" s="537"/>
      <c r="I365" s="542">
        <f>D15</f>
        <v>2021</v>
      </c>
      <c r="J365" s="543">
        <f>E15</f>
        <v>2018</v>
      </c>
      <c r="K365" s="540">
        <v>2</v>
      </c>
      <c r="M365" s="298" t="str">
        <f>TEXT(M349,"0.0")</f>
        <v>63.2</v>
      </c>
      <c r="N365" s="298" t="str">
        <f>TEXT(O349,"0.0")</f>
        <v>2.2</v>
      </c>
      <c r="O365" s="541" t="s">
        <v>402</v>
      </c>
    </row>
    <row r="366" spans="1:16" s="532" customFormat="1" ht="15.5" x14ac:dyDescent="0.3">
      <c r="A366" s="533" t="s">
        <v>403</v>
      </c>
      <c r="B366" s="534"/>
      <c r="C366" s="534"/>
      <c r="D366" s="535"/>
      <c r="E366" s="535"/>
      <c r="F366" s="535"/>
      <c r="G366" s="536"/>
      <c r="H366" s="537"/>
      <c r="I366" s="542">
        <f>D26</f>
        <v>2021</v>
      </c>
      <c r="J366" s="543">
        <f>E26</f>
        <v>2018</v>
      </c>
      <c r="K366" s="540">
        <v>3</v>
      </c>
      <c r="M366" s="350" t="s">
        <v>404</v>
      </c>
      <c r="N366" s="544" t="s">
        <v>405</v>
      </c>
      <c r="O366" s="544" t="s">
        <v>406</v>
      </c>
    </row>
    <row r="367" spans="1:16" s="532" customFormat="1" ht="13" x14ac:dyDescent="0.25">
      <c r="A367" s="533" t="s">
        <v>576</v>
      </c>
      <c r="B367" s="534"/>
      <c r="C367" s="534"/>
      <c r="D367" s="535"/>
      <c r="E367" s="535"/>
      <c r="F367" s="535"/>
      <c r="G367" s="536"/>
      <c r="H367" s="537"/>
      <c r="I367" s="542">
        <f>D37</f>
        <v>2019</v>
      </c>
      <c r="J367" s="543">
        <f>E37</f>
        <v>2017</v>
      </c>
      <c r="K367" s="540">
        <v>4</v>
      </c>
    </row>
    <row r="368" spans="1:16" s="532" customFormat="1" ht="13" x14ac:dyDescent="0.25">
      <c r="A368" s="533" t="s">
        <v>577</v>
      </c>
      <c r="B368" s="534"/>
      <c r="C368" s="534"/>
      <c r="D368" s="535"/>
      <c r="E368" s="535"/>
      <c r="F368" s="535"/>
      <c r="G368" s="536"/>
      <c r="H368" s="537"/>
      <c r="I368" s="542">
        <f>D48</f>
        <v>2020</v>
      </c>
      <c r="J368" s="543">
        <f>E48</f>
        <v>2017</v>
      </c>
      <c r="K368" s="540">
        <v>5</v>
      </c>
    </row>
    <row r="369" spans="1:11" s="532" customFormat="1" ht="13" x14ac:dyDescent="0.25">
      <c r="A369" s="533" t="s">
        <v>407</v>
      </c>
      <c r="B369" s="534"/>
      <c r="C369" s="534"/>
      <c r="D369" s="535"/>
      <c r="E369" s="535"/>
      <c r="F369" s="535"/>
      <c r="G369" s="536"/>
      <c r="H369" s="537"/>
      <c r="I369" s="542">
        <f>D59</f>
        <v>2019</v>
      </c>
      <c r="J369" s="543">
        <f>E59</f>
        <v>2018</v>
      </c>
      <c r="K369" s="540">
        <v>6</v>
      </c>
    </row>
    <row r="370" spans="1:11" s="532" customFormat="1" ht="13" x14ac:dyDescent="0.25">
      <c r="A370" s="533" t="s">
        <v>408</v>
      </c>
      <c r="B370" s="534"/>
      <c r="C370" s="534"/>
      <c r="D370" s="535"/>
      <c r="E370" s="535"/>
      <c r="F370" s="535"/>
      <c r="G370" s="536"/>
      <c r="H370" s="537"/>
      <c r="I370" s="542">
        <f>D70</f>
        <v>2021</v>
      </c>
      <c r="J370" s="543">
        <f>E70</f>
        <v>2018</v>
      </c>
      <c r="K370" s="540">
        <v>7</v>
      </c>
    </row>
    <row r="371" spans="1:11" s="532" customFormat="1" ht="13" x14ac:dyDescent="0.25">
      <c r="A371" s="533" t="s">
        <v>163</v>
      </c>
      <c r="B371" s="534"/>
      <c r="C371" s="534"/>
      <c r="D371" s="535"/>
      <c r="E371" s="535"/>
      <c r="F371" s="535"/>
      <c r="G371" s="536"/>
      <c r="H371" s="537"/>
      <c r="I371" s="542">
        <f>D81</f>
        <v>2021</v>
      </c>
      <c r="J371" s="543">
        <f>E81</f>
        <v>2019</v>
      </c>
      <c r="K371" s="540">
        <v>8</v>
      </c>
    </row>
    <row r="372" spans="1:11" s="532" customFormat="1" ht="13" x14ac:dyDescent="0.25">
      <c r="A372" s="533" t="s">
        <v>409</v>
      </c>
      <c r="B372" s="534"/>
      <c r="C372" s="534"/>
      <c r="D372" s="535"/>
      <c r="E372" s="535"/>
      <c r="F372" s="535"/>
      <c r="G372" s="536"/>
      <c r="H372" s="537"/>
      <c r="I372" s="542">
        <f>D92</f>
        <v>2019</v>
      </c>
      <c r="J372" s="543" t="str">
        <f>E92</f>
        <v>-</v>
      </c>
      <c r="K372" s="540">
        <v>9</v>
      </c>
    </row>
    <row r="373" spans="1:11" s="532" customFormat="1" ht="13" x14ac:dyDescent="0.25">
      <c r="A373" s="533" t="s">
        <v>410</v>
      </c>
      <c r="B373" s="534"/>
      <c r="C373" s="534"/>
      <c r="D373" s="535"/>
      <c r="E373" s="535"/>
      <c r="F373" s="535"/>
      <c r="G373" s="536"/>
      <c r="H373" s="537"/>
      <c r="I373" s="542">
        <f>D103</f>
        <v>2019</v>
      </c>
      <c r="J373" s="543">
        <f>E103</f>
        <v>2016</v>
      </c>
      <c r="K373" s="540">
        <v>10</v>
      </c>
    </row>
    <row r="374" spans="1:11" s="532" customFormat="1" ht="13" x14ac:dyDescent="0.25">
      <c r="A374" s="533" t="s">
        <v>411</v>
      </c>
      <c r="B374" s="534"/>
      <c r="C374" s="534"/>
      <c r="D374" s="535"/>
      <c r="E374" s="535"/>
      <c r="F374" s="535"/>
      <c r="G374" s="536"/>
      <c r="H374" s="537"/>
      <c r="I374" s="542">
        <f>D114</f>
        <v>2020</v>
      </c>
      <c r="J374" s="542" t="str">
        <f>E114</f>
        <v>-</v>
      </c>
      <c r="K374" s="540">
        <v>11</v>
      </c>
    </row>
    <row r="375" spans="1:11" s="532" customFormat="1" ht="13" x14ac:dyDescent="0.25">
      <c r="A375" s="533" t="s">
        <v>472</v>
      </c>
      <c r="B375" s="534"/>
      <c r="C375" s="534"/>
      <c r="D375" s="535"/>
      <c r="E375" s="535"/>
      <c r="F375" s="535"/>
      <c r="G375" s="536"/>
      <c r="H375" s="537"/>
      <c r="I375" s="545">
        <f>D125</f>
        <v>2020</v>
      </c>
      <c r="J375" s="545" t="str">
        <f>E125</f>
        <v>-</v>
      </c>
      <c r="K375" s="540">
        <v>12</v>
      </c>
    </row>
    <row r="376" spans="1:11" s="532" customFormat="1" ht="13" x14ac:dyDescent="0.25">
      <c r="A376" s="533" t="s">
        <v>471</v>
      </c>
      <c r="B376" s="534"/>
      <c r="C376" s="534"/>
      <c r="D376" s="535"/>
      <c r="E376" s="535"/>
      <c r="F376" s="535"/>
      <c r="G376" s="536"/>
      <c r="H376" s="537"/>
      <c r="I376" s="545">
        <f>D136</f>
        <v>2020</v>
      </c>
      <c r="J376" s="545" t="str">
        <f>E136</f>
        <v>-</v>
      </c>
      <c r="K376" s="540">
        <v>13</v>
      </c>
    </row>
    <row r="377" spans="1:11" s="532" customFormat="1" ht="13" x14ac:dyDescent="0.25">
      <c r="A377" s="533" t="s">
        <v>470</v>
      </c>
      <c r="B377" s="534"/>
      <c r="C377" s="534"/>
      <c r="D377" s="535"/>
      <c r="E377" s="535"/>
      <c r="F377" s="535"/>
      <c r="G377" s="536"/>
      <c r="H377" s="537"/>
      <c r="I377" s="545">
        <f>D147</f>
        <v>2020</v>
      </c>
      <c r="J377" s="545" t="str">
        <f>E147</f>
        <v>-</v>
      </c>
      <c r="K377" s="540">
        <v>14</v>
      </c>
    </row>
    <row r="378" spans="1:11" s="532" customFormat="1" ht="13" x14ac:dyDescent="0.25">
      <c r="A378" s="533" t="s">
        <v>469</v>
      </c>
      <c r="B378" s="534"/>
      <c r="C378" s="534"/>
      <c r="D378" s="535"/>
      <c r="E378" s="535"/>
      <c r="F378" s="535"/>
      <c r="G378" s="536"/>
      <c r="H378" s="537"/>
      <c r="I378" s="545">
        <f>D158</f>
        <v>2020</v>
      </c>
      <c r="J378" s="545" t="str">
        <f>E158</f>
        <v>-</v>
      </c>
      <c r="K378" s="540">
        <v>15</v>
      </c>
    </row>
    <row r="379" spans="1:11" s="532" customFormat="1" ht="13" x14ac:dyDescent="0.25">
      <c r="A379" s="533" t="s">
        <v>468</v>
      </c>
      <c r="B379" s="534"/>
      <c r="C379" s="534"/>
      <c r="D379" s="535"/>
      <c r="E379" s="535"/>
      <c r="F379" s="535"/>
      <c r="G379" s="536"/>
      <c r="H379" s="537"/>
      <c r="I379" s="545">
        <f>D169</f>
        <v>2020</v>
      </c>
      <c r="J379" s="545" t="str">
        <f>E169</f>
        <v>-</v>
      </c>
      <c r="K379" s="540">
        <v>16</v>
      </c>
    </row>
    <row r="380" spans="1:11" s="532" customFormat="1" ht="13" x14ac:dyDescent="0.25">
      <c r="A380" s="533" t="s">
        <v>467</v>
      </c>
      <c r="B380" s="534"/>
      <c r="C380" s="534"/>
      <c r="D380" s="535"/>
      <c r="E380" s="535"/>
      <c r="F380" s="535"/>
      <c r="G380" s="536"/>
      <c r="H380" s="537"/>
      <c r="I380" s="545">
        <f>D180</f>
        <v>2020</v>
      </c>
      <c r="J380" s="545" t="str">
        <f>E180</f>
        <v>-</v>
      </c>
      <c r="K380" s="540">
        <v>17</v>
      </c>
    </row>
    <row r="381" spans="1:11" s="532" customFormat="1" ht="13.5" thickBot="1" x14ac:dyDescent="0.3">
      <c r="A381" s="533" t="s">
        <v>466</v>
      </c>
      <c r="B381" s="534"/>
      <c r="C381" s="534"/>
      <c r="D381" s="535"/>
      <c r="E381" s="535"/>
      <c r="F381" s="535"/>
      <c r="G381" s="536"/>
      <c r="H381" s="537"/>
      <c r="I381" s="546">
        <f>D191</f>
        <v>2020</v>
      </c>
      <c r="J381" s="547">
        <f>E191</f>
        <v>2017</v>
      </c>
      <c r="K381" s="540">
        <v>18</v>
      </c>
    </row>
    <row r="382" spans="1:11" s="532" customFormat="1" ht="13.5" thickBot="1" x14ac:dyDescent="0.3">
      <c r="A382" s="610" t="s">
        <v>465</v>
      </c>
      <c r="B382" s="611"/>
      <c r="C382" s="611"/>
      <c r="D382" s="612"/>
      <c r="E382" s="612"/>
      <c r="F382" s="612"/>
      <c r="G382" s="613"/>
      <c r="H382" s="614"/>
      <c r="I382" s="615">
        <f>U4</f>
        <v>2021</v>
      </c>
      <c r="J382" s="616">
        <f>T4</f>
        <v>2020</v>
      </c>
      <c r="K382" s="617">
        <v>19</v>
      </c>
    </row>
    <row r="383" spans="1:11" s="532" customFormat="1" ht="13.5" thickBot="1" x14ac:dyDescent="0.3">
      <c r="A383" s="1521">
        <f>VLOOKUP(A363,A364:K382,11,(FALSE))</f>
        <v>16</v>
      </c>
      <c r="B383" s="1522"/>
      <c r="C383" s="1522"/>
      <c r="D383" s="1522"/>
      <c r="E383" s="1522"/>
      <c r="F383" s="1522"/>
      <c r="G383" s="1522"/>
      <c r="H383" s="1522"/>
      <c r="I383" s="1523"/>
      <c r="J383" s="1523"/>
      <c r="K383" s="1524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SPL</cp:lastModifiedBy>
  <cp:revision/>
  <cp:lastPrinted>2022-04-11T07:02:13Z</cp:lastPrinted>
  <dcterms:created xsi:type="dcterms:W3CDTF">2004-07-20T06:55:09Z</dcterms:created>
  <dcterms:modified xsi:type="dcterms:W3CDTF">2022-04-13T06:07:49Z</dcterms:modified>
  <cp:category/>
  <cp:contentStatus/>
</cp:coreProperties>
</file>